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4.xml" ContentType="application/vnd.openxmlformats-officedocument.spreadsheetml.comments+xml"/>
  <Override PartName="/xl/drawings/drawing15.xml" ContentType="application/vnd.openxmlformats-officedocument.drawing+xml"/>
  <Override PartName="/xl/comments5.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6.xml" ContentType="application/vnd.openxmlformats-officedocument.spreadsheetml.comments+xml"/>
  <Override PartName="/xl/drawings/drawing22.xml" ContentType="application/vnd.openxmlformats-officedocument.drawing+xml"/>
  <Override PartName="/xl/comments7.xml" ContentType="application/vnd.openxmlformats-officedocument.spreadsheetml.comments+xml"/>
  <Override PartName="/xl/threadedComments/threadedComment1.xml" ContentType="application/vnd.ms-excel.threadedcomments+xml"/>
  <Override PartName="/xl/drawings/drawing23.xml" ContentType="application/vnd.openxmlformats-officedocument.drawing+xml"/>
  <Override PartName="/xl/drawings/drawing24.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codeName="ThisWorkbook" defaultThemeVersion="166925"/>
  <mc:AlternateContent xmlns:mc="http://schemas.openxmlformats.org/markup-compatibility/2006">
    <mc:Choice Requires="x15">
      <x15ac:absPath xmlns:x15ac="http://schemas.microsoft.com/office/spreadsheetml/2010/11/ac" url="M:\08_助成第一班\200_補助金一覧\210_施設型運営事業補助\10_配置基準\20_補助金交付\R8\01_当初交付\01_園への依頼\02 認定こども園\"/>
    </mc:Choice>
  </mc:AlternateContent>
  <xr:revisionPtr revIDLastSave="0" documentId="13_ncr:1_{F0CB78C3-40F0-4CAC-B034-6F3337D2F7A1}" xr6:coauthVersionLast="47" xr6:coauthVersionMax="47" xr10:uidLastSave="{00000000-0000-0000-0000-000000000000}"/>
  <workbookProtection workbookAlgorithmName="SHA-512" workbookHashValue="NIgKK3tkA6MbCvZlZEiHtsHpn2lINaWRrpoRwHmYZ+Xyg9e+H6Dr+hjSRC9vAK2Q6wsPbS/YtOTHrNcKYA73OA==" workbookSaltValue="GZ6lvLUvmbmrVySwq3Pq4w==" workbookSpinCount="100000" lockStructure="1"/>
  <bookViews>
    <workbookView xWindow="29160" yWindow="585" windowWidth="19140" windowHeight="17475" tabRatio="759" firstSheet="8" activeTab="8" xr2:uid="{4DFF945B-4F75-43A7-8E54-EF523294E1F5}"/>
  </bookViews>
  <sheets>
    <sheet name="カメラ" sheetId="63" state="hidden" r:id="rId1"/>
    <sheet name="リスト" sheetId="24" state="hidden" r:id="rId2"/>
    <sheet name="補助金用基本データ" sheetId="22" state="hidden" r:id="rId3"/>
    <sheet name="個別データ" sheetId="21" state="hidden" r:id="rId4"/>
    <sheet name="修正等箇所" sheetId="64" state="hidden" r:id="rId5"/>
    <sheet name="補助転記" sheetId="53" state="hidden" r:id="rId6"/>
    <sheet name="⓪ファイルの説明（実績）" sheetId="55" state="hidden" r:id="rId7"/>
    <sheet name="⓪ファイルの説明（第二期分割請求）" sheetId="60" state="hidden" r:id="rId8"/>
    <sheet name="⓪ファイルの説明（当初）" sheetId="69" r:id="rId9"/>
    <sheet name="⓪ファイルの説明（第二期当初交付）" sheetId="61" state="hidden" r:id="rId10"/>
    <sheet name="①基本情報" sheetId="2" r:id="rId11"/>
    <sheet name="②-1職員名簿" sheetId="3" r:id="rId12"/>
    <sheet name="②-2勤務時間数入力" sheetId="4" r:id="rId13"/>
    <sheet name="③児童数及び職員定数 (2)-(1)" sheetId="5" r:id="rId14"/>
    <sheet name="④-1月別配置内訳書(2)-(2)-(A)" sheetId="6" r:id="rId15"/>
    <sheet name="④-2月別配置内訳書(2)-(2)-(B)" sheetId="7" r:id="rId16"/>
    <sheet name="④-3月別配置内訳書(2)-(2)-(C)・(D)" sheetId="8" r:id="rId17"/>
    <sheet name="④-４月別配置内訳書(2)-(2)-(E)" sheetId="32" r:id="rId18"/>
    <sheet name="判定" sheetId="30" state="hidden" r:id="rId19"/>
    <sheet name="⑤基本加算１" sheetId="33" r:id="rId20"/>
    <sheet name="⑥基本加算２" sheetId="38" r:id="rId21"/>
    <sheet name="⑦基本加算３" sheetId="39" r:id="rId22"/>
    <sheet name="⑧一般加算１" sheetId="37" r:id="rId23"/>
    <sheet name="⑨一般加算２" sheetId="40" r:id="rId24"/>
    <sheet name="⑩特定加算１" sheetId="36" r:id="rId25"/>
    <sheet name="⑪特定加算２" sheetId="41" r:id="rId26"/>
    <sheet name="⑫公定価格加算分" sheetId="62" r:id="rId27"/>
    <sheet name="様式１（第二期当初交付）" sheetId="66" state="hidden" r:id="rId28"/>
    <sheet name="様式１" sheetId="34" r:id="rId29"/>
    <sheet name="様式３（第二期）" sheetId="43" state="hidden" r:id="rId30"/>
    <sheet name="加算判定" sheetId="65" state="hidden" r:id="rId31"/>
    <sheet name="様式３" sheetId="35" r:id="rId32"/>
    <sheet name="【重要】送付前確認シート" sheetId="68" r:id="rId33"/>
    <sheet name="チェックシート" sheetId="67" state="hidden" r:id="rId34"/>
    <sheet name="様式４" sheetId="45" state="hidden" r:id="rId35"/>
    <sheet name="様式６" sheetId="46" state="hidden" r:id="rId36"/>
    <sheet name="様式８" sheetId="47" state="hidden" r:id="rId37"/>
    <sheet name="精算書" sheetId="48" state="hidden" r:id="rId38"/>
  </sheets>
  <externalReferences>
    <externalReference r:id="rId39"/>
    <externalReference r:id="rId40"/>
  </externalReferences>
  <definedNames>
    <definedName name="_xlnm._FilterDatabase" localSheetId="11" hidden="1">'②-1職員名簿'!$A$6:$BJ$6</definedName>
    <definedName name="_xlnm._FilterDatabase" localSheetId="30" hidden="1">加算判定!$B$18:$CQ$132</definedName>
    <definedName name="_xlnm._FilterDatabase" localSheetId="3" hidden="1">個別データ!$A$4:$HW$58</definedName>
    <definedName name="_xlnm._FilterDatabase" localSheetId="2" hidden="1">補助金用基本データ!$A$4:$Y$64</definedName>
    <definedName name="_Order1" hidden="1">0</definedName>
    <definedName name="a" localSheetId="9">#REF!</definedName>
    <definedName name="a" localSheetId="8">#REF!</definedName>
    <definedName name="a" localSheetId="30">#REF!</definedName>
    <definedName name="aa" localSheetId="9">#REF!</definedName>
    <definedName name="aa" localSheetId="8">#REF!</definedName>
    <definedName name="aa" localSheetId="30">#REF!</definedName>
    <definedName name="aaa" localSheetId="32"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8"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26"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0"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33"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30"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29"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a" localSheetId="9">#REF!</definedName>
    <definedName name="aaaa" localSheetId="8">#REF!</definedName>
    <definedName name="aaaa" localSheetId="30">#REF!</definedName>
    <definedName name="aaaaa" localSheetId="9">#REF!</definedName>
    <definedName name="aaaaa" localSheetId="8">#REF!</definedName>
    <definedName name="aaaaa" localSheetId="30">#REF!</definedName>
    <definedName name="b" localSheetId="32" hidden="1">{"'フローチャート'!$A$1:$AO$191"}</definedName>
    <definedName name="b" localSheetId="6" hidden="1">{"'フローチャート'!$A$1:$AO$191"}</definedName>
    <definedName name="b" localSheetId="9" hidden="1">{"'フローチャート'!$A$1:$AO$191"}</definedName>
    <definedName name="b" localSheetId="7" hidden="1">{"'フローチャート'!$A$1:$AO$191"}</definedName>
    <definedName name="b" localSheetId="8" hidden="1">{"'フローチャート'!$A$1:$AO$191"}</definedName>
    <definedName name="b" localSheetId="26" hidden="1">{"'フローチャート'!$A$1:$AO$191"}</definedName>
    <definedName name="b" localSheetId="0" hidden="1">{"'フローチャート'!$A$1:$AO$191"}</definedName>
    <definedName name="b" localSheetId="33" hidden="1">{"'フローチャート'!$A$1:$AO$191"}</definedName>
    <definedName name="b" localSheetId="30" hidden="1">{"'フローチャート'!$A$1:$AO$191"}</definedName>
    <definedName name="b" localSheetId="4" hidden="1">{"'フローチャート'!$A$1:$AO$191"}</definedName>
    <definedName name="b" localSheetId="5" hidden="1">{"'フローチャート'!$A$1:$AO$191"}</definedName>
    <definedName name="b" localSheetId="29" hidden="1">{"'フローチャート'!$A$1:$AO$191"}</definedName>
    <definedName name="b" hidden="1">{"'フローチャート'!$A$1:$AO$191"}</definedName>
    <definedName name="bb" localSheetId="32" hidden="1">{"'フローチャート'!$A$1:$AO$191"}</definedName>
    <definedName name="bb" localSheetId="6" hidden="1">{"'フローチャート'!$A$1:$AO$191"}</definedName>
    <definedName name="bb" localSheetId="9" hidden="1">{"'フローチャート'!$A$1:$AO$191"}</definedName>
    <definedName name="bb" localSheetId="7" hidden="1">{"'フローチャート'!$A$1:$AO$191"}</definedName>
    <definedName name="bb" localSheetId="8" hidden="1">{"'フローチャート'!$A$1:$AO$191"}</definedName>
    <definedName name="bb" localSheetId="26" hidden="1">{"'フローチャート'!$A$1:$AO$191"}</definedName>
    <definedName name="bb" localSheetId="0" hidden="1">{"'フローチャート'!$A$1:$AO$191"}</definedName>
    <definedName name="bb" localSheetId="33" hidden="1">{"'フローチャート'!$A$1:$AO$191"}</definedName>
    <definedName name="bb" localSheetId="30" hidden="1">{"'フローチャート'!$A$1:$AO$191"}</definedName>
    <definedName name="bb" localSheetId="4" hidden="1">{"'フローチャート'!$A$1:$AO$191"}</definedName>
    <definedName name="bb" localSheetId="5" hidden="1">{"'フローチャート'!$A$1:$AO$191"}</definedName>
    <definedName name="bb" localSheetId="29" hidden="1">{"'フローチャート'!$A$1:$AO$191"}</definedName>
    <definedName name="bb" hidden="1">{"'フローチャート'!$A$1:$AO$191"}</definedName>
    <definedName name="H" localSheetId="32" hidden="1">{"'フローチャート'!$A$1:$AO$191"}</definedName>
    <definedName name="H" localSheetId="6" hidden="1">{"'フローチャート'!$A$1:$AO$191"}</definedName>
    <definedName name="H" localSheetId="9" hidden="1">{"'フローチャート'!$A$1:$AO$191"}</definedName>
    <definedName name="H" localSheetId="7" hidden="1">{"'フローチャート'!$A$1:$AO$191"}</definedName>
    <definedName name="H" localSheetId="8" hidden="1">{"'フローチャート'!$A$1:$AO$191"}</definedName>
    <definedName name="H" localSheetId="26" hidden="1">{"'フローチャート'!$A$1:$AO$191"}</definedName>
    <definedName name="H" localSheetId="0" hidden="1">{"'フローチャート'!$A$1:$AO$191"}</definedName>
    <definedName name="H" localSheetId="33" hidden="1">{"'フローチャート'!$A$1:$AO$191"}</definedName>
    <definedName name="H" localSheetId="30" hidden="1">{"'フローチャート'!$A$1:$AO$191"}</definedName>
    <definedName name="H" localSheetId="4" hidden="1">{"'フローチャート'!$A$1:$AO$191"}</definedName>
    <definedName name="H" localSheetId="5" hidden="1">{"'フローチャート'!$A$1:$AO$191"}</definedName>
    <definedName name="H" localSheetId="29" hidden="1">{"'フローチャート'!$A$1:$AO$191"}</definedName>
    <definedName name="H" hidden="1">{"'フローチャート'!$A$1:$AO$191"}</definedName>
    <definedName name="HTML_CodePage" hidden="1">932</definedName>
    <definedName name="HTML_Control" localSheetId="32" hidden="1">{"'フローチャート'!$A$1:$AO$191"}</definedName>
    <definedName name="HTML_Control" localSheetId="6" hidden="1">{"'フローチャート'!$A$1:$AO$191"}</definedName>
    <definedName name="HTML_Control" localSheetId="9" hidden="1">{"'フローチャート'!$A$1:$AO$191"}</definedName>
    <definedName name="HTML_Control" localSheetId="7" hidden="1">{"'フローチャート'!$A$1:$AO$191"}</definedName>
    <definedName name="HTML_Control" localSheetId="8" hidden="1">{"'フローチャート'!$A$1:$AO$191"}</definedName>
    <definedName name="HTML_Control" localSheetId="26" hidden="1">{"'フローチャート'!$A$1:$AO$191"}</definedName>
    <definedName name="HTML_Control" localSheetId="0" hidden="1">{"'フローチャート'!$A$1:$AO$191"}</definedName>
    <definedName name="HTML_Control" localSheetId="33" hidden="1">{"'フローチャート'!$A$1:$AO$191"}</definedName>
    <definedName name="HTML_Control" localSheetId="30" hidden="1">{"'フローチャート'!$A$1:$AO$191"}</definedName>
    <definedName name="HTML_Control" localSheetId="4" hidden="1">{"'フローチャート'!$A$1:$AO$191"}</definedName>
    <definedName name="HTML_Control" localSheetId="5" hidden="1">{"'フローチャート'!$A$1:$AO$191"}</definedName>
    <definedName name="HTML_Control" localSheetId="29" hidden="1">{"'フローチャート'!$A$1:$AO$191"}</definedName>
    <definedName name="HTML_Control"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"[問題点一覧.xls]HTML!$A$1:$I$7"</definedName>
    <definedName name="HTML1_10" hidden="1">""</definedName>
    <definedName name="HTML1_11" hidden="1">1</definedName>
    <definedName name="HTML1_12" hidden="1">"C:\WORK\MyHTML.htm"</definedName>
    <definedName name="HTML1_2" hidden="1">1</definedName>
    <definedName name="HTML1_3" hidden="1">"問題点一覧.xls"</definedName>
    <definedName name="HTML1_4" hidden="1">"HTML"</definedName>
    <definedName name="HTML1_5" hidden="1">""</definedName>
    <definedName name="HTML1_6" hidden="1">-4146</definedName>
    <definedName name="HTML1_7" hidden="1">-4146</definedName>
    <definedName name="HTML1_8" hidden="1">"97/06/06"</definedName>
    <definedName name="HTML1_9" hidden="1">"東営本）公共システム部"</definedName>
    <definedName name="HTML2_1" hidden="1">"[問題点一覧.xls]HTML!$A$1:$I$5"</definedName>
    <definedName name="HTML2_10" hidden="1">"kazuyosi@yokohama.se.fujitsu.co.jp"</definedName>
    <definedName name="HTML2_11" hidden="1">1</definedName>
    <definedName name="HTML2_12" hidden="1">"C:\WORK\MyHTML.htm"</definedName>
    <definedName name="HTML2_2" hidden="1">1</definedName>
    <definedName name="HTML2_3" hidden="1">"問題点一覧.xls"</definedName>
    <definedName name="HTML2_4" hidden="1">"横浜市交通局システム更新"</definedName>
    <definedName name="HTML2_5" hidden="1">""</definedName>
    <definedName name="HTML2_6" hidden="1">1</definedName>
    <definedName name="HTML2_7" hidden="1">1</definedName>
    <definedName name="HTML2_8" hidden="1">"97/06/06"</definedName>
    <definedName name="HTML2_9" hidden="1">"松本一善"</definedName>
    <definedName name="HTML3_1" hidden="1">"[問題点一覧.xls]HTML!$A$1:$I$4"</definedName>
    <definedName name="HTML3_10" hidden="1">""</definedName>
    <definedName name="HTML3_11" hidden="1">1</definedName>
    <definedName name="HTML3_12" hidden="1">"G:\部内窓口\iso-wg\www\koutsu.htm"</definedName>
    <definedName name="HTML3_2" hidden="1">1</definedName>
    <definedName name="HTML3_3" hidden="1">"問題点一覧.xls"</definedName>
    <definedName name="HTML3_4" hidden="1">"横浜市交通局プロジェクト"</definedName>
    <definedName name="HTML3_5" hidden="1">""</definedName>
    <definedName name="HTML3_6" hidden="1">-4146</definedName>
    <definedName name="HTML3_7" hidden="1">-4146</definedName>
    <definedName name="HTML3_8" hidden="1">"97/06/13"</definedName>
    <definedName name="HTML3_9" hidden="1">"東営本）公共システム部"</definedName>
    <definedName name="HTML4_1" hidden="1">"[問題点一覧.xls]横浜市交通局プロジェクト!$A$1:$I$4"</definedName>
    <definedName name="HTML4_10" hidden="1">""</definedName>
    <definedName name="HTML4_11" hidden="1">1</definedName>
    <definedName name="HTML4_12" hidden="1">"G:\部内窓口\iso-wg\www\koutsu.htm"</definedName>
    <definedName name="HTML4_2" hidden="1">1</definedName>
    <definedName name="HTML4_3" hidden="1">"問題点一覧"</definedName>
    <definedName name="HTML4_4" hidden="1">"横浜市交通局プロジェクト"</definedName>
    <definedName name="HTML4_5" hidden="1">""</definedName>
    <definedName name="HTML4_6" hidden="1">-4146</definedName>
    <definedName name="HTML4_7" hidden="1">-4146</definedName>
    <definedName name="HTML4_8" hidden="1">"97/06/13"</definedName>
    <definedName name="HTML4_9" hidden="1">"東営本）公共システム部"</definedName>
    <definedName name="HTMLCount" hidden="1">4</definedName>
    <definedName name="I" localSheetId="32" hidden="1">{"'フローチャート'!$A$1:$AO$191"}</definedName>
    <definedName name="I" localSheetId="6" hidden="1">{"'フローチャート'!$A$1:$AO$191"}</definedName>
    <definedName name="I" localSheetId="9" hidden="1">{"'フローチャート'!$A$1:$AO$191"}</definedName>
    <definedName name="I" localSheetId="7" hidden="1">{"'フローチャート'!$A$1:$AO$191"}</definedName>
    <definedName name="I" localSheetId="8" hidden="1">{"'フローチャート'!$A$1:$AO$191"}</definedName>
    <definedName name="I" localSheetId="26" hidden="1">{"'フローチャート'!$A$1:$AO$191"}</definedName>
    <definedName name="I" localSheetId="0" hidden="1">{"'フローチャート'!$A$1:$AO$191"}</definedName>
    <definedName name="I" localSheetId="33" hidden="1">{"'フローチャート'!$A$1:$AO$191"}</definedName>
    <definedName name="I" localSheetId="30" hidden="1">{"'フローチャート'!$A$1:$AO$191"}</definedName>
    <definedName name="I" localSheetId="4" hidden="1">{"'フローチャート'!$A$1:$AO$191"}</definedName>
    <definedName name="I" localSheetId="5" hidden="1">{"'フローチャート'!$A$1:$AO$191"}</definedName>
    <definedName name="I" localSheetId="29" hidden="1">{"'フローチャート'!$A$1:$AO$191"}</definedName>
    <definedName name="I" hidden="1">{"'フローチャート'!$A$1:$AO$191"}</definedName>
    <definedName name="nn" localSheetId="32" hidden="1">{"'フローチャート'!$A$1:$AO$191"}</definedName>
    <definedName name="nn" localSheetId="6" hidden="1">{"'フローチャート'!$A$1:$AO$191"}</definedName>
    <definedName name="nn" localSheetId="9" hidden="1">{"'フローチャート'!$A$1:$AO$191"}</definedName>
    <definedName name="nn" localSheetId="7" hidden="1">{"'フローチャート'!$A$1:$AO$191"}</definedName>
    <definedName name="nn" localSheetId="8" hidden="1">{"'フローチャート'!$A$1:$AO$191"}</definedName>
    <definedName name="nn" localSheetId="26" hidden="1">{"'フローチャート'!$A$1:$AO$191"}</definedName>
    <definedName name="nn" localSheetId="0" hidden="1">{"'フローチャート'!$A$1:$AO$191"}</definedName>
    <definedName name="nn" localSheetId="33" hidden="1">{"'フローチャート'!$A$1:$AO$191"}</definedName>
    <definedName name="nn" localSheetId="30" hidden="1">{"'フローチャート'!$A$1:$AO$191"}</definedName>
    <definedName name="nn" localSheetId="4" hidden="1">{"'フローチャート'!$A$1:$AO$191"}</definedName>
    <definedName name="nn" localSheetId="5" hidden="1">{"'フローチャート'!$A$1:$AO$191"}</definedName>
    <definedName name="nn" localSheetId="29" hidden="1">{"'フローチャート'!$A$1:$AO$191"}</definedName>
    <definedName name="nn" hidden="1">{"'フローチャート'!$A$1:$AO$191"}</definedName>
    <definedName name="_xlnm.Print_Area" localSheetId="32">【重要】送付前確認シート!$A$1:$E$94</definedName>
    <definedName name="_xlnm.Print_Area" localSheetId="6">'⓪ファイルの説明（実績）'!$A$1:$K$21</definedName>
    <definedName name="_xlnm.Print_Area" localSheetId="9">'⓪ファイルの説明（第二期当初交付）'!$A$1:$K$24</definedName>
    <definedName name="_xlnm.Print_Area" localSheetId="7">'⓪ファイルの説明（第二期分割請求）'!$A$1:$K$30</definedName>
    <definedName name="_xlnm.Print_Area" localSheetId="8">'⓪ファイルの説明（当初）'!$B$1:$L$19</definedName>
    <definedName name="_xlnm.Print_Area" localSheetId="10">①基本情報!$A$1:$Q$37</definedName>
    <definedName name="_xlnm.Print_Area" localSheetId="11">'②-1職員名簿'!$A$1:$X$107</definedName>
    <definedName name="_xlnm.Print_Area" localSheetId="12">'②-2勤務時間数入力'!$A$1:$F$106</definedName>
    <definedName name="_xlnm.Print_Area" localSheetId="13">'③児童数及び職員定数 (2)-(1)'!$A$1:$U$10</definedName>
    <definedName name="_xlnm.Print_Area" localSheetId="14">'④-1月別配置内訳書(2)-(2)-(A)'!$A$1:$AI$24</definedName>
    <definedName name="_xlnm.Print_Area" localSheetId="15">'④-2月別配置内訳書(2)-(2)-(B)'!$A$1:$AH$21</definedName>
    <definedName name="_xlnm.Print_Area" localSheetId="16">'④-3月別配置内訳書(2)-(2)-(C)・(D)'!$A$1:$BF$20</definedName>
    <definedName name="_xlnm.Print_Area" localSheetId="17">'④-４月別配置内訳書(2)-(2)-(E)'!$A$1:$V$20</definedName>
    <definedName name="_xlnm.Print_Area" localSheetId="19">⑤基本加算１!$A$1:$J$7</definedName>
    <definedName name="_xlnm.Print_Area" localSheetId="20">⑥基本加算２!$A$1:$J$7</definedName>
    <definedName name="_xlnm.Print_Area" localSheetId="21">⑦基本加算３!$A$1:$J$7</definedName>
    <definedName name="_xlnm.Print_Area" localSheetId="22">⑧一般加算１!$A$1:$N$11</definedName>
    <definedName name="_xlnm.Print_Area" localSheetId="23">⑨一般加算２!$A$1:$N$11</definedName>
    <definedName name="_xlnm.Print_Area" localSheetId="24">⑩特定加算１!$A$1:$J$16</definedName>
    <definedName name="_xlnm.Print_Area" localSheetId="25">⑪特定加算２!$A$1:$J$10</definedName>
    <definedName name="_xlnm.Print_Area" localSheetId="26">⑫公定価格加算分!$A$1:$K$36</definedName>
    <definedName name="_xlnm.Print_Area" localSheetId="4">修正等箇所!$A$1:$G$32</definedName>
    <definedName name="_xlnm.Print_Area" localSheetId="37">精算書!$A$1:$D$23</definedName>
    <definedName name="_xlnm.Print_Area" localSheetId="2">補助金用基本データ!$C$2:$K$58</definedName>
    <definedName name="_xlnm.Print_Area" localSheetId="5">補助転記!$A$1:$AE$22</definedName>
    <definedName name="_xlnm.Print_Area" localSheetId="28">様式１!$A$1:$L$36</definedName>
    <definedName name="_xlnm.Print_Area" localSheetId="27">'様式１（第二期当初交付）'!$A$1:$L$36</definedName>
    <definedName name="_xlnm.Print_Area" localSheetId="31">様式３!$A$1:$H$39</definedName>
    <definedName name="_xlnm.Print_Area" localSheetId="29">'様式３（第二期）'!$A$1:$U$39</definedName>
    <definedName name="_xlnm.Print_Area" localSheetId="34">様式４!$A$1:$H$45</definedName>
    <definedName name="_xlnm.Print_Area" localSheetId="35">様式６!$A$1:$H$38</definedName>
    <definedName name="_xlnm.Print_Area" localSheetId="36">様式８!$A$1:$H$57</definedName>
    <definedName name="_xlnm.Print_Titles" localSheetId="11">'②-1職員名簿'!$1:$6</definedName>
    <definedName name="_xlnm.Print_Titles" localSheetId="12">'②-2勤務時間数入力'!$A:$B,'②-2勤務時間数入力'!$1:$6</definedName>
    <definedName name="_xlnm.Print_Titles" localSheetId="13">'③児童数及び職員定数 (2)-(1)'!$1:$9</definedName>
    <definedName name="q" localSheetId="32" hidden="1">{"'フローチャート'!$A$1:$AO$191"}</definedName>
    <definedName name="q" localSheetId="6" hidden="1">{"'フローチャート'!$A$1:$AO$191"}</definedName>
    <definedName name="q" localSheetId="9" hidden="1">{"'フローチャート'!$A$1:$AO$191"}</definedName>
    <definedName name="q" localSheetId="7" hidden="1">{"'フローチャート'!$A$1:$AO$191"}</definedName>
    <definedName name="q" localSheetId="8" hidden="1">{"'フローチャート'!$A$1:$AO$191"}</definedName>
    <definedName name="q" localSheetId="26" hidden="1">{"'フローチャート'!$A$1:$AO$191"}</definedName>
    <definedName name="q" localSheetId="0" hidden="1">{"'フローチャート'!$A$1:$AO$191"}</definedName>
    <definedName name="q" localSheetId="33" hidden="1">{"'フローチャート'!$A$1:$AO$191"}</definedName>
    <definedName name="q" localSheetId="30" hidden="1">{"'フローチャート'!$A$1:$AO$191"}</definedName>
    <definedName name="q" localSheetId="4" hidden="1">{"'フローチャート'!$A$1:$AO$191"}</definedName>
    <definedName name="q" localSheetId="5" hidden="1">{"'フローチャート'!$A$1:$AO$191"}</definedName>
    <definedName name="q" localSheetId="29" hidden="1">{"'フローチャート'!$A$1:$AO$191"}</definedName>
    <definedName name="q" hidden="1">{"'フローチャート'!$A$1:$AO$191"}</definedName>
    <definedName name="t" localSheetId="32" hidden="1">{"'フローチャート'!$A$1:$AO$191"}</definedName>
    <definedName name="t" localSheetId="6" hidden="1">{"'フローチャート'!$A$1:$AO$191"}</definedName>
    <definedName name="t" localSheetId="9" hidden="1">{"'フローチャート'!$A$1:$AO$191"}</definedName>
    <definedName name="t" localSheetId="7" hidden="1">{"'フローチャート'!$A$1:$AO$191"}</definedName>
    <definedName name="t" localSheetId="8" hidden="1">{"'フローチャート'!$A$1:$AO$191"}</definedName>
    <definedName name="t" localSheetId="26" hidden="1">{"'フローチャート'!$A$1:$AO$191"}</definedName>
    <definedName name="t" localSheetId="0" hidden="1">{"'フローチャート'!$A$1:$AO$191"}</definedName>
    <definedName name="t" localSheetId="33" hidden="1">{"'フローチャート'!$A$1:$AO$191"}</definedName>
    <definedName name="t" localSheetId="30" hidden="1">{"'フローチャート'!$A$1:$AO$191"}</definedName>
    <definedName name="t" localSheetId="4" hidden="1">{"'フローチャート'!$A$1:$AO$191"}</definedName>
    <definedName name="t" localSheetId="5" hidden="1">{"'フローチャート'!$A$1:$AO$191"}</definedName>
    <definedName name="t" localSheetId="29" hidden="1">{"'フローチャート'!$A$1:$AO$191"}</definedName>
    <definedName name="t" hidden="1">{"'フローチャート'!$A$1:$AO$191"}</definedName>
    <definedName name="wrn.世田谷ＤＢ設計書." localSheetId="32"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8"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26"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0"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33"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30"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29"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Z_0855E9E5_5778_4DA3_8566_1EDF1D49F0DC_.wvu.FilterData" localSheetId="2" hidden="1">補助金用基本データ!$B$4:$C$4</definedName>
    <definedName name="Z_0855E9E5_5778_4DA3_8566_1EDF1D49F0DC_.wvu.PrintArea" localSheetId="2" hidden="1">補助金用基本データ!$C$2:$C$58</definedName>
    <definedName name="Z_1AC469FC_9911_4D59_8A70_26B86DEBD0C8_.wvu.FilterData" localSheetId="2" hidden="1">補助金用基本データ!$B$4:$C$4</definedName>
    <definedName name="Z_1AC469FC_9911_4D59_8A70_26B86DEBD0C8_.wvu.PrintArea" localSheetId="2" hidden="1">補助金用基本データ!$C$2:$C$58</definedName>
    <definedName name="Z_20A5C208_2D77_47AC_9276_2908DF1B4BC3_.wvu.PrintArea" localSheetId="29" hidden="1">'様式３（第二期）'!$A$1:$U$37</definedName>
    <definedName name="Z_2CD430B6_E22E_4837_A532_DC027AC8837B_.wvu.PrintArea" localSheetId="29" hidden="1">'様式３（第二期）'!$A$1:$U$37</definedName>
    <definedName name="Z_43EEB976_53CC_4F7E_88D7_7B815759E49E_.wvu.FilterData" localSheetId="2" hidden="1">補助金用基本データ!$B$4:$C$4</definedName>
    <definedName name="Z_43EEB976_53CC_4F7E_88D7_7B815759E49E_.wvu.PrintArea" localSheetId="2" hidden="1">補助金用基本データ!$C$2:$C$58</definedName>
    <definedName name="Z_58C72277_C7C4_4202_8712_90341B53DFB6_.wvu.PrintArea" localSheetId="29" hidden="1">'様式３（第二期）'!$A$1:$U$37</definedName>
    <definedName name="Z_81DDB82F_42B8_430D_91D8_AC37557CDF48_.wvu.FilterData" localSheetId="2" hidden="1">補助金用基本データ!$B$4:$C$4</definedName>
    <definedName name="Z_81DDB82F_42B8_430D_91D8_AC37557CDF48_.wvu.PrintArea" localSheetId="2" hidden="1">補助金用基本データ!$C$2:$C$58</definedName>
    <definedName name="Z_825A9524_861D_4AB1_9F7E_61473484221F_.wvu.PrintArea" localSheetId="29" hidden="1">'様式３（第二期）'!$A$1:$U$37</definedName>
    <definedName name="Z_907E403C_CDB0_408C_B470_42BC5E5AFE95_.wvu.PrintArea" localSheetId="29" hidden="1">'様式３（第二期）'!$A$1:$U$37</definedName>
    <definedName name="Z_96158F24_E9CE_4918_A803_4B267D7B4D8A_.wvu.PrintArea" localSheetId="29" hidden="1">'様式３（第二期）'!$A$1:$U$37</definedName>
    <definedName name="Z_A0AAABD4_331B_40F3_BE8F_DCC38A21B5C3_.wvu.PrintArea" localSheetId="29" hidden="1">'様式３（第二期）'!$A$1:$U$37</definedName>
    <definedName name="Z_A8DC9BAF_BC94_472C_8562_FBE78806F0B8_.wvu.PrintArea" localSheetId="29" hidden="1">'様式３（第二期）'!$A$1:$U$37</definedName>
    <definedName name="Z_B09833BA_020A_4C8A_8D09_409E35D68285_.wvu.PrintArea" localSheetId="29" hidden="1">'様式３（第二期）'!$A$1:$U$37</definedName>
    <definedName name="Z_D2DE1783_6368_46E1_8460_C58C18F78F35_.wvu.PrintArea" localSheetId="29" hidden="1">'様式３（第二期）'!$A$1:$U$37</definedName>
    <definedName name="Z_D408A1D9_F3F4_4258_B04E_542B89053B8F_.wvu.PrintArea" localSheetId="29" hidden="1">'様式３（第二期）'!$A$1:$U$37</definedName>
    <definedName name="Z_F10740C2_9C68_4E0A_BFCA_380B4455C684_.wvu.PrintArea" localSheetId="29" hidden="1">'様式３（第二期）'!$A$1:$U$37</definedName>
    <definedName name="Z_FA3D7650_7D67_4568_BB02_AD662D732217_.wvu.PrintArea" localSheetId="29" hidden="1">'様式３（第二期）'!$A$1:$U$37</definedName>
    <definedName name="ｚｚ" localSheetId="32" hidden="1">{"'Sheet1'!$A$1:$I$163"}</definedName>
    <definedName name="ｚｚ" localSheetId="6" hidden="1">{"'Sheet1'!$A$1:$I$163"}</definedName>
    <definedName name="ｚｚ" localSheetId="9" hidden="1">{"'Sheet1'!$A$1:$I$163"}</definedName>
    <definedName name="ｚｚ" localSheetId="7" hidden="1">{"'Sheet1'!$A$1:$I$163"}</definedName>
    <definedName name="ｚｚ" localSheetId="8" hidden="1">{"'Sheet1'!$A$1:$I$163"}</definedName>
    <definedName name="ｚｚ" localSheetId="26" hidden="1">{"'Sheet1'!$A$1:$I$163"}</definedName>
    <definedName name="ｚｚ" localSheetId="0" hidden="1">{"'Sheet1'!$A$1:$I$163"}</definedName>
    <definedName name="ｚｚ" localSheetId="33" hidden="1">{"'Sheet1'!$A$1:$I$163"}</definedName>
    <definedName name="ｚｚ" localSheetId="30" hidden="1">{"'Sheet1'!$A$1:$I$163"}</definedName>
    <definedName name="ｚｚ" localSheetId="4" hidden="1">{"'Sheet1'!$A$1:$I$163"}</definedName>
    <definedName name="ｚｚ" localSheetId="5" hidden="1">{"'Sheet1'!$A$1:$I$163"}</definedName>
    <definedName name="ｚｚ" localSheetId="29" hidden="1">{"'Sheet1'!$A$1:$I$163"}</definedName>
    <definedName name="ｚｚ" hidden="1">{"'Sheet1'!$A$1:$I$163"}</definedName>
    <definedName name="あ" localSheetId="9">#REF!</definedName>
    <definedName name="あ" localSheetId="8">#REF!</definedName>
    <definedName name="あ" localSheetId="30">#REF!</definedName>
    <definedName name="あああ" localSheetId="32"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6"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9"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7"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8"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26"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0"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33"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30"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29"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り" localSheetId="9">#REF!</definedName>
    <definedName name="あり" localSheetId="8">#REF!</definedName>
    <definedName name="あり" localSheetId="30">#REF!</definedName>
    <definedName name="う" localSheetId="9">#REF!</definedName>
    <definedName name="う" localSheetId="7">#REF!</definedName>
    <definedName name="う" localSheetId="8">#REF!</definedName>
    <definedName name="う" localSheetId="30">#REF!</definedName>
    <definedName name="う" localSheetId="29">#REF!</definedName>
    <definedName name="うち" localSheetId="9">#REF!</definedName>
    <definedName name="うち" localSheetId="7">#REF!</definedName>
    <definedName name="うち" localSheetId="8">#REF!</definedName>
    <definedName name="うち" localSheetId="30">#REF!</definedName>
    <definedName name="うち" localSheetId="29">#REF!</definedName>
    <definedName name="え" localSheetId="32" hidden="1">{"'フローチャート'!$A$1:$AO$191"}</definedName>
    <definedName name="え" localSheetId="6" hidden="1">{"'フローチャート'!$A$1:$AO$191"}</definedName>
    <definedName name="え" localSheetId="9" hidden="1">{"'フローチャート'!$A$1:$AO$191"}</definedName>
    <definedName name="え" localSheetId="7" hidden="1">{"'フローチャート'!$A$1:$AO$191"}</definedName>
    <definedName name="え" localSheetId="8" hidden="1">{"'フローチャート'!$A$1:$AO$191"}</definedName>
    <definedName name="え" localSheetId="26" hidden="1">{"'フローチャート'!$A$1:$AO$191"}</definedName>
    <definedName name="え" localSheetId="0" hidden="1">{"'フローチャート'!$A$1:$AO$191"}</definedName>
    <definedName name="え" localSheetId="33" hidden="1">{"'フローチャート'!$A$1:$AO$191"}</definedName>
    <definedName name="え" localSheetId="30" hidden="1">{"'フローチャート'!$A$1:$AO$191"}</definedName>
    <definedName name="え" localSheetId="4" hidden="1">{"'フローチャート'!$A$1:$AO$191"}</definedName>
    <definedName name="え" localSheetId="5" hidden="1">{"'フローチャート'!$A$1:$AO$191"}</definedName>
    <definedName name="え" localSheetId="29" hidden="1">{"'フローチャート'!$A$1:$AO$191"}</definedName>
    <definedName name="え" hidden="1">{"'フローチャート'!$A$1:$AO$191"}</definedName>
    <definedName name="えっｄ" localSheetId="32" hidden="1">{"'Sheet1'!$A$1:$I$163"}</definedName>
    <definedName name="えっｄ" localSheetId="6" hidden="1">{"'Sheet1'!$A$1:$I$163"}</definedName>
    <definedName name="えっｄ" localSheetId="9" hidden="1">{"'Sheet1'!$A$1:$I$163"}</definedName>
    <definedName name="えっｄ" localSheetId="7" hidden="1">{"'Sheet1'!$A$1:$I$163"}</definedName>
    <definedName name="えっｄ" localSheetId="8" hidden="1">{"'Sheet1'!$A$1:$I$163"}</definedName>
    <definedName name="えっｄ" localSheetId="26" hidden="1">{"'Sheet1'!$A$1:$I$163"}</definedName>
    <definedName name="えっｄ" localSheetId="0" hidden="1">{"'Sheet1'!$A$1:$I$163"}</definedName>
    <definedName name="えっｄ" localSheetId="33" hidden="1">{"'Sheet1'!$A$1:$I$163"}</definedName>
    <definedName name="えっｄ" localSheetId="30" hidden="1">{"'Sheet1'!$A$1:$I$163"}</definedName>
    <definedName name="えっｄ" localSheetId="4" hidden="1">{"'Sheet1'!$A$1:$I$163"}</definedName>
    <definedName name="えっｄ" localSheetId="5" hidden="1">{"'Sheet1'!$A$1:$I$163"}</definedName>
    <definedName name="えっｄ" localSheetId="29" hidden="1">{"'Sheet1'!$A$1:$I$163"}</definedName>
    <definedName name="えっｄ" hidden="1">{"'Sheet1'!$A$1:$I$163"}</definedName>
    <definedName name="なし" localSheetId="9">#REF!</definedName>
    <definedName name="なし" localSheetId="7">#REF!</definedName>
    <definedName name="なし" localSheetId="8">#REF!</definedName>
    <definedName name="なし" localSheetId="30">#REF!</definedName>
    <definedName name="なし" localSheetId="29">#REF!</definedName>
    <definedName name="パート">'②-1職員名簿'!$D$119:$D$120</definedName>
    <definedName name="一般" localSheetId="9">#REF!</definedName>
    <definedName name="一般" localSheetId="7">#REF!</definedName>
    <definedName name="一般" localSheetId="8">#REF!</definedName>
    <definedName name="一般" localSheetId="30">#REF!</definedName>
    <definedName name="一般" localSheetId="29">#REF!</definedName>
    <definedName name="一般1" localSheetId="9">#REF!</definedName>
    <definedName name="一般1" localSheetId="7">#REF!</definedName>
    <definedName name="一般1" localSheetId="8">#REF!</definedName>
    <definedName name="一般1" localSheetId="30">#REF!</definedName>
    <definedName name="一般1" localSheetId="29">#REF!</definedName>
    <definedName name="一般10" localSheetId="30">#REF!</definedName>
    <definedName name="一般11" localSheetId="30">#REF!</definedName>
    <definedName name="一般12" localSheetId="30">#REF!</definedName>
    <definedName name="一般2" localSheetId="30">#REF!</definedName>
    <definedName name="一般3" localSheetId="30">#REF!</definedName>
    <definedName name="一般4" localSheetId="30">#REF!</definedName>
    <definedName name="一般5" localSheetId="30">#REF!</definedName>
    <definedName name="一般6" localSheetId="30">#REF!</definedName>
    <definedName name="一般7" localSheetId="30">#REF!</definedName>
    <definedName name="一般8" localSheetId="30">#REF!</definedName>
    <definedName name="一般9" localSheetId="30">#REF!</definedName>
    <definedName name="稲毛区企業主導型" localSheetId="9">[1]リスト!#REF!</definedName>
    <definedName name="稲毛区企業主導型" localSheetId="7">[1]リスト!#REF!</definedName>
    <definedName name="稲毛区企業主導型" localSheetId="8">[1]リスト!#REF!</definedName>
    <definedName name="稲毛区企業主導型" localSheetId="0">[1]リスト!#REF!</definedName>
    <definedName name="稲毛区企業主導型" localSheetId="30">[1]リスト!#REF!</definedName>
    <definedName name="稲毛区事業所内保育事業" localSheetId="9">[1]リスト!#REF!</definedName>
    <definedName name="稲毛区事業所内保育事業" localSheetId="7">[1]リスト!#REF!</definedName>
    <definedName name="稲毛区事業所内保育事業" localSheetId="8">[1]リスト!#REF!</definedName>
    <definedName name="稲毛区事業所内保育事業" localSheetId="0">[1]リスト!#REF!</definedName>
    <definedName name="稲毛区事業所内保育事業" localSheetId="30">[1]リスト!#REF!</definedName>
    <definedName name="稲毛区小規模保育事業" localSheetId="9">[1]リスト!#REF!</definedName>
    <definedName name="稲毛区小規模保育事業" localSheetId="7">[1]リスト!#REF!</definedName>
    <definedName name="稲毛区小規模保育事業" localSheetId="8">[1]リスト!#REF!</definedName>
    <definedName name="稲毛区小規模保育事業" localSheetId="0">[1]リスト!#REF!</definedName>
    <definedName name="稲毛区小規模保育事業" localSheetId="30">[1]リスト!#REF!</definedName>
    <definedName name="稲毛区保育ルーム" localSheetId="9">[1]リスト!#REF!</definedName>
    <definedName name="稲毛区保育ルーム" localSheetId="7">[1]リスト!#REF!</definedName>
    <definedName name="稲毛区保育ルーム" localSheetId="8">[1]リスト!#REF!</definedName>
    <definedName name="稲毛区保育ルーム" localSheetId="0">[1]リスト!#REF!</definedName>
    <definedName name="稲毛区保育ルーム" localSheetId="30">[1]リスト!#REF!</definedName>
    <definedName name="稲毛区役所" localSheetId="32" hidden="1">{"'Sheet1'!$A$1:$I$163"}</definedName>
    <definedName name="稲毛区役所" localSheetId="6" hidden="1">{"'Sheet1'!$A$1:$I$163"}</definedName>
    <definedName name="稲毛区役所" localSheetId="9" hidden="1">{"'Sheet1'!$A$1:$I$163"}</definedName>
    <definedName name="稲毛区役所" localSheetId="7" hidden="1">{"'Sheet1'!$A$1:$I$163"}</definedName>
    <definedName name="稲毛区役所" localSheetId="8" hidden="1">{"'Sheet1'!$A$1:$I$163"}</definedName>
    <definedName name="稲毛区役所" localSheetId="26" hidden="1">{"'Sheet1'!$A$1:$I$163"}</definedName>
    <definedName name="稲毛区役所" localSheetId="0" hidden="1">{"'Sheet1'!$A$1:$I$163"}</definedName>
    <definedName name="稲毛区役所" localSheetId="33" hidden="1">{"'Sheet1'!$A$1:$I$163"}</definedName>
    <definedName name="稲毛区役所" localSheetId="30" hidden="1">{"'Sheet1'!$A$1:$I$163"}</definedName>
    <definedName name="稲毛区役所" localSheetId="4" hidden="1">{"'Sheet1'!$A$1:$I$163"}</definedName>
    <definedName name="稲毛区役所" localSheetId="5" hidden="1">{"'Sheet1'!$A$1:$I$163"}</definedName>
    <definedName name="稲毛区役所" localSheetId="29" hidden="1">{"'Sheet1'!$A$1:$I$163"}</definedName>
    <definedName name="稲毛区役所" hidden="1">{"'Sheet1'!$A$1:$I$163"}</definedName>
    <definedName name="稲毛区幼稚園型認定こども園">リスト!$L$6:$L$13</definedName>
    <definedName name="稲毛区幼保連携型認定こども園">リスト!$K$6</definedName>
    <definedName name="花見川区企業主導型" localSheetId="9">[1]リスト!#REF!</definedName>
    <definedName name="花見川区企業主導型" localSheetId="7">[1]リスト!#REF!</definedName>
    <definedName name="花見川区企業主導型" localSheetId="8">[1]リスト!#REF!</definedName>
    <definedName name="花見川区企業主導型" localSheetId="0">[1]リスト!#REF!</definedName>
    <definedName name="花見川区企業主導型" localSheetId="30">[1]リスト!#REF!</definedName>
    <definedName name="花見川区給付型幼稚園" localSheetId="9">[1]リスト!#REF!</definedName>
    <definedName name="花見川区給付型幼稚園" localSheetId="7">[1]リスト!#REF!</definedName>
    <definedName name="花見川区給付型幼稚園" localSheetId="8">[1]リスト!#REF!</definedName>
    <definedName name="花見川区給付型幼稚園" localSheetId="0">[1]リスト!#REF!</definedName>
    <definedName name="花見川区給付型幼稚園" localSheetId="30">[1]リスト!#REF!</definedName>
    <definedName name="花見川区小規模保育事業" localSheetId="9">[1]リスト!#REF!</definedName>
    <definedName name="花見川区小規模保育事業" localSheetId="7">[1]リスト!#REF!</definedName>
    <definedName name="花見川区小規模保育事業" localSheetId="8">[1]リスト!#REF!</definedName>
    <definedName name="花見川区小規模保育事業" localSheetId="0">[1]リスト!#REF!</definedName>
    <definedName name="花見川区小規模保育事業" localSheetId="30">[1]リスト!#REF!</definedName>
    <definedName name="花見川区保育ルーム" localSheetId="9">[1]リスト!#REF!</definedName>
    <definedName name="花見川区保育ルーム" localSheetId="7">[1]リスト!#REF!</definedName>
    <definedName name="花見川区保育ルーム" localSheetId="8">[1]リスト!#REF!</definedName>
    <definedName name="花見川区保育ルーム" localSheetId="0">[1]リスト!#REF!</definedName>
    <definedName name="花見川区保育ルーム" localSheetId="30">[1]リスト!#REF!</definedName>
    <definedName name="花見川区幼稚園型認定こども園">リスト!$G$6:$G$11</definedName>
    <definedName name="花見川区幼保連携型認定こども園">リスト!$F$6</definedName>
    <definedName name="管外" localSheetId="9">#REF!</definedName>
    <definedName name="管外" localSheetId="7">#REF!</definedName>
    <definedName name="管外" localSheetId="8">#REF!</definedName>
    <definedName name="管外" localSheetId="30">#REF!</definedName>
    <definedName name="管外" localSheetId="29">#REF!</definedName>
    <definedName name="管外5" localSheetId="9">#REF!</definedName>
    <definedName name="管外5" localSheetId="7">#REF!</definedName>
    <definedName name="管外5" localSheetId="8">#REF!</definedName>
    <definedName name="管外5" localSheetId="30">#REF!</definedName>
    <definedName name="管外5" localSheetId="29">#REF!</definedName>
    <definedName name="既交付額・精算額" localSheetId="9">[2]支払い一覧!$A$166:$P$220</definedName>
    <definedName name="既交付額・精算額" localSheetId="7">[2]支払い一覧!$A$166:$P$220</definedName>
    <definedName name="既交付額・精算額" localSheetId="29">[2]支払い一覧!$A$166:$P$220</definedName>
    <definedName name="月" localSheetId="9">#REF!</definedName>
    <definedName name="月" localSheetId="7">#REF!</definedName>
    <definedName name="月" localSheetId="8">#REF!</definedName>
    <definedName name="月" localSheetId="30">#REF!</definedName>
    <definedName name="月" localSheetId="29">#REF!</definedName>
    <definedName name="研修サーバ" localSheetId="32" hidden="1">{"'フローチャート'!$A$1:$AO$191"}</definedName>
    <definedName name="研修サーバ" localSheetId="6" hidden="1">{"'フローチャート'!$A$1:$AO$191"}</definedName>
    <definedName name="研修サーバ" localSheetId="9" hidden="1">{"'フローチャート'!$A$1:$AO$191"}</definedName>
    <definedName name="研修サーバ" localSheetId="7" hidden="1">{"'フローチャート'!$A$1:$AO$191"}</definedName>
    <definedName name="研修サーバ" localSheetId="8" hidden="1">{"'フローチャート'!$A$1:$AO$191"}</definedName>
    <definedName name="研修サーバ" localSheetId="26" hidden="1">{"'フローチャート'!$A$1:$AO$191"}</definedName>
    <definedName name="研修サーバ" localSheetId="0" hidden="1">{"'フローチャート'!$A$1:$AO$191"}</definedName>
    <definedName name="研修サーバ" localSheetId="33" hidden="1">{"'フローチャート'!$A$1:$AO$191"}</definedName>
    <definedName name="研修サーバ" localSheetId="30" hidden="1">{"'フローチャート'!$A$1:$AO$191"}</definedName>
    <definedName name="研修サーバ" localSheetId="4" hidden="1">{"'フローチャート'!$A$1:$AO$191"}</definedName>
    <definedName name="研修サーバ" localSheetId="5" hidden="1">{"'フローチャート'!$A$1:$AO$191"}</definedName>
    <definedName name="研修サーバ" localSheetId="29" hidden="1">{"'フローチャート'!$A$1:$AO$191"}</definedName>
    <definedName name="研修サーバ" hidden="1">{"'フローチャート'!$A$1:$AO$191"}</definedName>
    <definedName name="交付" localSheetId="9">[2]交付決定内訳一覧!$A$4:$I$35+[2]交付決定内訳一覧!$A$4:$I$42</definedName>
    <definedName name="交付" localSheetId="7">[2]交付決定内訳一覧!$A$4:$I$35+[2]交付決定内訳一覧!$A$4:$I$42</definedName>
    <definedName name="交付" localSheetId="29">[2]交付決定内訳一覧!$A$4:$I$35+[2]交付決定内訳一覧!$A$4:$I$42</definedName>
    <definedName name="交付決定額" localSheetId="9">[2]交付決定内訳一覧!$A$4:$I$55</definedName>
    <definedName name="交付決定額" localSheetId="7">[2]交付決定内訳一覧!$A$4:$I$55</definedName>
    <definedName name="交付決定額" localSheetId="29">[2]交付決定内訳一覧!$A$4:$I$55</definedName>
    <definedName name="合計4" localSheetId="9">#REF!</definedName>
    <definedName name="合計4" localSheetId="7">#REF!</definedName>
    <definedName name="合計4" localSheetId="8">#REF!</definedName>
    <definedName name="合計4" localSheetId="30">#REF!</definedName>
    <definedName name="合計4" localSheetId="29">#REF!</definedName>
    <definedName name="合計5" localSheetId="30">#REF!</definedName>
    <definedName name="合計5" localSheetId="29">#REF!</definedName>
    <definedName name="合計6" localSheetId="30">#REF!</definedName>
    <definedName name="合計6" localSheetId="29">#REF!</definedName>
    <definedName name="合番" localSheetId="30">#REF!</definedName>
    <definedName name="合番5" localSheetId="30">#REF!</definedName>
    <definedName name="若葉区家庭的保育事業" localSheetId="9">[1]リスト!#REF!</definedName>
    <definedName name="若葉区家庭的保育事業" localSheetId="7">[1]リスト!#REF!</definedName>
    <definedName name="若葉区家庭的保育事業" localSheetId="8">[1]リスト!#REF!</definedName>
    <definedName name="若葉区家庭的保育事業" localSheetId="0">[1]リスト!#REF!</definedName>
    <definedName name="若葉区家庭的保育事業" localSheetId="30">[1]リスト!#REF!</definedName>
    <definedName name="若葉区小規模保育事業" localSheetId="9">[1]リスト!#REF!</definedName>
    <definedName name="若葉区小規模保育事業" localSheetId="7">[1]リスト!#REF!</definedName>
    <definedName name="若葉区小規模保育事業" localSheetId="8">[1]リスト!#REF!</definedName>
    <definedName name="若葉区小規模保育事業" localSheetId="0">[1]リスト!#REF!</definedName>
    <definedName name="若葉区小規模保育事業" localSheetId="30">[1]リスト!#REF!</definedName>
    <definedName name="若葉区幼稚園型認定こども園">リスト!$Q$6:$Q$9</definedName>
    <definedName name="若葉区幼保連携型認定こども園">リスト!$P$6:$P$7</definedName>
    <definedName name="嘱託">'②-1職員名簿'!$D$119:$D$120</definedName>
    <definedName name="正">'②-1職員名簿'!$D$119</definedName>
    <definedName name="第１四半期" localSheetId="9">[2]支払い一覧!$A$4:$P$55</definedName>
    <definedName name="第１四半期" localSheetId="7">[2]支払い一覧!$A$4:$P$55</definedName>
    <definedName name="第１四半期" localSheetId="29">[2]支払い一覧!$A$4:$P$55</definedName>
    <definedName name="第２四半期" localSheetId="9">[2]支払い一覧!$A$59:$P$110</definedName>
    <definedName name="第２四半期" localSheetId="7">[2]支払い一覧!$A$59:$P$110</definedName>
    <definedName name="第２四半期" localSheetId="29">[2]支払い一覧!$A$59:$P$110</definedName>
    <definedName name="第３四半期" localSheetId="9">[2]支払い一覧!$A$114:$P$165</definedName>
    <definedName name="第３四半期" localSheetId="7">[2]支払い一覧!$A$114:$P$165</definedName>
    <definedName name="第３四半期" localSheetId="29">[2]支払い一覧!$A$114:$P$165</definedName>
    <definedName name="単131" localSheetId="9">#REF!</definedName>
    <definedName name="単131" localSheetId="7">#REF!</definedName>
    <definedName name="単131" localSheetId="8">#REF!</definedName>
    <definedName name="単131" localSheetId="30">#REF!</definedName>
    <definedName name="単131" localSheetId="29">#REF!</definedName>
    <definedName name="単132" localSheetId="30">#REF!</definedName>
    <definedName name="単132" localSheetId="29">#REF!</definedName>
    <definedName name="単133" localSheetId="30">#REF!</definedName>
    <definedName name="単133" localSheetId="29">#REF!</definedName>
    <definedName name="単134" localSheetId="30">#REF!</definedName>
    <definedName name="単135" localSheetId="30">#REF!</definedName>
    <definedName name="中央区家庭的保育事業" localSheetId="9">[1]リスト!#REF!</definedName>
    <definedName name="中央区家庭的保育事業" localSheetId="7">[1]リスト!#REF!</definedName>
    <definedName name="中央区家庭的保育事業" localSheetId="8">[1]リスト!#REF!</definedName>
    <definedName name="中央区家庭的保育事業" localSheetId="0">[1]リスト!#REF!</definedName>
    <definedName name="中央区家庭的保育事業" localSheetId="30">[1]リスト!#REF!</definedName>
    <definedName name="中央区企業主導型" localSheetId="9">[1]リスト!#REF!</definedName>
    <definedName name="中央区企業主導型" localSheetId="7">[1]リスト!#REF!</definedName>
    <definedName name="中央区企業主導型" localSheetId="8">[1]リスト!#REF!</definedName>
    <definedName name="中央区企業主導型" localSheetId="0">[1]リスト!#REF!</definedName>
    <definedName name="中央区企業主導型" localSheetId="30">[1]リスト!#REF!</definedName>
    <definedName name="中央区給付型幼稚園" localSheetId="9">[1]リスト!#REF!</definedName>
    <definedName name="中央区給付型幼稚園" localSheetId="7">[1]リスト!#REF!</definedName>
    <definedName name="中央区給付型幼稚園" localSheetId="8">[1]リスト!#REF!</definedName>
    <definedName name="中央区給付型幼稚園" localSheetId="0">[1]リスト!#REF!</definedName>
    <definedName name="中央区給付型幼稚園" localSheetId="30">[1]リスト!#REF!</definedName>
    <definedName name="中央区事業所内保育事業" localSheetId="9">[1]リスト!#REF!</definedName>
    <definedName name="中央区事業所内保育事業" localSheetId="7">[1]リスト!#REF!</definedName>
    <definedName name="中央区事業所内保育事業" localSheetId="8">[1]リスト!#REF!</definedName>
    <definedName name="中央区事業所内保育事業" localSheetId="0">[1]リスト!#REF!</definedName>
    <definedName name="中央区事業所内保育事業" localSheetId="30">[1]リスト!#REF!</definedName>
    <definedName name="中央区小規模保育事業" localSheetId="9">[1]リスト!#REF!</definedName>
    <definedName name="中央区小規模保育事業" localSheetId="7">[1]リスト!#REF!</definedName>
    <definedName name="中央区小規模保育事業" localSheetId="0">[1]リスト!#REF!</definedName>
    <definedName name="中央区小規模保育事業" localSheetId="30">[1]リスト!#REF!</definedName>
    <definedName name="中央区保育ルーム" localSheetId="9">[1]リスト!#REF!</definedName>
    <definedName name="中央区保育ルーム" localSheetId="7">[1]リスト!#REF!</definedName>
    <definedName name="中央区保育ルーム" localSheetId="0">[1]リスト!#REF!</definedName>
    <definedName name="中央区保育ルーム" localSheetId="30">[1]リスト!#REF!</definedName>
    <definedName name="中央区幼稚園型認定こども園">リスト!$B$6:$B$15</definedName>
    <definedName name="中央区幼保連携型認定こども園">リスト!$A$6:$A$7</definedName>
    <definedName name="当初" localSheetId="9">[2]交付決定内訳一覧!$A$4:$I$55</definedName>
    <definedName name="当初" localSheetId="7">[2]交付決定内訳一覧!$A$4:$I$55</definedName>
    <definedName name="当初" localSheetId="29">[2]交付決定内訳一覧!$A$4:$I$55</definedName>
    <definedName name="内番１" localSheetId="9">#REF!</definedName>
    <definedName name="内番１" localSheetId="7">#REF!</definedName>
    <definedName name="内番１" localSheetId="8">#REF!</definedName>
    <definedName name="内番１" localSheetId="30">#REF!</definedName>
    <definedName name="内番１" localSheetId="29">#REF!</definedName>
    <definedName name="内番2" localSheetId="30">#REF!</definedName>
    <definedName name="内番2" localSheetId="29">#REF!</definedName>
    <definedName name="美浜区家庭的保育事業" localSheetId="9">[1]リスト!#REF!</definedName>
    <definedName name="美浜区家庭的保育事業" localSheetId="7">[1]リスト!#REF!</definedName>
    <definedName name="美浜区家庭的保育事業" localSheetId="8">[1]リスト!#REF!</definedName>
    <definedName name="美浜区家庭的保育事業" localSheetId="0">[1]リスト!#REF!</definedName>
    <definedName name="美浜区家庭的保育事業" localSheetId="30">[1]リスト!#REF!</definedName>
    <definedName name="美浜区企業主導型" localSheetId="9">[1]リスト!#REF!</definedName>
    <definedName name="美浜区企業主導型" localSheetId="7">[1]リスト!#REF!</definedName>
    <definedName name="美浜区企業主導型" localSheetId="8">[1]リスト!#REF!</definedName>
    <definedName name="美浜区企業主導型" localSheetId="0">[1]リスト!#REF!</definedName>
    <definedName name="美浜区企業主導型" localSheetId="30">[1]リスト!#REF!</definedName>
    <definedName name="美浜区事業所内保育事業" localSheetId="9">[1]リスト!#REF!</definedName>
    <definedName name="美浜区事業所内保育事業" localSheetId="7">[1]リスト!#REF!</definedName>
    <definedName name="美浜区事業所内保育事業" localSheetId="8">[1]リスト!#REF!</definedName>
    <definedName name="美浜区事業所内保育事業" localSheetId="0">[1]リスト!#REF!</definedName>
    <definedName name="美浜区事業所内保育事業" localSheetId="30">[1]リスト!#REF!</definedName>
    <definedName name="美浜区小規模保育事業" localSheetId="9">[1]リスト!#REF!</definedName>
    <definedName name="美浜区小規模保育事業" localSheetId="7">[1]リスト!#REF!</definedName>
    <definedName name="美浜区小規模保育事業" localSheetId="8">[1]リスト!#REF!</definedName>
    <definedName name="美浜区小規模保育事業" localSheetId="0">[1]リスト!#REF!</definedName>
    <definedName name="美浜区小規模保育事業" localSheetId="30">[1]リスト!#REF!</definedName>
    <definedName name="美浜区保育ルーム" localSheetId="9">[1]リスト!#REF!</definedName>
    <definedName name="美浜区保育ルーム" localSheetId="7">[1]リスト!#REF!</definedName>
    <definedName name="美浜区保育ルーム" localSheetId="0">[1]リスト!#REF!</definedName>
    <definedName name="美浜区保育ルーム" localSheetId="30">[1]リスト!#REF!</definedName>
    <definedName name="美浜区幼稚園型認定こども園">リスト!$AA$6:$AA$12</definedName>
    <definedName name="美浜区幼保連携型認定こども園">リスト!$Z$6:$Z$12</definedName>
    <definedName name="変更決" localSheetId="9">[2]変更決定一覧!$A$4:$L$54</definedName>
    <definedName name="変更決" localSheetId="7">[2]変更決定一覧!$A$4:$L$54</definedName>
    <definedName name="変更決" localSheetId="29">[2]変更決定一覧!$A$4:$L$54</definedName>
    <definedName name="保育単価表４月" localSheetId="9">#REF!</definedName>
    <definedName name="保育単価表４月" localSheetId="7">#REF!</definedName>
    <definedName name="保育単価表４月" localSheetId="8">#REF!</definedName>
    <definedName name="保育単価表４月" localSheetId="30">#REF!</definedName>
    <definedName name="保育単価表４月" localSheetId="29">#REF!</definedName>
    <definedName name="緑区家庭的保育事業" localSheetId="9">[1]リスト!#REF!</definedName>
    <definedName name="緑区家庭的保育事業" localSheetId="7">[1]リスト!#REF!</definedName>
    <definedName name="緑区家庭的保育事業" localSheetId="8">[1]リスト!#REF!</definedName>
    <definedName name="緑区家庭的保育事業" localSheetId="0">[1]リスト!#REF!</definedName>
    <definedName name="緑区家庭的保育事業" localSheetId="30">[1]リスト!#REF!</definedName>
    <definedName name="緑区企業主導型" localSheetId="9">[1]リスト!#REF!</definedName>
    <definedName name="緑区企業主導型" localSheetId="7">[1]リスト!#REF!</definedName>
    <definedName name="緑区企業主導型" localSheetId="8">[1]リスト!#REF!</definedName>
    <definedName name="緑区企業主導型" localSheetId="0">[1]リスト!#REF!</definedName>
    <definedName name="緑区企業主導型" localSheetId="30">[1]リスト!#REF!</definedName>
    <definedName name="緑区事業所内保育事業" localSheetId="9">[1]リスト!#REF!</definedName>
    <definedName name="緑区事業所内保育事業" localSheetId="7">[1]リスト!#REF!</definedName>
    <definedName name="緑区事業所内保育事業" localSheetId="8">[1]リスト!#REF!</definedName>
    <definedName name="緑区事業所内保育事業" localSheetId="0">[1]リスト!#REF!</definedName>
    <definedName name="緑区事業所内保育事業" localSheetId="30">[1]リスト!#REF!</definedName>
    <definedName name="緑区小規模保育事業" localSheetId="9">[1]リスト!#REF!</definedName>
    <definedName name="緑区小規模保育事業" localSheetId="7">[1]リスト!#REF!</definedName>
    <definedName name="緑区小規模保育事業" localSheetId="8">[1]リスト!#REF!</definedName>
    <definedName name="緑区小規模保育事業" localSheetId="0">[1]リスト!#REF!</definedName>
    <definedName name="緑区小規模保育事業" localSheetId="30">[1]リスト!#REF!</definedName>
    <definedName name="緑区地方裁量型認定こども園">リスト!$X$6</definedName>
    <definedName name="緑区保育ルーム" localSheetId="9">[1]リスト!#REF!</definedName>
    <definedName name="緑区保育ルーム" localSheetId="7">[1]リスト!#REF!</definedName>
    <definedName name="緑区保育ルーム" localSheetId="8">[1]リスト!#REF!</definedName>
    <definedName name="緑区保育ルーム" localSheetId="0">[1]リスト!#REF!</definedName>
    <definedName name="緑区保育ルーム" localSheetId="30">[1]リスト!#REF!</definedName>
    <definedName name="緑区保育所型認定こども園">リスト!$W$6</definedName>
    <definedName name="緑区幼稚園型認定こども園">リスト!$V$6:$V$10</definedName>
    <definedName name="緑区幼保連携型認定こども園">リスト!$U$6:$U$9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1" i="65" l="1"/>
  <c r="T21" i="65"/>
  <c r="U21" i="65"/>
  <c r="V21" i="65"/>
  <c r="W21" i="65"/>
  <c r="X21" i="65"/>
  <c r="Y21" i="65"/>
  <c r="Z21" i="65"/>
  <c r="AA21" i="65"/>
  <c r="AB21" i="65"/>
  <c r="AC21" i="65"/>
  <c r="AD21" i="65"/>
  <c r="S22" i="65"/>
  <c r="T22" i="65"/>
  <c r="U22" i="65"/>
  <c r="V22" i="65"/>
  <c r="W22" i="65"/>
  <c r="X22" i="65"/>
  <c r="Y22" i="65"/>
  <c r="Z22" i="65"/>
  <c r="AA22" i="65"/>
  <c r="AB22" i="65"/>
  <c r="AC22" i="65"/>
  <c r="AD22" i="65"/>
  <c r="S23" i="65"/>
  <c r="T23" i="65"/>
  <c r="U23" i="65"/>
  <c r="V23" i="65"/>
  <c r="W23" i="65"/>
  <c r="X23" i="65"/>
  <c r="Y23" i="65"/>
  <c r="Z23" i="65"/>
  <c r="AA23" i="65"/>
  <c r="AB23" i="65"/>
  <c r="AC23" i="65"/>
  <c r="AD23" i="65"/>
  <c r="S24" i="65"/>
  <c r="T24" i="65"/>
  <c r="U24" i="65"/>
  <c r="V24" i="65"/>
  <c r="W24" i="65"/>
  <c r="X24" i="65"/>
  <c r="Y24" i="65"/>
  <c r="Z24" i="65"/>
  <c r="AA24" i="65"/>
  <c r="AB24" i="65"/>
  <c r="AC24" i="65"/>
  <c r="AD24" i="65"/>
  <c r="S25" i="65"/>
  <c r="T25" i="65"/>
  <c r="U25" i="65"/>
  <c r="V25" i="65"/>
  <c r="W25" i="65"/>
  <c r="X25" i="65"/>
  <c r="Y25" i="65"/>
  <c r="Z25" i="65"/>
  <c r="AA25" i="65"/>
  <c r="AB25" i="65"/>
  <c r="AC25" i="65"/>
  <c r="AD25" i="65"/>
  <c r="S26" i="65"/>
  <c r="T26" i="65"/>
  <c r="U26" i="65"/>
  <c r="V26" i="65"/>
  <c r="W26" i="65"/>
  <c r="X26" i="65"/>
  <c r="Y26" i="65"/>
  <c r="Z26" i="65"/>
  <c r="AA26" i="65"/>
  <c r="AB26" i="65"/>
  <c r="AC26" i="65"/>
  <c r="AD26" i="65"/>
  <c r="S27" i="65"/>
  <c r="T27" i="65"/>
  <c r="U27" i="65"/>
  <c r="V27" i="65"/>
  <c r="W27" i="65"/>
  <c r="X27" i="65"/>
  <c r="Y27" i="65"/>
  <c r="Z27" i="65"/>
  <c r="AA27" i="65"/>
  <c r="AB27" i="65"/>
  <c r="AC27" i="65"/>
  <c r="AD27" i="65"/>
  <c r="S28" i="65"/>
  <c r="T28" i="65"/>
  <c r="U28" i="65"/>
  <c r="V28" i="65"/>
  <c r="W28" i="65"/>
  <c r="X28" i="65"/>
  <c r="Y28" i="65"/>
  <c r="Z28" i="65"/>
  <c r="AA28" i="65"/>
  <c r="AB28" i="65"/>
  <c r="AC28" i="65"/>
  <c r="AD28" i="65"/>
  <c r="S29" i="65"/>
  <c r="T29" i="65"/>
  <c r="U29" i="65"/>
  <c r="V29" i="65"/>
  <c r="W29" i="65"/>
  <c r="X29" i="65"/>
  <c r="Y29" i="65"/>
  <c r="Z29" i="65"/>
  <c r="AA29" i="65"/>
  <c r="AB29" i="65"/>
  <c r="AC29" i="65"/>
  <c r="AD29" i="65"/>
  <c r="T20" i="65"/>
  <c r="U20" i="65"/>
  <c r="V20" i="65"/>
  <c r="W20" i="65"/>
  <c r="X20" i="65"/>
  <c r="Y20" i="65"/>
  <c r="Z20" i="65"/>
  <c r="AA20" i="65"/>
  <c r="AB20" i="65"/>
  <c r="AC20" i="65"/>
  <c r="AD20" i="65"/>
  <c r="S20" i="65"/>
  <c r="T19" i="65"/>
  <c r="U19" i="65"/>
  <c r="V19" i="65"/>
  <c r="W19" i="65"/>
  <c r="X19" i="65"/>
  <c r="Y19" i="65"/>
  <c r="Z19" i="65"/>
  <c r="AA19" i="65"/>
  <c r="AB19" i="65"/>
  <c r="AC19" i="65"/>
  <c r="AD19" i="65"/>
  <c r="S19" i="65"/>
  <c r="I6" i="39"/>
  <c r="I6" i="38"/>
  <c r="E12" i="4"/>
  <c r="F12" i="4"/>
  <c r="E13" i="4"/>
  <c r="F13" i="4"/>
  <c r="E14" i="4"/>
  <c r="F14" i="4"/>
  <c r="E15" i="4"/>
  <c r="F15" i="4"/>
  <c r="E16" i="4"/>
  <c r="F16" i="4"/>
  <c r="E17" i="4"/>
  <c r="F17" i="4"/>
  <c r="E18" i="4"/>
  <c r="F18" i="4"/>
  <c r="E19" i="4"/>
  <c r="F19" i="4"/>
  <c r="E20" i="4"/>
  <c r="F20" i="4"/>
  <c r="E21" i="4"/>
  <c r="F21" i="4"/>
  <c r="E22" i="4"/>
  <c r="F22" i="4"/>
  <c r="E23" i="4"/>
  <c r="F23" i="4"/>
  <c r="E24" i="4"/>
  <c r="F24" i="4"/>
  <c r="E25" i="4"/>
  <c r="F25" i="4"/>
  <c r="E26" i="4"/>
  <c r="F26" i="4"/>
  <c r="E27" i="4"/>
  <c r="F27" i="4"/>
  <c r="E28" i="4"/>
  <c r="F28" i="4"/>
  <c r="E29" i="4"/>
  <c r="F29" i="4"/>
  <c r="E30" i="4"/>
  <c r="F30" i="4"/>
  <c r="E31" i="4"/>
  <c r="F31" i="4"/>
  <c r="E32" i="4"/>
  <c r="F32" i="4"/>
  <c r="E33" i="4"/>
  <c r="F33" i="4"/>
  <c r="E34" i="4"/>
  <c r="F34" i="4"/>
  <c r="E35" i="4"/>
  <c r="F35" i="4"/>
  <c r="E36" i="4"/>
  <c r="F36" i="4"/>
  <c r="E37" i="4"/>
  <c r="F37" i="4"/>
  <c r="E38" i="4"/>
  <c r="F38" i="4"/>
  <c r="E39" i="4"/>
  <c r="F39" i="4"/>
  <c r="E40" i="4"/>
  <c r="F40" i="4"/>
  <c r="E41" i="4"/>
  <c r="F41" i="4"/>
  <c r="E42" i="4"/>
  <c r="F42" i="4"/>
  <c r="E43" i="4"/>
  <c r="F43" i="4"/>
  <c r="E44" i="4"/>
  <c r="F44" i="4"/>
  <c r="E45" i="4"/>
  <c r="F45" i="4"/>
  <c r="E46" i="4"/>
  <c r="F46" i="4"/>
  <c r="E47" i="4"/>
  <c r="F47" i="4"/>
  <c r="E48" i="4"/>
  <c r="F48" i="4"/>
  <c r="E49" i="4"/>
  <c r="F49" i="4"/>
  <c r="E50" i="4"/>
  <c r="F50" i="4"/>
  <c r="E51" i="4"/>
  <c r="F51" i="4"/>
  <c r="E52" i="4"/>
  <c r="F52" i="4"/>
  <c r="E53" i="4"/>
  <c r="F53" i="4"/>
  <c r="E54" i="4"/>
  <c r="F54" i="4"/>
  <c r="E55" i="4"/>
  <c r="F55" i="4"/>
  <c r="E56" i="4"/>
  <c r="F56" i="4"/>
  <c r="E57" i="4"/>
  <c r="F57" i="4"/>
  <c r="E58" i="4"/>
  <c r="F58" i="4"/>
  <c r="E59" i="4"/>
  <c r="F59" i="4"/>
  <c r="E60" i="4"/>
  <c r="F60" i="4"/>
  <c r="E61" i="4"/>
  <c r="F61" i="4"/>
  <c r="E62" i="4"/>
  <c r="F62" i="4"/>
  <c r="E63" i="4"/>
  <c r="F63" i="4"/>
  <c r="E64" i="4"/>
  <c r="F64" i="4"/>
  <c r="E65" i="4"/>
  <c r="F65" i="4"/>
  <c r="E66" i="4"/>
  <c r="F66" i="4"/>
  <c r="E67" i="4"/>
  <c r="F67" i="4"/>
  <c r="E68" i="4"/>
  <c r="F68" i="4"/>
  <c r="E69" i="4"/>
  <c r="F69" i="4"/>
  <c r="E70" i="4"/>
  <c r="F70" i="4"/>
  <c r="E71" i="4"/>
  <c r="F71" i="4"/>
  <c r="E72" i="4"/>
  <c r="F72" i="4"/>
  <c r="E73" i="4"/>
  <c r="F73" i="4"/>
  <c r="E74" i="4"/>
  <c r="F74" i="4"/>
  <c r="E75" i="4"/>
  <c r="F75" i="4"/>
  <c r="E76" i="4"/>
  <c r="F76" i="4"/>
  <c r="E77" i="4"/>
  <c r="F77" i="4"/>
  <c r="E78" i="4"/>
  <c r="F78" i="4"/>
  <c r="E79" i="4"/>
  <c r="F79" i="4"/>
  <c r="E80" i="4"/>
  <c r="F80" i="4"/>
  <c r="E81" i="4"/>
  <c r="F81" i="4"/>
  <c r="E82" i="4"/>
  <c r="F82" i="4"/>
  <c r="E83" i="4"/>
  <c r="F83" i="4"/>
  <c r="E84" i="4"/>
  <c r="F84" i="4"/>
  <c r="E85" i="4"/>
  <c r="F85" i="4"/>
  <c r="E86" i="4"/>
  <c r="F86" i="4"/>
  <c r="E87" i="4"/>
  <c r="F87" i="4"/>
  <c r="E88" i="4"/>
  <c r="F88" i="4"/>
  <c r="E89" i="4"/>
  <c r="F89" i="4"/>
  <c r="E90" i="4"/>
  <c r="F90" i="4"/>
  <c r="E91" i="4"/>
  <c r="F91" i="4"/>
  <c r="E92" i="4"/>
  <c r="F92" i="4"/>
  <c r="E93" i="4"/>
  <c r="F93" i="4"/>
  <c r="E94" i="4"/>
  <c r="F94" i="4"/>
  <c r="E95" i="4"/>
  <c r="F95" i="4"/>
  <c r="E96" i="4"/>
  <c r="F96" i="4"/>
  <c r="E97" i="4"/>
  <c r="F97" i="4"/>
  <c r="E98" i="4"/>
  <c r="F98" i="4"/>
  <c r="F36" i="2"/>
  <c r="F38" i="2"/>
  <c r="C16" i="67" l="1"/>
  <c r="C15" i="67"/>
  <c r="C14" i="67"/>
  <c r="C13" i="67"/>
  <c r="C11" i="67"/>
  <c r="C12" i="67"/>
  <c r="C10" i="67"/>
  <c r="M5" i="2"/>
  <c r="Q5" i="2" s="1"/>
  <c r="F31" i="2" s="1"/>
  <c r="O28" i="34" l="1"/>
  <c r="O23" i="34"/>
  <c r="O24" i="34"/>
  <c r="O25" i="34"/>
  <c r="O26" i="34"/>
  <c r="O22" i="34"/>
  <c r="C8" i="62"/>
  <c r="D24" i="62"/>
  <c r="I9" i="62"/>
  <c r="I10" i="62" s="1"/>
  <c r="I11" i="62" s="1"/>
  <c r="I12" i="62" s="1"/>
  <c r="I13" i="62" s="1"/>
  <c r="I14" i="62" s="1"/>
  <c r="I15" i="62" s="1"/>
  <c r="I16" i="62" s="1"/>
  <c r="I17" i="62" s="1"/>
  <c r="I18" i="62" s="1"/>
  <c r="I19" i="62" s="1"/>
  <c r="F9" i="62"/>
  <c r="F10" i="62" s="1"/>
  <c r="F11" i="62" s="1"/>
  <c r="F12" i="62" s="1"/>
  <c r="F13" i="62" s="1"/>
  <c r="F14" i="62" s="1"/>
  <c r="F15" i="62" s="1"/>
  <c r="F16" i="62" s="1"/>
  <c r="F17" i="62" s="1"/>
  <c r="F18" i="62" s="1"/>
  <c r="F19" i="62" s="1"/>
  <c r="C11" i="5" l="1"/>
  <c r="D25" i="62" s="1"/>
  <c r="D11" i="5"/>
  <c r="D12" i="5" s="1"/>
  <c r="D13" i="5" s="1"/>
  <c r="D14" i="5" s="1"/>
  <c r="D15" i="5" s="1"/>
  <c r="D16" i="5" s="1"/>
  <c r="D17" i="5" s="1"/>
  <c r="D18" i="5" s="1"/>
  <c r="D19" i="5" s="1"/>
  <c r="D20" i="5" s="1"/>
  <c r="D21" i="5" s="1"/>
  <c r="E11" i="5"/>
  <c r="E12" i="5" s="1"/>
  <c r="E13" i="5" s="1"/>
  <c r="E14" i="5" s="1"/>
  <c r="E15" i="5" s="1"/>
  <c r="E16" i="5" s="1"/>
  <c r="E17" i="5" s="1"/>
  <c r="E18" i="5" s="1"/>
  <c r="E19" i="5" s="1"/>
  <c r="E20" i="5" s="1"/>
  <c r="E21" i="5" s="1"/>
  <c r="F11" i="5"/>
  <c r="F12" i="5" s="1"/>
  <c r="F13" i="5" s="1"/>
  <c r="F14" i="5" s="1"/>
  <c r="F15" i="5" s="1"/>
  <c r="F16" i="5" s="1"/>
  <c r="F17" i="5" s="1"/>
  <c r="F18" i="5" s="1"/>
  <c r="F19" i="5" s="1"/>
  <c r="F20" i="5" s="1"/>
  <c r="F21" i="5" s="1"/>
  <c r="G11" i="5"/>
  <c r="G12" i="5" s="1"/>
  <c r="G13" i="5" s="1"/>
  <c r="G14" i="5" s="1"/>
  <c r="G15" i="5" s="1"/>
  <c r="G16" i="5" s="1"/>
  <c r="G17" i="5" s="1"/>
  <c r="G18" i="5" s="1"/>
  <c r="G19" i="5" s="1"/>
  <c r="G20" i="5" s="1"/>
  <c r="G21" i="5" s="1"/>
  <c r="H11" i="5"/>
  <c r="H12" i="5" s="1"/>
  <c r="H13" i="5" s="1"/>
  <c r="H14" i="5" s="1"/>
  <c r="H15" i="5" s="1"/>
  <c r="H16" i="5" s="1"/>
  <c r="H17" i="5" s="1"/>
  <c r="H18" i="5" s="1"/>
  <c r="H19" i="5" s="1"/>
  <c r="H20" i="5" s="1"/>
  <c r="H21" i="5" s="1"/>
  <c r="B11" i="5"/>
  <c r="B12" i="5" s="1"/>
  <c r="B13" i="5" s="1"/>
  <c r="B14" i="5" s="1"/>
  <c r="B15" i="5" s="1"/>
  <c r="B16" i="5" s="1"/>
  <c r="B17" i="5" s="1"/>
  <c r="B18" i="5" s="1"/>
  <c r="B19" i="5" s="1"/>
  <c r="B20" i="5" s="1"/>
  <c r="B21" i="5" s="1"/>
  <c r="G37" i="2"/>
  <c r="H37" i="2" s="1"/>
  <c r="I37" i="2" s="1"/>
  <c r="J37" i="2" s="1"/>
  <c r="K37" i="2" s="1"/>
  <c r="L37" i="2" s="1"/>
  <c r="M37" i="2" s="1"/>
  <c r="N37" i="2" s="1"/>
  <c r="O37" i="2" s="1"/>
  <c r="P37" i="2" s="1"/>
  <c r="Q37" i="2" s="1"/>
  <c r="G35" i="2"/>
  <c r="H35" i="2" s="1"/>
  <c r="I35" i="2" s="1"/>
  <c r="J35" i="2" s="1"/>
  <c r="K35" i="2" s="1"/>
  <c r="L35" i="2" s="1"/>
  <c r="M35" i="2" s="1"/>
  <c r="N35" i="2" s="1"/>
  <c r="O35" i="2" s="1"/>
  <c r="P35" i="2" s="1"/>
  <c r="Q35" i="2" s="1"/>
  <c r="G34" i="2"/>
  <c r="H34" i="2" s="1"/>
  <c r="I34" i="2" s="1"/>
  <c r="J34" i="2" s="1"/>
  <c r="K34" i="2" s="1"/>
  <c r="L34" i="2" s="1"/>
  <c r="M34" i="2" s="1"/>
  <c r="N34" i="2" s="1"/>
  <c r="O34" i="2" s="1"/>
  <c r="P34" i="2" s="1"/>
  <c r="Q34" i="2" s="1"/>
  <c r="G29" i="2"/>
  <c r="H29" i="2" s="1"/>
  <c r="I29" i="2" s="1"/>
  <c r="J29" i="2" s="1"/>
  <c r="K29" i="2" s="1"/>
  <c r="L29" i="2" s="1"/>
  <c r="M29" i="2" s="1"/>
  <c r="N29" i="2" s="1"/>
  <c r="O29" i="2" s="1"/>
  <c r="P29" i="2" s="1"/>
  <c r="Q29" i="2" s="1"/>
  <c r="G30" i="2"/>
  <c r="H30" i="2" s="1"/>
  <c r="I30" i="2" s="1"/>
  <c r="J30" i="2" s="1"/>
  <c r="K30" i="2" s="1"/>
  <c r="L30" i="2" s="1"/>
  <c r="M30" i="2" s="1"/>
  <c r="N30" i="2" s="1"/>
  <c r="O30" i="2" s="1"/>
  <c r="P30" i="2" s="1"/>
  <c r="Q30" i="2" s="1"/>
  <c r="G28" i="2"/>
  <c r="H28" i="2" s="1"/>
  <c r="I28" i="2" s="1"/>
  <c r="J28" i="2" s="1"/>
  <c r="K28" i="2" s="1"/>
  <c r="L28" i="2" s="1"/>
  <c r="M28" i="2" s="1"/>
  <c r="N28" i="2" s="1"/>
  <c r="O28" i="2" s="1"/>
  <c r="P28" i="2" s="1"/>
  <c r="Q28" i="2" s="1"/>
  <c r="V29" i="53"/>
  <c r="AA8" i="53"/>
  <c r="AA9" i="53" s="1"/>
  <c r="AA10" i="53" s="1"/>
  <c r="AA11" i="53" s="1"/>
  <c r="AA12" i="53" s="1"/>
  <c r="AA13" i="53" s="1"/>
  <c r="AA14" i="53" s="1"/>
  <c r="AA15" i="53" s="1"/>
  <c r="AA16" i="53" s="1"/>
  <c r="AA17" i="53" s="1"/>
  <c r="AA18" i="53" s="1"/>
  <c r="V10" i="53"/>
  <c r="V11" i="53" s="1"/>
  <c r="V12" i="53" s="1"/>
  <c r="V13" i="53" s="1"/>
  <c r="V14" i="53" s="1"/>
  <c r="V15" i="53" s="1"/>
  <c r="V16" i="53" s="1"/>
  <c r="V17" i="53" s="1"/>
  <c r="V18" i="53" s="1"/>
  <c r="V9" i="53"/>
  <c r="Y8" i="53"/>
  <c r="Y9" i="53" s="1"/>
  <c r="Y10" i="53" s="1"/>
  <c r="Y11" i="53" s="1"/>
  <c r="Y12" i="53" s="1"/>
  <c r="Y13" i="53" s="1"/>
  <c r="Y14" i="53" s="1"/>
  <c r="Y15" i="53" s="1"/>
  <c r="Y16" i="53" s="1"/>
  <c r="Y17" i="53" s="1"/>
  <c r="Y18" i="53" s="1"/>
  <c r="X8" i="53"/>
  <c r="X9" i="53" s="1"/>
  <c r="X10" i="53" s="1"/>
  <c r="X11" i="53" s="1"/>
  <c r="X12" i="53" s="1"/>
  <c r="X13" i="53" s="1"/>
  <c r="X14" i="53" s="1"/>
  <c r="X15" i="53" s="1"/>
  <c r="X16" i="53" s="1"/>
  <c r="X17" i="53" s="1"/>
  <c r="X18" i="53" s="1"/>
  <c r="W8" i="53"/>
  <c r="V8" i="53"/>
  <c r="U8" i="53"/>
  <c r="T8" i="53"/>
  <c r="S8" i="53"/>
  <c r="R8" i="53"/>
  <c r="HO59" i="21"/>
  <c r="HP59" i="21"/>
  <c r="HQ59" i="21"/>
  <c r="HR59" i="21"/>
  <c r="HS59" i="21"/>
  <c r="HT59" i="21"/>
  <c r="HU59" i="21"/>
  <c r="HV59" i="21"/>
  <c r="HW59" i="21"/>
  <c r="HX59" i="21"/>
  <c r="HY59" i="21"/>
  <c r="HZ59" i="21"/>
  <c r="HO60" i="21"/>
  <c r="HP60" i="21"/>
  <c r="HQ60" i="21"/>
  <c r="HR60" i="21"/>
  <c r="HS60" i="21"/>
  <c r="HT60" i="21"/>
  <c r="HU60" i="21"/>
  <c r="HV60" i="21"/>
  <c r="HW60" i="21"/>
  <c r="HX60" i="21"/>
  <c r="HY60" i="21"/>
  <c r="HZ60" i="21"/>
  <c r="HO61" i="21"/>
  <c r="HP61" i="21"/>
  <c r="HQ61" i="21"/>
  <c r="HR61" i="21"/>
  <c r="HS61" i="21"/>
  <c r="HT61" i="21"/>
  <c r="HU61" i="21"/>
  <c r="HV61" i="21"/>
  <c r="HW61" i="21"/>
  <c r="HX61" i="21"/>
  <c r="HY61" i="21"/>
  <c r="HZ61" i="21"/>
  <c r="HO62" i="21"/>
  <c r="HP62" i="21"/>
  <c r="HQ62" i="21"/>
  <c r="HR62" i="21"/>
  <c r="HS62" i="21"/>
  <c r="HT62" i="21"/>
  <c r="HU62" i="21"/>
  <c r="HV62" i="21"/>
  <c r="HW62" i="21"/>
  <c r="HX62" i="21"/>
  <c r="HY62" i="21"/>
  <c r="HZ62" i="21"/>
  <c r="HO63" i="21"/>
  <c r="HP63" i="21"/>
  <c r="HQ63" i="21"/>
  <c r="HR63" i="21"/>
  <c r="HS63" i="21"/>
  <c r="HT63" i="21"/>
  <c r="HU63" i="21"/>
  <c r="HV63" i="21"/>
  <c r="HW63" i="21"/>
  <c r="HX63" i="21"/>
  <c r="HY63" i="21"/>
  <c r="HZ63" i="21"/>
  <c r="V6" i="22"/>
  <c r="V7" i="22"/>
  <c r="V8" i="22"/>
  <c r="V9" i="22"/>
  <c r="V10" i="22"/>
  <c r="V11" i="22"/>
  <c r="V12" i="22"/>
  <c r="V13" i="22"/>
  <c r="V14" i="22"/>
  <c r="V15" i="22"/>
  <c r="V16" i="22"/>
  <c r="V17" i="22"/>
  <c r="V18" i="22"/>
  <c r="V19" i="22"/>
  <c r="V20" i="22"/>
  <c r="V21" i="22"/>
  <c r="V22" i="22"/>
  <c r="V23" i="22"/>
  <c r="V24" i="22"/>
  <c r="V25" i="22"/>
  <c r="V26" i="22"/>
  <c r="V27" i="22"/>
  <c r="V28" i="22"/>
  <c r="V29" i="22"/>
  <c r="V30" i="22"/>
  <c r="V31" i="22"/>
  <c r="V32" i="22"/>
  <c r="V33" i="22"/>
  <c r="V34" i="22"/>
  <c r="V35" i="22"/>
  <c r="V36" i="22"/>
  <c r="V37" i="22"/>
  <c r="V38" i="22"/>
  <c r="V39" i="22"/>
  <c r="V40" i="22"/>
  <c r="V41" i="22"/>
  <c r="V42" i="22"/>
  <c r="V43" i="22"/>
  <c r="V44" i="22"/>
  <c r="V45" i="22"/>
  <c r="V46" i="22"/>
  <c r="V47" i="22"/>
  <c r="V48" i="22"/>
  <c r="V49" i="22"/>
  <c r="V50" i="22"/>
  <c r="V51" i="22"/>
  <c r="V52" i="22"/>
  <c r="V53" i="22"/>
  <c r="V54" i="22"/>
  <c r="V55" i="22"/>
  <c r="V56" i="22"/>
  <c r="V57" i="22"/>
  <c r="V58" i="22"/>
  <c r="V59" i="22"/>
  <c r="V60" i="22"/>
  <c r="V61" i="22"/>
  <c r="V62" i="22"/>
  <c r="V63" i="22"/>
  <c r="T6" i="22"/>
  <c r="T7" i="22"/>
  <c r="T8" i="22"/>
  <c r="T9" i="22"/>
  <c r="T10" i="22"/>
  <c r="T11" i="22"/>
  <c r="T12" i="22"/>
  <c r="T13" i="22"/>
  <c r="T14" i="22"/>
  <c r="T15" i="22"/>
  <c r="T16" i="22"/>
  <c r="T17" i="22"/>
  <c r="T18" i="22"/>
  <c r="T19" i="22"/>
  <c r="T20" i="22"/>
  <c r="T21" i="22"/>
  <c r="T22" i="22"/>
  <c r="T23" i="22"/>
  <c r="T24" i="22"/>
  <c r="T25" i="22"/>
  <c r="T26" i="22"/>
  <c r="T27" i="22"/>
  <c r="T28" i="22"/>
  <c r="T29" i="22"/>
  <c r="T30" i="22"/>
  <c r="T31" i="22"/>
  <c r="T32" i="22"/>
  <c r="T33" i="22"/>
  <c r="T34" i="22"/>
  <c r="T35" i="22"/>
  <c r="T36" i="22"/>
  <c r="T37" i="22"/>
  <c r="T38" i="22"/>
  <c r="T39" i="22"/>
  <c r="T40" i="22"/>
  <c r="T41" i="22"/>
  <c r="T42" i="22"/>
  <c r="T43" i="22"/>
  <c r="T44" i="22"/>
  <c r="T45" i="22"/>
  <c r="T46" i="22"/>
  <c r="T47" i="22"/>
  <c r="T48" i="22"/>
  <c r="T49" i="22"/>
  <c r="T50" i="22"/>
  <c r="T51" i="22"/>
  <c r="T52" i="22"/>
  <c r="T53" i="22"/>
  <c r="T54" i="22"/>
  <c r="T55" i="22"/>
  <c r="T56" i="22"/>
  <c r="T57" i="22"/>
  <c r="T58" i="22"/>
  <c r="T59" i="22"/>
  <c r="T60" i="22"/>
  <c r="T61" i="22"/>
  <c r="T62" i="22"/>
  <c r="T63" i="22"/>
  <c r="U9" i="53" l="1"/>
  <c r="U10" i="53" s="1"/>
  <c r="U11" i="53" s="1"/>
  <c r="U12" i="53" s="1"/>
  <c r="U13" i="53" s="1"/>
  <c r="U14" i="53" s="1"/>
  <c r="U15" i="53" s="1"/>
  <c r="U16" i="53" s="1"/>
  <c r="U17" i="53" s="1"/>
  <c r="U18" i="53" s="1"/>
  <c r="AA29" i="53"/>
  <c r="Y29" i="53"/>
  <c r="X29" i="53"/>
  <c r="W29" i="53"/>
  <c r="W9" i="53"/>
  <c r="W10" i="53" s="1"/>
  <c r="W11" i="53" s="1"/>
  <c r="W12" i="53" s="1"/>
  <c r="W13" i="53" s="1"/>
  <c r="W14" i="53" s="1"/>
  <c r="W15" i="53" s="1"/>
  <c r="W16" i="53" s="1"/>
  <c r="W17" i="53" s="1"/>
  <c r="W18" i="53" s="1"/>
  <c r="T9" i="53"/>
  <c r="T10" i="53" s="1"/>
  <c r="T11" i="53" s="1"/>
  <c r="T12" i="53" s="1"/>
  <c r="T13" i="53" s="1"/>
  <c r="T14" i="53" s="1"/>
  <c r="T15" i="53" s="1"/>
  <c r="T16" i="53" s="1"/>
  <c r="T17" i="53" s="1"/>
  <c r="T18" i="53" s="1"/>
  <c r="S9" i="53"/>
  <c r="S10" i="53" s="1"/>
  <c r="S11" i="53" s="1"/>
  <c r="S12" i="53" s="1"/>
  <c r="S13" i="53" s="1"/>
  <c r="S14" i="53" s="1"/>
  <c r="S15" i="53" s="1"/>
  <c r="S16" i="53" s="1"/>
  <c r="S17" i="53" s="1"/>
  <c r="S18" i="53" s="1"/>
  <c r="R9" i="53"/>
  <c r="R10" i="53" s="1"/>
  <c r="R11" i="53" s="1"/>
  <c r="R12" i="53" s="1"/>
  <c r="R13" i="53" s="1"/>
  <c r="R14" i="53" s="1"/>
  <c r="R15" i="53" s="1"/>
  <c r="R16" i="53" s="1"/>
  <c r="R17" i="53" s="1"/>
  <c r="R18" i="53" s="1"/>
  <c r="C12" i="5"/>
  <c r="O59" i="22"/>
  <c r="P59" i="22" s="1"/>
  <c r="O60" i="22"/>
  <c r="P60" i="22" s="1"/>
  <c r="O61" i="22"/>
  <c r="P61" i="22" s="1"/>
  <c r="O62" i="22"/>
  <c r="P62" i="22" s="1"/>
  <c r="O63" i="22"/>
  <c r="P63" i="22" s="1"/>
  <c r="U29" i="53" l="1"/>
  <c r="T29" i="53"/>
  <c r="S29" i="53"/>
  <c r="R29" i="53"/>
  <c r="D26" i="62"/>
  <c r="C13" i="5"/>
  <c r="R63" i="22"/>
  <c r="R62" i="22"/>
  <c r="R61" i="22"/>
  <c r="R60" i="22"/>
  <c r="R59" i="22"/>
  <c r="C14" i="5" l="1"/>
  <c r="D27" i="62"/>
  <c r="F12" i="35"/>
  <c r="J12" i="34"/>
  <c r="J12" i="66"/>
  <c r="N10" i="5"/>
  <c r="K10" i="5"/>
  <c r="C15" i="5" l="1"/>
  <c r="D28" i="62"/>
  <c r="X107" i="3"/>
  <c r="X106" i="3"/>
  <c r="X105" i="3"/>
  <c r="X104" i="3"/>
  <c r="X103" i="3"/>
  <c r="X102" i="3"/>
  <c r="X101" i="3"/>
  <c r="X100" i="3"/>
  <c r="X99" i="3"/>
  <c r="X98" i="3"/>
  <c r="X97" i="3"/>
  <c r="X96" i="3"/>
  <c r="X95" i="3"/>
  <c r="X94" i="3"/>
  <c r="X93" i="3"/>
  <c r="X92" i="3"/>
  <c r="X91" i="3"/>
  <c r="X90" i="3"/>
  <c r="X89" i="3"/>
  <c r="X88" i="3"/>
  <c r="X87" i="3"/>
  <c r="X86" i="3"/>
  <c r="X85" i="3"/>
  <c r="X84" i="3"/>
  <c r="X83" i="3"/>
  <c r="X82" i="3"/>
  <c r="X81" i="3"/>
  <c r="X80" i="3"/>
  <c r="X79" i="3"/>
  <c r="X78" i="3"/>
  <c r="X77" i="3"/>
  <c r="X76" i="3"/>
  <c r="C16" i="5" l="1"/>
  <c r="D29" i="62"/>
  <c r="AB7" i="33"/>
  <c r="AB22" i="33"/>
  <c r="AB21" i="33"/>
  <c r="AB20" i="33"/>
  <c r="I6" i="36" s="1"/>
  <c r="AB19" i="33"/>
  <c r="AB18" i="33"/>
  <c r="M6" i="37" s="1"/>
  <c r="AB17" i="33"/>
  <c r="AB16" i="33"/>
  <c r="AB15" i="33"/>
  <c r="P8" i="62"/>
  <c r="P9" i="62" s="1"/>
  <c r="P10" i="62" s="1"/>
  <c r="P11" i="62" s="1"/>
  <c r="P12" i="62" s="1"/>
  <c r="P13" i="62" s="1"/>
  <c r="P14" i="62" s="1"/>
  <c r="P15" i="62" s="1"/>
  <c r="P16" i="62" s="1"/>
  <c r="P17" i="62" s="1"/>
  <c r="P7" i="62"/>
  <c r="C17" i="5" l="1"/>
  <c r="D30" i="62"/>
  <c r="AA7" i="33"/>
  <c r="I6" i="33"/>
  <c r="AA8" i="33"/>
  <c r="CI8" i="3"/>
  <c r="CI9" i="3"/>
  <c r="CI10" i="3"/>
  <c r="CI11" i="3"/>
  <c r="CI12" i="3"/>
  <c r="CI13" i="3"/>
  <c r="CI14" i="3"/>
  <c r="CI15" i="3"/>
  <c r="CI16" i="3"/>
  <c r="CI17" i="3"/>
  <c r="CI18" i="3"/>
  <c r="CI19" i="3"/>
  <c r="CI20" i="3"/>
  <c r="CI21" i="3"/>
  <c r="CI22" i="3"/>
  <c r="CI23" i="3"/>
  <c r="CI24" i="3"/>
  <c r="CI25" i="3"/>
  <c r="CI26" i="3"/>
  <c r="CI27" i="3"/>
  <c r="CI28" i="3"/>
  <c r="CI29" i="3"/>
  <c r="CI30" i="3"/>
  <c r="CI31" i="3"/>
  <c r="CI32" i="3"/>
  <c r="CI33" i="3"/>
  <c r="CI34" i="3"/>
  <c r="CI35" i="3"/>
  <c r="CI36" i="3"/>
  <c r="CI37" i="3"/>
  <c r="CI38" i="3"/>
  <c r="CI39" i="3"/>
  <c r="CI40" i="3"/>
  <c r="CI41" i="3"/>
  <c r="CI42" i="3"/>
  <c r="CI43" i="3"/>
  <c r="CI44" i="3"/>
  <c r="CI45" i="3"/>
  <c r="CI46" i="3"/>
  <c r="CI47" i="3"/>
  <c r="CI48" i="3"/>
  <c r="CI49" i="3"/>
  <c r="CI50" i="3"/>
  <c r="CI51" i="3"/>
  <c r="CI52" i="3"/>
  <c r="CI53" i="3"/>
  <c r="CI54" i="3"/>
  <c r="CI55" i="3"/>
  <c r="CI56" i="3"/>
  <c r="CI57" i="3"/>
  <c r="CI58" i="3"/>
  <c r="CI59" i="3"/>
  <c r="CI60" i="3"/>
  <c r="CI61" i="3"/>
  <c r="CI62" i="3"/>
  <c r="CI63" i="3"/>
  <c r="CI64" i="3"/>
  <c r="CI65" i="3"/>
  <c r="CI66" i="3"/>
  <c r="CI67" i="3"/>
  <c r="CI68" i="3"/>
  <c r="CI69" i="3"/>
  <c r="CI70" i="3"/>
  <c r="CI71" i="3"/>
  <c r="CI72" i="3"/>
  <c r="CI73" i="3"/>
  <c r="CI74" i="3"/>
  <c r="CI75" i="3"/>
  <c r="CI76" i="3"/>
  <c r="CI77" i="3"/>
  <c r="CI78" i="3"/>
  <c r="CI79" i="3"/>
  <c r="CI80" i="3"/>
  <c r="CI81" i="3"/>
  <c r="CI82" i="3"/>
  <c r="CI83" i="3"/>
  <c r="CI84" i="3"/>
  <c r="CI85" i="3"/>
  <c r="CI86" i="3"/>
  <c r="CI87" i="3"/>
  <c r="CI88" i="3"/>
  <c r="CI89" i="3"/>
  <c r="CI90" i="3"/>
  <c r="CI91" i="3"/>
  <c r="CI92" i="3"/>
  <c r="CI93" i="3"/>
  <c r="CI94" i="3"/>
  <c r="CI95" i="3"/>
  <c r="CI96" i="3"/>
  <c r="CI97" i="3"/>
  <c r="CI98" i="3"/>
  <c r="CI99" i="3"/>
  <c r="CI100" i="3"/>
  <c r="CI101" i="3"/>
  <c r="CI102" i="3"/>
  <c r="CI103" i="3"/>
  <c r="CI104" i="3"/>
  <c r="CI105" i="3"/>
  <c r="CI106" i="3"/>
  <c r="CI7" i="3"/>
  <c r="CG7" i="3"/>
  <c r="CE8" i="3"/>
  <c r="CF8" i="3"/>
  <c r="CE9" i="3"/>
  <c r="CF9" i="3"/>
  <c r="CE10" i="3"/>
  <c r="CF10" i="3"/>
  <c r="CE11" i="3"/>
  <c r="CF11" i="3"/>
  <c r="CE12" i="3"/>
  <c r="CF12" i="3"/>
  <c r="CE13" i="3"/>
  <c r="CF13" i="3"/>
  <c r="CE14" i="3"/>
  <c r="CF14" i="3"/>
  <c r="CE15" i="3"/>
  <c r="CF15" i="3"/>
  <c r="CE16" i="3"/>
  <c r="CF16" i="3"/>
  <c r="CE17" i="3"/>
  <c r="CF17" i="3"/>
  <c r="CE18" i="3"/>
  <c r="CF18" i="3"/>
  <c r="CE19" i="3"/>
  <c r="CF19" i="3"/>
  <c r="CE20" i="3"/>
  <c r="CF20" i="3"/>
  <c r="CE21" i="3"/>
  <c r="CF21" i="3"/>
  <c r="CE22" i="3"/>
  <c r="CF22" i="3"/>
  <c r="CE23" i="3"/>
  <c r="CF23" i="3"/>
  <c r="CE24" i="3"/>
  <c r="CF24" i="3"/>
  <c r="CE25" i="3"/>
  <c r="CF25" i="3"/>
  <c r="CE26" i="3"/>
  <c r="CF26" i="3"/>
  <c r="CE27" i="3"/>
  <c r="CF27" i="3"/>
  <c r="CE28" i="3"/>
  <c r="CF28" i="3"/>
  <c r="CE29" i="3"/>
  <c r="CF29" i="3"/>
  <c r="CE30" i="3"/>
  <c r="CF30" i="3"/>
  <c r="CE31" i="3"/>
  <c r="CF31" i="3"/>
  <c r="CE32" i="3"/>
  <c r="CF32" i="3"/>
  <c r="CE33" i="3"/>
  <c r="CF33" i="3"/>
  <c r="CE34" i="3"/>
  <c r="CF34" i="3"/>
  <c r="CE35" i="3"/>
  <c r="CF35" i="3"/>
  <c r="CE36" i="3"/>
  <c r="CF36" i="3"/>
  <c r="CE37" i="3"/>
  <c r="CF37" i="3"/>
  <c r="CE38" i="3"/>
  <c r="CF38" i="3"/>
  <c r="CE39" i="3"/>
  <c r="CF39" i="3"/>
  <c r="CE40" i="3"/>
  <c r="CF40" i="3"/>
  <c r="CE41" i="3"/>
  <c r="CF41" i="3"/>
  <c r="CE42" i="3"/>
  <c r="CF42" i="3"/>
  <c r="CE43" i="3"/>
  <c r="CF43" i="3"/>
  <c r="CE44" i="3"/>
  <c r="CF44" i="3"/>
  <c r="CE45" i="3"/>
  <c r="CF45" i="3"/>
  <c r="CE46" i="3"/>
  <c r="CF46" i="3"/>
  <c r="CE47" i="3"/>
  <c r="CF47" i="3"/>
  <c r="CE48" i="3"/>
  <c r="CF48" i="3"/>
  <c r="CE49" i="3"/>
  <c r="CF49" i="3"/>
  <c r="CE50" i="3"/>
  <c r="CF50" i="3"/>
  <c r="CE51" i="3"/>
  <c r="CF51" i="3"/>
  <c r="CE52" i="3"/>
  <c r="CF52" i="3"/>
  <c r="CE53" i="3"/>
  <c r="CF53" i="3"/>
  <c r="CE54" i="3"/>
  <c r="CF54" i="3"/>
  <c r="CE55" i="3"/>
  <c r="CF55" i="3"/>
  <c r="CE56" i="3"/>
  <c r="CF56" i="3"/>
  <c r="CE57" i="3"/>
  <c r="CF57" i="3"/>
  <c r="CE58" i="3"/>
  <c r="CF58" i="3"/>
  <c r="CE59" i="3"/>
  <c r="CF59" i="3"/>
  <c r="CE60" i="3"/>
  <c r="CF60" i="3"/>
  <c r="CE61" i="3"/>
  <c r="CF61" i="3"/>
  <c r="CE62" i="3"/>
  <c r="CF62" i="3"/>
  <c r="CE63" i="3"/>
  <c r="CF63" i="3"/>
  <c r="CE64" i="3"/>
  <c r="CF64" i="3"/>
  <c r="CE65" i="3"/>
  <c r="CF65" i="3"/>
  <c r="CE66" i="3"/>
  <c r="CF66" i="3"/>
  <c r="CE67" i="3"/>
  <c r="CF67" i="3"/>
  <c r="CE68" i="3"/>
  <c r="CF68" i="3"/>
  <c r="CE69" i="3"/>
  <c r="CF69" i="3"/>
  <c r="CE70" i="3"/>
  <c r="CF70" i="3"/>
  <c r="CE71" i="3"/>
  <c r="CF71" i="3"/>
  <c r="CE72" i="3"/>
  <c r="CF72" i="3"/>
  <c r="CE73" i="3"/>
  <c r="CF73" i="3"/>
  <c r="CE74" i="3"/>
  <c r="CF74" i="3"/>
  <c r="CE75" i="3"/>
  <c r="CF75" i="3"/>
  <c r="CE76" i="3"/>
  <c r="CF76" i="3"/>
  <c r="CE77" i="3"/>
  <c r="CF77" i="3"/>
  <c r="CE78" i="3"/>
  <c r="CF78" i="3"/>
  <c r="CE79" i="3"/>
  <c r="CF79" i="3"/>
  <c r="CE80" i="3"/>
  <c r="CF80" i="3"/>
  <c r="CE81" i="3"/>
  <c r="CF81" i="3"/>
  <c r="CE82" i="3"/>
  <c r="CF82" i="3"/>
  <c r="CE83" i="3"/>
  <c r="CF83" i="3"/>
  <c r="CE84" i="3"/>
  <c r="CF84" i="3"/>
  <c r="CE85" i="3"/>
  <c r="CF85" i="3"/>
  <c r="CE86" i="3"/>
  <c r="CF86" i="3"/>
  <c r="CE87" i="3"/>
  <c r="CF87" i="3"/>
  <c r="CE88" i="3"/>
  <c r="CF88" i="3"/>
  <c r="CE89" i="3"/>
  <c r="CF89" i="3"/>
  <c r="CE90" i="3"/>
  <c r="CF90" i="3"/>
  <c r="CE91" i="3"/>
  <c r="CF91" i="3"/>
  <c r="CE92" i="3"/>
  <c r="CF92" i="3"/>
  <c r="CE93" i="3"/>
  <c r="CF93" i="3"/>
  <c r="CE94" i="3"/>
  <c r="CF94" i="3"/>
  <c r="CE95" i="3"/>
  <c r="CF95" i="3"/>
  <c r="CE96" i="3"/>
  <c r="CF96" i="3"/>
  <c r="CE97" i="3"/>
  <c r="CF97" i="3"/>
  <c r="CE98" i="3"/>
  <c r="CF98" i="3"/>
  <c r="CE99" i="3"/>
  <c r="CF99" i="3"/>
  <c r="CE100" i="3"/>
  <c r="CF100" i="3"/>
  <c r="CE101" i="3"/>
  <c r="CF101" i="3"/>
  <c r="CE102" i="3"/>
  <c r="CF102" i="3"/>
  <c r="CE103" i="3"/>
  <c r="CF103" i="3"/>
  <c r="CE104" i="3"/>
  <c r="CF104" i="3"/>
  <c r="CE105" i="3"/>
  <c r="CF105" i="3"/>
  <c r="CE106" i="3"/>
  <c r="CF106" i="3"/>
  <c r="CF7" i="3"/>
  <c r="CE7" i="3"/>
  <c r="BS8" i="3"/>
  <c r="BS9" i="3"/>
  <c r="BS10" i="3"/>
  <c r="BS11" i="3"/>
  <c r="BS12" i="3"/>
  <c r="BS13" i="3"/>
  <c r="BS14" i="3"/>
  <c r="BS15" i="3"/>
  <c r="BS16" i="3"/>
  <c r="BS17" i="3"/>
  <c r="BS18" i="3"/>
  <c r="BS19" i="3"/>
  <c r="BS20" i="3"/>
  <c r="BS21" i="3"/>
  <c r="BS22" i="3"/>
  <c r="BS23" i="3"/>
  <c r="BS24" i="3"/>
  <c r="BS25" i="3"/>
  <c r="BS26" i="3"/>
  <c r="BS27" i="3"/>
  <c r="BS28" i="3"/>
  <c r="BS29" i="3"/>
  <c r="BS30" i="3"/>
  <c r="BS31" i="3"/>
  <c r="BS32" i="3"/>
  <c r="BS33" i="3"/>
  <c r="BS34" i="3"/>
  <c r="BS35" i="3"/>
  <c r="BS36" i="3"/>
  <c r="BS37" i="3"/>
  <c r="BS38" i="3"/>
  <c r="BS39" i="3"/>
  <c r="BS40" i="3"/>
  <c r="BS41" i="3"/>
  <c r="BS42" i="3"/>
  <c r="BS43" i="3"/>
  <c r="BS44" i="3"/>
  <c r="BS45" i="3"/>
  <c r="BS46" i="3"/>
  <c r="BS47" i="3"/>
  <c r="BS48" i="3"/>
  <c r="BS49" i="3"/>
  <c r="BS50" i="3"/>
  <c r="BS51" i="3"/>
  <c r="BS52" i="3"/>
  <c r="BS53" i="3"/>
  <c r="BS54" i="3"/>
  <c r="BS55" i="3"/>
  <c r="BS56" i="3"/>
  <c r="BS57" i="3"/>
  <c r="BS58" i="3"/>
  <c r="BS59" i="3"/>
  <c r="BS60" i="3"/>
  <c r="BS61" i="3"/>
  <c r="BS62" i="3"/>
  <c r="BS63" i="3"/>
  <c r="BS64" i="3"/>
  <c r="BS65" i="3"/>
  <c r="BS66" i="3"/>
  <c r="BS67" i="3"/>
  <c r="BS68" i="3"/>
  <c r="BS69" i="3"/>
  <c r="BS70" i="3"/>
  <c r="BS71" i="3"/>
  <c r="BS72" i="3"/>
  <c r="BS73" i="3"/>
  <c r="BS74" i="3"/>
  <c r="BS75" i="3"/>
  <c r="BS76" i="3"/>
  <c r="BS77" i="3"/>
  <c r="BS78" i="3"/>
  <c r="BS79" i="3"/>
  <c r="BS80" i="3"/>
  <c r="BS81" i="3"/>
  <c r="BS82" i="3"/>
  <c r="BS83" i="3"/>
  <c r="BS84" i="3"/>
  <c r="BS85" i="3"/>
  <c r="BS86" i="3"/>
  <c r="BS87" i="3"/>
  <c r="BS88" i="3"/>
  <c r="BS89" i="3"/>
  <c r="BS90" i="3"/>
  <c r="BS91" i="3"/>
  <c r="BS92" i="3"/>
  <c r="BS93" i="3"/>
  <c r="BS94" i="3"/>
  <c r="BS95" i="3"/>
  <c r="BS96" i="3"/>
  <c r="BS97" i="3"/>
  <c r="BS98" i="3"/>
  <c r="BS99" i="3"/>
  <c r="BS100" i="3"/>
  <c r="BS101" i="3"/>
  <c r="BS102" i="3"/>
  <c r="BS103" i="3"/>
  <c r="BS104" i="3"/>
  <c r="BS105" i="3"/>
  <c r="BS106" i="3"/>
  <c r="BS7" i="3"/>
  <c r="X60" i="41"/>
  <c r="X55" i="41"/>
  <c r="X50" i="41"/>
  <c r="X45" i="41"/>
  <c r="X40" i="41"/>
  <c r="X35" i="41"/>
  <c r="X30" i="41"/>
  <c r="X25" i="41"/>
  <c r="X20" i="41"/>
  <c r="X15" i="41"/>
  <c r="X10" i="41"/>
  <c r="X126" i="36"/>
  <c r="X115" i="36"/>
  <c r="X104" i="36"/>
  <c r="X93" i="36"/>
  <c r="X82" i="36"/>
  <c r="X71" i="36"/>
  <c r="X60" i="36"/>
  <c r="X49" i="36"/>
  <c r="X38" i="36"/>
  <c r="X27" i="36"/>
  <c r="X16" i="36"/>
  <c r="CN106" i="3"/>
  <c r="CM106" i="3"/>
  <c r="CL106" i="3"/>
  <c r="CK106" i="3"/>
  <c r="CJ106" i="3"/>
  <c r="CH106" i="3"/>
  <c r="CG106" i="3"/>
  <c r="CD106" i="3"/>
  <c r="CC106" i="3"/>
  <c r="CB106" i="3"/>
  <c r="CA106" i="3"/>
  <c r="BZ106" i="3"/>
  <c r="BY106" i="3"/>
  <c r="BX106" i="3"/>
  <c r="BW106" i="3"/>
  <c r="BV106" i="3"/>
  <c r="BU106" i="3"/>
  <c r="BT106" i="3"/>
  <c r="BR106" i="3"/>
  <c r="BQ106" i="3"/>
  <c r="BP106" i="3"/>
  <c r="BO106" i="3"/>
  <c r="CN105" i="3"/>
  <c r="CM105" i="3"/>
  <c r="CL105" i="3"/>
  <c r="CK105" i="3"/>
  <c r="CJ105" i="3"/>
  <c r="CH105" i="3"/>
  <c r="CG105" i="3"/>
  <c r="CD105" i="3"/>
  <c r="CC105" i="3"/>
  <c r="CB105" i="3"/>
  <c r="CA105" i="3"/>
  <c r="BZ105" i="3"/>
  <c r="BY105" i="3"/>
  <c r="BX105" i="3"/>
  <c r="BW105" i="3"/>
  <c r="BV105" i="3"/>
  <c r="BU105" i="3"/>
  <c r="BT105" i="3"/>
  <c r="BR105" i="3"/>
  <c r="BQ105" i="3"/>
  <c r="BP105" i="3"/>
  <c r="BO105" i="3"/>
  <c r="CN104" i="3"/>
  <c r="CM104" i="3"/>
  <c r="CL104" i="3"/>
  <c r="CK104" i="3"/>
  <c r="CJ104" i="3"/>
  <c r="CH104" i="3"/>
  <c r="CG104" i="3"/>
  <c r="CD104" i="3"/>
  <c r="CC104" i="3"/>
  <c r="CB104" i="3"/>
  <c r="CA104" i="3"/>
  <c r="BZ104" i="3"/>
  <c r="BY104" i="3"/>
  <c r="BX104" i="3"/>
  <c r="BW104" i="3"/>
  <c r="BV104" i="3"/>
  <c r="BU104" i="3"/>
  <c r="BT104" i="3"/>
  <c r="BR104" i="3"/>
  <c r="BQ104" i="3"/>
  <c r="BP104" i="3"/>
  <c r="BO104" i="3"/>
  <c r="CN103" i="3"/>
  <c r="CM103" i="3"/>
  <c r="CL103" i="3"/>
  <c r="CK103" i="3"/>
  <c r="CJ103" i="3"/>
  <c r="CH103" i="3"/>
  <c r="CG103" i="3"/>
  <c r="CD103" i="3"/>
  <c r="CC103" i="3"/>
  <c r="CB103" i="3"/>
  <c r="CA103" i="3"/>
  <c r="BZ103" i="3"/>
  <c r="BY103" i="3"/>
  <c r="BX103" i="3"/>
  <c r="BW103" i="3"/>
  <c r="BV103" i="3"/>
  <c r="BU103" i="3"/>
  <c r="BT103" i="3"/>
  <c r="BR103" i="3"/>
  <c r="BQ103" i="3"/>
  <c r="BP103" i="3"/>
  <c r="BO103" i="3"/>
  <c r="CN102" i="3"/>
  <c r="CM102" i="3"/>
  <c r="CL102" i="3"/>
  <c r="CK102" i="3"/>
  <c r="CJ102" i="3"/>
  <c r="CH102" i="3"/>
  <c r="CG102" i="3"/>
  <c r="CD102" i="3"/>
  <c r="CC102" i="3"/>
  <c r="CB102" i="3"/>
  <c r="CA102" i="3"/>
  <c r="BZ102" i="3"/>
  <c r="BY102" i="3"/>
  <c r="BX102" i="3"/>
  <c r="BW102" i="3"/>
  <c r="BV102" i="3"/>
  <c r="BU102" i="3"/>
  <c r="BT102" i="3"/>
  <c r="BR102" i="3"/>
  <c r="BQ102" i="3"/>
  <c r="BP102" i="3"/>
  <c r="BO102" i="3"/>
  <c r="CN101" i="3"/>
  <c r="CM101" i="3"/>
  <c r="CL101" i="3"/>
  <c r="CK101" i="3"/>
  <c r="CJ101" i="3"/>
  <c r="CH101" i="3"/>
  <c r="CG101" i="3"/>
  <c r="CD101" i="3"/>
  <c r="CC101" i="3"/>
  <c r="CB101" i="3"/>
  <c r="CA101" i="3"/>
  <c r="BZ101" i="3"/>
  <c r="BY101" i="3"/>
  <c r="BX101" i="3"/>
  <c r="BW101" i="3"/>
  <c r="BV101" i="3"/>
  <c r="BU101" i="3"/>
  <c r="BT101" i="3"/>
  <c r="BR101" i="3"/>
  <c r="BQ101" i="3"/>
  <c r="BP101" i="3"/>
  <c r="BO101" i="3"/>
  <c r="CN100" i="3"/>
  <c r="CM100" i="3"/>
  <c r="CL100" i="3"/>
  <c r="CK100" i="3"/>
  <c r="CJ100" i="3"/>
  <c r="CH100" i="3"/>
  <c r="CG100" i="3"/>
  <c r="CD100" i="3"/>
  <c r="CC100" i="3"/>
  <c r="CB100" i="3"/>
  <c r="CA100" i="3"/>
  <c r="BZ100" i="3"/>
  <c r="BY100" i="3"/>
  <c r="BX100" i="3"/>
  <c r="BW100" i="3"/>
  <c r="BV100" i="3"/>
  <c r="BU100" i="3"/>
  <c r="BT100" i="3"/>
  <c r="BR100" i="3"/>
  <c r="BQ100" i="3"/>
  <c r="BP100" i="3"/>
  <c r="BO100" i="3"/>
  <c r="CN99" i="3"/>
  <c r="CM99" i="3"/>
  <c r="CL99" i="3"/>
  <c r="CK99" i="3"/>
  <c r="CJ99" i="3"/>
  <c r="CH99" i="3"/>
  <c r="CG99" i="3"/>
  <c r="CD99" i="3"/>
  <c r="CC99" i="3"/>
  <c r="CB99" i="3"/>
  <c r="CA99" i="3"/>
  <c r="BZ99" i="3"/>
  <c r="BY99" i="3"/>
  <c r="BX99" i="3"/>
  <c r="BW99" i="3"/>
  <c r="BV99" i="3"/>
  <c r="BU99" i="3"/>
  <c r="BT99" i="3"/>
  <c r="BR99" i="3"/>
  <c r="BQ99" i="3"/>
  <c r="BP99" i="3"/>
  <c r="BO99" i="3"/>
  <c r="CN98" i="3"/>
  <c r="CM98" i="3"/>
  <c r="CL98" i="3"/>
  <c r="CK98" i="3"/>
  <c r="CJ98" i="3"/>
  <c r="CH98" i="3"/>
  <c r="CG98" i="3"/>
  <c r="CD98" i="3"/>
  <c r="CC98" i="3"/>
  <c r="CB98" i="3"/>
  <c r="CA98" i="3"/>
  <c r="BZ98" i="3"/>
  <c r="BY98" i="3"/>
  <c r="BX98" i="3"/>
  <c r="BW98" i="3"/>
  <c r="BV98" i="3"/>
  <c r="BU98" i="3"/>
  <c r="BT98" i="3"/>
  <c r="BR98" i="3"/>
  <c r="BQ98" i="3"/>
  <c r="BP98" i="3"/>
  <c r="BO98" i="3"/>
  <c r="CN97" i="3"/>
  <c r="CM97" i="3"/>
  <c r="CL97" i="3"/>
  <c r="CK97" i="3"/>
  <c r="CJ97" i="3"/>
  <c r="CH97" i="3"/>
  <c r="CG97" i="3"/>
  <c r="CD97" i="3"/>
  <c r="CC97" i="3"/>
  <c r="CB97" i="3"/>
  <c r="CA97" i="3"/>
  <c r="BZ97" i="3"/>
  <c r="BY97" i="3"/>
  <c r="BX97" i="3"/>
  <c r="BW97" i="3"/>
  <c r="BV97" i="3"/>
  <c r="BU97" i="3"/>
  <c r="BT97" i="3"/>
  <c r="BR97" i="3"/>
  <c r="BQ97" i="3"/>
  <c r="BP97" i="3"/>
  <c r="BO97" i="3"/>
  <c r="CN96" i="3"/>
  <c r="CM96" i="3"/>
  <c r="CL96" i="3"/>
  <c r="CK96" i="3"/>
  <c r="CJ96" i="3"/>
  <c r="CH96" i="3"/>
  <c r="CG96" i="3"/>
  <c r="CD96" i="3"/>
  <c r="CC96" i="3"/>
  <c r="CB96" i="3"/>
  <c r="CA96" i="3"/>
  <c r="BZ96" i="3"/>
  <c r="BY96" i="3"/>
  <c r="BX96" i="3"/>
  <c r="BW96" i="3"/>
  <c r="BV96" i="3"/>
  <c r="BU96" i="3"/>
  <c r="BT96" i="3"/>
  <c r="BR96" i="3"/>
  <c r="BQ96" i="3"/>
  <c r="BP96" i="3"/>
  <c r="BO96" i="3"/>
  <c r="CN95" i="3"/>
  <c r="CM95" i="3"/>
  <c r="CL95" i="3"/>
  <c r="CK95" i="3"/>
  <c r="CJ95" i="3"/>
  <c r="CH95" i="3"/>
  <c r="CG95" i="3"/>
  <c r="CD95" i="3"/>
  <c r="CC95" i="3"/>
  <c r="CB95" i="3"/>
  <c r="CA95" i="3"/>
  <c r="BZ95" i="3"/>
  <c r="BY95" i="3"/>
  <c r="BX95" i="3"/>
  <c r="BW95" i="3"/>
  <c r="BV95" i="3"/>
  <c r="BU95" i="3"/>
  <c r="BT95" i="3"/>
  <c r="BR95" i="3"/>
  <c r="BQ95" i="3"/>
  <c r="BP95" i="3"/>
  <c r="BO95" i="3"/>
  <c r="CN94" i="3"/>
  <c r="CM94" i="3"/>
  <c r="CL94" i="3"/>
  <c r="CK94" i="3"/>
  <c r="CJ94" i="3"/>
  <c r="CH94" i="3"/>
  <c r="CG94" i="3"/>
  <c r="CD94" i="3"/>
  <c r="CC94" i="3"/>
  <c r="CB94" i="3"/>
  <c r="CA94" i="3"/>
  <c r="BZ94" i="3"/>
  <c r="BY94" i="3"/>
  <c r="BX94" i="3"/>
  <c r="BW94" i="3"/>
  <c r="BV94" i="3"/>
  <c r="BU94" i="3"/>
  <c r="BT94" i="3"/>
  <c r="BR94" i="3"/>
  <c r="BQ94" i="3"/>
  <c r="BP94" i="3"/>
  <c r="BO94" i="3"/>
  <c r="CN93" i="3"/>
  <c r="CM93" i="3"/>
  <c r="CL93" i="3"/>
  <c r="CK93" i="3"/>
  <c r="CJ93" i="3"/>
  <c r="CH93" i="3"/>
  <c r="CG93" i="3"/>
  <c r="CD93" i="3"/>
  <c r="CC93" i="3"/>
  <c r="CB93" i="3"/>
  <c r="CA93" i="3"/>
  <c r="BZ93" i="3"/>
  <c r="BY93" i="3"/>
  <c r="BX93" i="3"/>
  <c r="BW93" i="3"/>
  <c r="BV93" i="3"/>
  <c r="BU93" i="3"/>
  <c r="BT93" i="3"/>
  <c r="BR93" i="3"/>
  <c r="BQ93" i="3"/>
  <c r="BP93" i="3"/>
  <c r="BO93" i="3"/>
  <c r="CN92" i="3"/>
  <c r="CM92" i="3"/>
  <c r="CL92" i="3"/>
  <c r="CK92" i="3"/>
  <c r="CJ92" i="3"/>
  <c r="CH92" i="3"/>
  <c r="CG92" i="3"/>
  <c r="CD92" i="3"/>
  <c r="CC92" i="3"/>
  <c r="CB92" i="3"/>
  <c r="CA92" i="3"/>
  <c r="BZ92" i="3"/>
  <c r="BY92" i="3"/>
  <c r="BX92" i="3"/>
  <c r="BW92" i="3"/>
  <c r="BV92" i="3"/>
  <c r="BU92" i="3"/>
  <c r="BT92" i="3"/>
  <c r="BR92" i="3"/>
  <c r="BQ92" i="3"/>
  <c r="BP92" i="3"/>
  <c r="BO92" i="3"/>
  <c r="CN91" i="3"/>
  <c r="CM91" i="3"/>
  <c r="CL91" i="3"/>
  <c r="CK91" i="3"/>
  <c r="CJ91" i="3"/>
  <c r="CH91" i="3"/>
  <c r="CG91" i="3"/>
  <c r="CD91" i="3"/>
  <c r="CC91" i="3"/>
  <c r="CB91" i="3"/>
  <c r="CA91" i="3"/>
  <c r="BZ91" i="3"/>
  <c r="BY91" i="3"/>
  <c r="BX91" i="3"/>
  <c r="BW91" i="3"/>
  <c r="BV91" i="3"/>
  <c r="BU91" i="3"/>
  <c r="BT91" i="3"/>
  <c r="BR91" i="3"/>
  <c r="BQ91" i="3"/>
  <c r="BP91" i="3"/>
  <c r="BO91" i="3"/>
  <c r="CN90" i="3"/>
  <c r="CM90" i="3"/>
  <c r="CL90" i="3"/>
  <c r="CK90" i="3"/>
  <c r="CJ90" i="3"/>
  <c r="CH90" i="3"/>
  <c r="CG90" i="3"/>
  <c r="CD90" i="3"/>
  <c r="CC90" i="3"/>
  <c r="CB90" i="3"/>
  <c r="CA90" i="3"/>
  <c r="BZ90" i="3"/>
  <c r="BY90" i="3"/>
  <c r="BX90" i="3"/>
  <c r="BW90" i="3"/>
  <c r="BV90" i="3"/>
  <c r="BU90" i="3"/>
  <c r="BT90" i="3"/>
  <c r="BR90" i="3"/>
  <c r="BQ90" i="3"/>
  <c r="BP90" i="3"/>
  <c r="BO90" i="3"/>
  <c r="CN89" i="3"/>
  <c r="CM89" i="3"/>
  <c r="CL89" i="3"/>
  <c r="CK89" i="3"/>
  <c r="CJ89" i="3"/>
  <c r="CH89" i="3"/>
  <c r="CG89" i="3"/>
  <c r="CD89" i="3"/>
  <c r="CC89" i="3"/>
  <c r="CB89" i="3"/>
  <c r="CA89" i="3"/>
  <c r="BZ89" i="3"/>
  <c r="BY89" i="3"/>
  <c r="BX89" i="3"/>
  <c r="BW89" i="3"/>
  <c r="BV89" i="3"/>
  <c r="BU89" i="3"/>
  <c r="BT89" i="3"/>
  <c r="BR89" i="3"/>
  <c r="BQ89" i="3"/>
  <c r="BP89" i="3"/>
  <c r="BO89" i="3"/>
  <c r="CN88" i="3"/>
  <c r="CM88" i="3"/>
  <c r="CL88" i="3"/>
  <c r="CK88" i="3"/>
  <c r="CJ88" i="3"/>
  <c r="CH88" i="3"/>
  <c r="CG88" i="3"/>
  <c r="CD88" i="3"/>
  <c r="CC88" i="3"/>
  <c r="CB88" i="3"/>
  <c r="CA88" i="3"/>
  <c r="BZ88" i="3"/>
  <c r="BY88" i="3"/>
  <c r="BX88" i="3"/>
  <c r="BW88" i="3"/>
  <c r="BV88" i="3"/>
  <c r="BU88" i="3"/>
  <c r="BT88" i="3"/>
  <c r="BR88" i="3"/>
  <c r="BQ88" i="3"/>
  <c r="BP88" i="3"/>
  <c r="BO88" i="3"/>
  <c r="CN87" i="3"/>
  <c r="CM87" i="3"/>
  <c r="CL87" i="3"/>
  <c r="CK87" i="3"/>
  <c r="CJ87" i="3"/>
  <c r="CH87" i="3"/>
  <c r="CG87" i="3"/>
  <c r="CD87" i="3"/>
  <c r="CC87" i="3"/>
  <c r="CB87" i="3"/>
  <c r="CA87" i="3"/>
  <c r="BZ87" i="3"/>
  <c r="BY87" i="3"/>
  <c r="BX87" i="3"/>
  <c r="BW87" i="3"/>
  <c r="BV87" i="3"/>
  <c r="BU87" i="3"/>
  <c r="BT87" i="3"/>
  <c r="BR87" i="3"/>
  <c r="BQ87" i="3"/>
  <c r="BP87" i="3"/>
  <c r="BO87" i="3"/>
  <c r="CN86" i="3"/>
  <c r="CM86" i="3"/>
  <c r="CL86" i="3"/>
  <c r="CK86" i="3"/>
  <c r="CJ86" i="3"/>
  <c r="CH86" i="3"/>
  <c r="CG86" i="3"/>
  <c r="CD86" i="3"/>
  <c r="CC86" i="3"/>
  <c r="CB86" i="3"/>
  <c r="CA86" i="3"/>
  <c r="BZ86" i="3"/>
  <c r="BY86" i="3"/>
  <c r="BX86" i="3"/>
  <c r="BW86" i="3"/>
  <c r="BV86" i="3"/>
  <c r="BU86" i="3"/>
  <c r="BT86" i="3"/>
  <c r="BR86" i="3"/>
  <c r="BQ86" i="3"/>
  <c r="BP86" i="3"/>
  <c r="BO86" i="3"/>
  <c r="CN85" i="3"/>
  <c r="CM85" i="3"/>
  <c r="CL85" i="3"/>
  <c r="CK85" i="3"/>
  <c r="CJ85" i="3"/>
  <c r="CH85" i="3"/>
  <c r="CG85" i="3"/>
  <c r="CD85" i="3"/>
  <c r="CC85" i="3"/>
  <c r="CB85" i="3"/>
  <c r="CA85" i="3"/>
  <c r="BZ85" i="3"/>
  <c r="BY85" i="3"/>
  <c r="BX85" i="3"/>
  <c r="BW85" i="3"/>
  <c r="BV85" i="3"/>
  <c r="BU85" i="3"/>
  <c r="BT85" i="3"/>
  <c r="BR85" i="3"/>
  <c r="BQ85" i="3"/>
  <c r="BP85" i="3"/>
  <c r="BO85" i="3"/>
  <c r="CN84" i="3"/>
  <c r="CM84" i="3"/>
  <c r="CL84" i="3"/>
  <c r="CK84" i="3"/>
  <c r="CJ84" i="3"/>
  <c r="CH84" i="3"/>
  <c r="CG84" i="3"/>
  <c r="CD84" i="3"/>
  <c r="CC84" i="3"/>
  <c r="CB84" i="3"/>
  <c r="CA84" i="3"/>
  <c r="BZ84" i="3"/>
  <c r="BY84" i="3"/>
  <c r="BX84" i="3"/>
  <c r="BW84" i="3"/>
  <c r="BV84" i="3"/>
  <c r="BU84" i="3"/>
  <c r="BT84" i="3"/>
  <c r="BR84" i="3"/>
  <c r="BQ84" i="3"/>
  <c r="BP84" i="3"/>
  <c r="BO84" i="3"/>
  <c r="CN83" i="3"/>
  <c r="CM83" i="3"/>
  <c r="CL83" i="3"/>
  <c r="CK83" i="3"/>
  <c r="CJ83" i="3"/>
  <c r="CH83" i="3"/>
  <c r="CG83" i="3"/>
  <c r="CD83" i="3"/>
  <c r="CC83" i="3"/>
  <c r="CB83" i="3"/>
  <c r="CA83" i="3"/>
  <c r="BZ83" i="3"/>
  <c r="BY83" i="3"/>
  <c r="BX83" i="3"/>
  <c r="BW83" i="3"/>
  <c r="BV83" i="3"/>
  <c r="BU83" i="3"/>
  <c r="BT83" i="3"/>
  <c r="BR83" i="3"/>
  <c r="BQ83" i="3"/>
  <c r="BP83" i="3"/>
  <c r="BO83" i="3"/>
  <c r="CN82" i="3"/>
  <c r="CM82" i="3"/>
  <c r="CL82" i="3"/>
  <c r="CK82" i="3"/>
  <c r="CJ82" i="3"/>
  <c r="CH82" i="3"/>
  <c r="CG82" i="3"/>
  <c r="CD82" i="3"/>
  <c r="CC82" i="3"/>
  <c r="CB82" i="3"/>
  <c r="CA82" i="3"/>
  <c r="BZ82" i="3"/>
  <c r="BY82" i="3"/>
  <c r="BX82" i="3"/>
  <c r="BW82" i="3"/>
  <c r="BV82" i="3"/>
  <c r="BU82" i="3"/>
  <c r="BT82" i="3"/>
  <c r="BR82" i="3"/>
  <c r="BQ82" i="3"/>
  <c r="BP82" i="3"/>
  <c r="BO82" i="3"/>
  <c r="CN81" i="3"/>
  <c r="CM81" i="3"/>
  <c r="CL81" i="3"/>
  <c r="CK81" i="3"/>
  <c r="CJ81" i="3"/>
  <c r="CH81" i="3"/>
  <c r="CG81" i="3"/>
  <c r="CD81" i="3"/>
  <c r="CC81" i="3"/>
  <c r="CB81" i="3"/>
  <c r="CA81" i="3"/>
  <c r="BZ81" i="3"/>
  <c r="BY81" i="3"/>
  <c r="BX81" i="3"/>
  <c r="BW81" i="3"/>
  <c r="BV81" i="3"/>
  <c r="BU81" i="3"/>
  <c r="BT81" i="3"/>
  <c r="BR81" i="3"/>
  <c r="BQ81" i="3"/>
  <c r="BP81" i="3"/>
  <c r="BO81" i="3"/>
  <c r="CN80" i="3"/>
  <c r="CM80" i="3"/>
  <c r="CL80" i="3"/>
  <c r="CK80" i="3"/>
  <c r="CJ80" i="3"/>
  <c r="CH80" i="3"/>
  <c r="CG80" i="3"/>
  <c r="CD80" i="3"/>
  <c r="CC80" i="3"/>
  <c r="CB80" i="3"/>
  <c r="CA80" i="3"/>
  <c r="BZ80" i="3"/>
  <c r="BY80" i="3"/>
  <c r="BX80" i="3"/>
  <c r="BW80" i="3"/>
  <c r="BV80" i="3"/>
  <c r="BU80" i="3"/>
  <c r="BT80" i="3"/>
  <c r="BR80" i="3"/>
  <c r="BQ80" i="3"/>
  <c r="BP80" i="3"/>
  <c r="BO80" i="3"/>
  <c r="CN79" i="3"/>
  <c r="CM79" i="3"/>
  <c r="CL79" i="3"/>
  <c r="CK79" i="3"/>
  <c r="CJ79" i="3"/>
  <c r="CH79" i="3"/>
  <c r="CG79" i="3"/>
  <c r="CD79" i="3"/>
  <c r="CC79" i="3"/>
  <c r="CB79" i="3"/>
  <c r="CA79" i="3"/>
  <c r="BZ79" i="3"/>
  <c r="BY79" i="3"/>
  <c r="BX79" i="3"/>
  <c r="BW79" i="3"/>
  <c r="BV79" i="3"/>
  <c r="BU79" i="3"/>
  <c r="BT79" i="3"/>
  <c r="BR79" i="3"/>
  <c r="BQ79" i="3"/>
  <c r="BP79" i="3"/>
  <c r="BO79" i="3"/>
  <c r="CN78" i="3"/>
  <c r="CM78" i="3"/>
  <c r="CL78" i="3"/>
  <c r="CK78" i="3"/>
  <c r="CJ78" i="3"/>
  <c r="CH78" i="3"/>
  <c r="CG78" i="3"/>
  <c r="CD78" i="3"/>
  <c r="CC78" i="3"/>
  <c r="CB78" i="3"/>
  <c r="CA78" i="3"/>
  <c r="BZ78" i="3"/>
  <c r="BY78" i="3"/>
  <c r="BX78" i="3"/>
  <c r="BW78" i="3"/>
  <c r="BV78" i="3"/>
  <c r="BU78" i="3"/>
  <c r="BT78" i="3"/>
  <c r="BR78" i="3"/>
  <c r="BQ78" i="3"/>
  <c r="BP78" i="3"/>
  <c r="BO78" i="3"/>
  <c r="CN77" i="3"/>
  <c r="CM77" i="3"/>
  <c r="CL77" i="3"/>
  <c r="CK77" i="3"/>
  <c r="CJ77" i="3"/>
  <c r="CH77" i="3"/>
  <c r="CG77" i="3"/>
  <c r="CD77" i="3"/>
  <c r="CC77" i="3"/>
  <c r="CB77" i="3"/>
  <c r="CA77" i="3"/>
  <c r="BZ77" i="3"/>
  <c r="BY77" i="3"/>
  <c r="BX77" i="3"/>
  <c r="BW77" i="3"/>
  <c r="BV77" i="3"/>
  <c r="BU77" i="3"/>
  <c r="BT77" i="3"/>
  <c r="BR77" i="3"/>
  <c r="BQ77" i="3"/>
  <c r="BP77" i="3"/>
  <c r="BO77" i="3"/>
  <c r="CN76" i="3"/>
  <c r="CM76" i="3"/>
  <c r="CL76" i="3"/>
  <c r="CK76" i="3"/>
  <c r="CJ76" i="3"/>
  <c r="CH76" i="3"/>
  <c r="CG76" i="3"/>
  <c r="CD76" i="3"/>
  <c r="CC76" i="3"/>
  <c r="CB76" i="3"/>
  <c r="CA76" i="3"/>
  <c r="BZ76" i="3"/>
  <c r="BY76" i="3"/>
  <c r="BX76" i="3"/>
  <c r="BW76" i="3"/>
  <c r="BV76" i="3"/>
  <c r="BU76" i="3"/>
  <c r="BT76" i="3"/>
  <c r="BR76" i="3"/>
  <c r="BQ76" i="3"/>
  <c r="BP76" i="3"/>
  <c r="BO76" i="3"/>
  <c r="CN75" i="3"/>
  <c r="CM75" i="3"/>
  <c r="CL75" i="3"/>
  <c r="CK75" i="3"/>
  <c r="CJ75" i="3"/>
  <c r="CH75" i="3"/>
  <c r="CG75" i="3"/>
  <c r="CD75" i="3"/>
  <c r="CC75" i="3"/>
  <c r="CB75" i="3"/>
  <c r="CA75" i="3"/>
  <c r="BZ75" i="3"/>
  <c r="BY75" i="3"/>
  <c r="BX75" i="3"/>
  <c r="BW75" i="3"/>
  <c r="BV75" i="3"/>
  <c r="BU75" i="3"/>
  <c r="BT75" i="3"/>
  <c r="BR75" i="3"/>
  <c r="BQ75" i="3"/>
  <c r="BP75" i="3"/>
  <c r="BO75" i="3"/>
  <c r="CN74" i="3"/>
  <c r="CM74" i="3"/>
  <c r="CL74" i="3"/>
  <c r="CK74" i="3"/>
  <c r="CJ74" i="3"/>
  <c r="CH74" i="3"/>
  <c r="CG74" i="3"/>
  <c r="CD74" i="3"/>
  <c r="CC74" i="3"/>
  <c r="CB74" i="3"/>
  <c r="CA74" i="3"/>
  <c r="BZ74" i="3"/>
  <c r="BY74" i="3"/>
  <c r="BX74" i="3"/>
  <c r="BW74" i="3"/>
  <c r="BV74" i="3"/>
  <c r="BU74" i="3"/>
  <c r="BT74" i="3"/>
  <c r="BR74" i="3"/>
  <c r="BQ74" i="3"/>
  <c r="BP74" i="3"/>
  <c r="BO74" i="3"/>
  <c r="CN73" i="3"/>
  <c r="CM73" i="3"/>
  <c r="CL73" i="3"/>
  <c r="CK73" i="3"/>
  <c r="CJ73" i="3"/>
  <c r="CH73" i="3"/>
  <c r="CG73" i="3"/>
  <c r="CD73" i="3"/>
  <c r="CC73" i="3"/>
  <c r="CB73" i="3"/>
  <c r="CA73" i="3"/>
  <c r="BZ73" i="3"/>
  <c r="BY73" i="3"/>
  <c r="BX73" i="3"/>
  <c r="BW73" i="3"/>
  <c r="BV73" i="3"/>
  <c r="BU73" i="3"/>
  <c r="BT73" i="3"/>
  <c r="BR73" i="3"/>
  <c r="BQ73" i="3"/>
  <c r="BP73" i="3"/>
  <c r="BO73" i="3"/>
  <c r="CN72" i="3"/>
  <c r="CM72" i="3"/>
  <c r="CL72" i="3"/>
  <c r="CK72" i="3"/>
  <c r="CJ72" i="3"/>
  <c r="CH72" i="3"/>
  <c r="CG72" i="3"/>
  <c r="CD72" i="3"/>
  <c r="CC72" i="3"/>
  <c r="CB72" i="3"/>
  <c r="CA72" i="3"/>
  <c r="BZ72" i="3"/>
  <c r="BY72" i="3"/>
  <c r="BX72" i="3"/>
  <c r="BW72" i="3"/>
  <c r="BV72" i="3"/>
  <c r="BU72" i="3"/>
  <c r="BT72" i="3"/>
  <c r="BR72" i="3"/>
  <c r="BQ72" i="3"/>
  <c r="BP72" i="3"/>
  <c r="BO72" i="3"/>
  <c r="CN71" i="3"/>
  <c r="CM71" i="3"/>
  <c r="CL71" i="3"/>
  <c r="CK71" i="3"/>
  <c r="CJ71" i="3"/>
  <c r="CH71" i="3"/>
  <c r="CG71" i="3"/>
  <c r="CD71" i="3"/>
  <c r="CC71" i="3"/>
  <c r="CB71" i="3"/>
  <c r="CA71" i="3"/>
  <c r="BZ71" i="3"/>
  <c r="BY71" i="3"/>
  <c r="BX71" i="3"/>
  <c r="BW71" i="3"/>
  <c r="BV71" i="3"/>
  <c r="BU71" i="3"/>
  <c r="BT71" i="3"/>
  <c r="BR71" i="3"/>
  <c r="BQ71" i="3"/>
  <c r="BP71" i="3"/>
  <c r="BO71" i="3"/>
  <c r="CN70" i="3"/>
  <c r="CM70" i="3"/>
  <c r="CL70" i="3"/>
  <c r="CK70" i="3"/>
  <c r="CJ70" i="3"/>
  <c r="CH70" i="3"/>
  <c r="CG70" i="3"/>
  <c r="CD70" i="3"/>
  <c r="CC70" i="3"/>
  <c r="CB70" i="3"/>
  <c r="CA70" i="3"/>
  <c r="BZ70" i="3"/>
  <c r="BY70" i="3"/>
  <c r="BX70" i="3"/>
  <c r="BW70" i="3"/>
  <c r="BV70" i="3"/>
  <c r="BU70" i="3"/>
  <c r="BT70" i="3"/>
  <c r="BR70" i="3"/>
  <c r="BQ70" i="3"/>
  <c r="BP70" i="3"/>
  <c r="BO70" i="3"/>
  <c r="CN69" i="3"/>
  <c r="CM69" i="3"/>
  <c r="CL69" i="3"/>
  <c r="CK69" i="3"/>
  <c r="CJ69" i="3"/>
  <c r="CH69" i="3"/>
  <c r="CG69" i="3"/>
  <c r="CD69" i="3"/>
  <c r="CC69" i="3"/>
  <c r="CB69" i="3"/>
  <c r="CA69" i="3"/>
  <c r="BZ69" i="3"/>
  <c r="BY69" i="3"/>
  <c r="BX69" i="3"/>
  <c r="BW69" i="3"/>
  <c r="BV69" i="3"/>
  <c r="BU69" i="3"/>
  <c r="BT69" i="3"/>
  <c r="BR69" i="3"/>
  <c r="BQ69" i="3"/>
  <c r="BP69" i="3"/>
  <c r="BO69" i="3"/>
  <c r="CN68" i="3"/>
  <c r="CM68" i="3"/>
  <c r="CL68" i="3"/>
  <c r="CK68" i="3"/>
  <c r="CJ68" i="3"/>
  <c r="CH68" i="3"/>
  <c r="CG68" i="3"/>
  <c r="CD68" i="3"/>
  <c r="CC68" i="3"/>
  <c r="CB68" i="3"/>
  <c r="CA68" i="3"/>
  <c r="BZ68" i="3"/>
  <c r="BY68" i="3"/>
  <c r="BX68" i="3"/>
  <c r="BW68" i="3"/>
  <c r="BV68" i="3"/>
  <c r="BU68" i="3"/>
  <c r="BT68" i="3"/>
  <c r="BR68" i="3"/>
  <c r="BQ68" i="3"/>
  <c r="BP68" i="3"/>
  <c r="BO68" i="3"/>
  <c r="CO67" i="3"/>
  <c r="CN67" i="3"/>
  <c r="CM67" i="3"/>
  <c r="CL67" i="3"/>
  <c r="CK67" i="3"/>
  <c r="CJ67" i="3"/>
  <c r="CH67" i="3"/>
  <c r="CG67" i="3"/>
  <c r="CD67" i="3"/>
  <c r="CC67" i="3"/>
  <c r="CB67" i="3"/>
  <c r="CA67" i="3"/>
  <c r="BZ67" i="3"/>
  <c r="BY67" i="3"/>
  <c r="BX67" i="3"/>
  <c r="BW67" i="3"/>
  <c r="BV67" i="3"/>
  <c r="BU67" i="3"/>
  <c r="BT67" i="3"/>
  <c r="BR67" i="3"/>
  <c r="BQ67" i="3"/>
  <c r="BP67" i="3"/>
  <c r="BO67" i="3"/>
  <c r="CO66" i="3"/>
  <c r="CN66" i="3"/>
  <c r="CM66" i="3"/>
  <c r="CL66" i="3"/>
  <c r="CK66" i="3"/>
  <c r="CJ66" i="3"/>
  <c r="CH66" i="3"/>
  <c r="CG66" i="3"/>
  <c r="CD66" i="3"/>
  <c r="CC66" i="3"/>
  <c r="CB66" i="3"/>
  <c r="CA66" i="3"/>
  <c r="BZ66" i="3"/>
  <c r="BY66" i="3"/>
  <c r="BX66" i="3"/>
  <c r="BW66" i="3"/>
  <c r="BV66" i="3"/>
  <c r="BU66" i="3"/>
  <c r="BT66" i="3"/>
  <c r="BR66" i="3"/>
  <c r="BQ66" i="3"/>
  <c r="BP66" i="3"/>
  <c r="BO66" i="3"/>
  <c r="CO65" i="3"/>
  <c r="CN65" i="3"/>
  <c r="CM65" i="3"/>
  <c r="CL65" i="3"/>
  <c r="CK65" i="3"/>
  <c r="CJ65" i="3"/>
  <c r="CH65" i="3"/>
  <c r="CG65" i="3"/>
  <c r="CD65" i="3"/>
  <c r="CC65" i="3"/>
  <c r="CB65" i="3"/>
  <c r="CA65" i="3"/>
  <c r="BZ65" i="3"/>
  <c r="BY65" i="3"/>
  <c r="BX65" i="3"/>
  <c r="BW65" i="3"/>
  <c r="BV65" i="3"/>
  <c r="BU65" i="3"/>
  <c r="BT65" i="3"/>
  <c r="BR65" i="3"/>
  <c r="BQ65" i="3"/>
  <c r="BP65" i="3"/>
  <c r="BO65" i="3"/>
  <c r="CO64" i="3"/>
  <c r="CN64" i="3"/>
  <c r="CM64" i="3"/>
  <c r="CL64" i="3"/>
  <c r="CK64" i="3"/>
  <c r="CJ64" i="3"/>
  <c r="CH64" i="3"/>
  <c r="CG64" i="3"/>
  <c r="CD64" i="3"/>
  <c r="CC64" i="3"/>
  <c r="CB64" i="3"/>
  <c r="CA64" i="3"/>
  <c r="BZ64" i="3"/>
  <c r="BY64" i="3"/>
  <c r="BX64" i="3"/>
  <c r="BW64" i="3"/>
  <c r="BV64" i="3"/>
  <c r="BU64" i="3"/>
  <c r="BT64" i="3"/>
  <c r="BR64" i="3"/>
  <c r="BQ64" i="3"/>
  <c r="BP64" i="3"/>
  <c r="BO64" i="3"/>
  <c r="CO63" i="3"/>
  <c r="CN63" i="3"/>
  <c r="CM63" i="3"/>
  <c r="CL63" i="3"/>
  <c r="CK63" i="3"/>
  <c r="CJ63" i="3"/>
  <c r="CH63" i="3"/>
  <c r="CG63" i="3"/>
  <c r="CD63" i="3"/>
  <c r="CC63" i="3"/>
  <c r="CB63" i="3"/>
  <c r="CA63" i="3"/>
  <c r="BZ63" i="3"/>
  <c r="BY63" i="3"/>
  <c r="BX63" i="3"/>
  <c r="BW63" i="3"/>
  <c r="BV63" i="3"/>
  <c r="BU63" i="3"/>
  <c r="BT63" i="3"/>
  <c r="BR63" i="3"/>
  <c r="BQ63" i="3"/>
  <c r="BP63" i="3"/>
  <c r="BO63" i="3"/>
  <c r="CO62" i="3"/>
  <c r="CN62" i="3"/>
  <c r="CM62" i="3"/>
  <c r="CL62" i="3"/>
  <c r="CK62" i="3"/>
  <c r="CJ62" i="3"/>
  <c r="CH62" i="3"/>
  <c r="CG62" i="3"/>
  <c r="CD62" i="3"/>
  <c r="CC62" i="3"/>
  <c r="CB62" i="3"/>
  <c r="CA62" i="3"/>
  <c r="BZ62" i="3"/>
  <c r="BY62" i="3"/>
  <c r="BX62" i="3"/>
  <c r="BW62" i="3"/>
  <c r="BV62" i="3"/>
  <c r="BU62" i="3"/>
  <c r="BT62" i="3"/>
  <c r="BR62" i="3"/>
  <c r="BQ62" i="3"/>
  <c r="BP62" i="3"/>
  <c r="BO62" i="3"/>
  <c r="CO61" i="3"/>
  <c r="CN61" i="3"/>
  <c r="CM61" i="3"/>
  <c r="CL61" i="3"/>
  <c r="CK61" i="3"/>
  <c r="CJ61" i="3"/>
  <c r="CH61" i="3"/>
  <c r="CG61" i="3"/>
  <c r="CD61" i="3"/>
  <c r="CC61" i="3"/>
  <c r="CB61" i="3"/>
  <c r="CA61" i="3"/>
  <c r="BZ61" i="3"/>
  <c r="BY61" i="3"/>
  <c r="BX61" i="3"/>
  <c r="BW61" i="3"/>
  <c r="BV61" i="3"/>
  <c r="BU61" i="3"/>
  <c r="BT61" i="3"/>
  <c r="BR61" i="3"/>
  <c r="BQ61" i="3"/>
  <c r="BP61" i="3"/>
  <c r="BO61" i="3"/>
  <c r="CO60" i="3"/>
  <c r="CN60" i="3"/>
  <c r="CM60" i="3"/>
  <c r="CL60" i="3"/>
  <c r="CK60" i="3"/>
  <c r="CJ60" i="3"/>
  <c r="CH60" i="3"/>
  <c r="CG60" i="3"/>
  <c r="CD60" i="3"/>
  <c r="CC60" i="3"/>
  <c r="CB60" i="3"/>
  <c r="CA60" i="3"/>
  <c r="BZ60" i="3"/>
  <c r="BY60" i="3"/>
  <c r="BX60" i="3"/>
  <c r="BW60" i="3"/>
  <c r="BV60" i="3"/>
  <c r="BU60" i="3"/>
  <c r="BT60" i="3"/>
  <c r="BR60" i="3"/>
  <c r="BQ60" i="3"/>
  <c r="BP60" i="3"/>
  <c r="BO60" i="3"/>
  <c r="CO59" i="3"/>
  <c r="CN59" i="3"/>
  <c r="CM59" i="3"/>
  <c r="CL59" i="3"/>
  <c r="CK59" i="3"/>
  <c r="CJ59" i="3"/>
  <c r="CH59" i="3"/>
  <c r="CG59" i="3"/>
  <c r="CD59" i="3"/>
  <c r="CC59" i="3"/>
  <c r="CB59" i="3"/>
  <c r="CA59" i="3"/>
  <c r="BZ59" i="3"/>
  <c r="BY59" i="3"/>
  <c r="BX59" i="3"/>
  <c r="BW59" i="3"/>
  <c r="BV59" i="3"/>
  <c r="BU59" i="3"/>
  <c r="BT59" i="3"/>
  <c r="BR59" i="3"/>
  <c r="BQ59" i="3"/>
  <c r="BP59" i="3"/>
  <c r="BO59" i="3"/>
  <c r="CO58" i="3"/>
  <c r="CN58" i="3"/>
  <c r="CM58" i="3"/>
  <c r="CL58" i="3"/>
  <c r="CK58" i="3"/>
  <c r="CJ58" i="3"/>
  <c r="CH58" i="3"/>
  <c r="CG58" i="3"/>
  <c r="CD58" i="3"/>
  <c r="CC58" i="3"/>
  <c r="CB58" i="3"/>
  <c r="CA58" i="3"/>
  <c r="BZ58" i="3"/>
  <c r="BY58" i="3"/>
  <c r="BX58" i="3"/>
  <c r="BW58" i="3"/>
  <c r="BV58" i="3"/>
  <c r="BU58" i="3"/>
  <c r="BT58" i="3"/>
  <c r="BR58" i="3"/>
  <c r="BQ58" i="3"/>
  <c r="BP58" i="3"/>
  <c r="BO58" i="3"/>
  <c r="CO57" i="3"/>
  <c r="CN57" i="3"/>
  <c r="CM57" i="3"/>
  <c r="CL57" i="3"/>
  <c r="CK57" i="3"/>
  <c r="CJ57" i="3"/>
  <c r="CH57" i="3"/>
  <c r="CG57" i="3"/>
  <c r="CD57" i="3"/>
  <c r="CC57" i="3"/>
  <c r="CB57" i="3"/>
  <c r="CA57" i="3"/>
  <c r="BZ57" i="3"/>
  <c r="BY57" i="3"/>
  <c r="BX57" i="3"/>
  <c r="BW57" i="3"/>
  <c r="BV57" i="3"/>
  <c r="BU57" i="3"/>
  <c r="BT57" i="3"/>
  <c r="BR57" i="3"/>
  <c r="BQ57" i="3"/>
  <c r="BP57" i="3"/>
  <c r="BO57" i="3"/>
  <c r="CO56" i="3"/>
  <c r="CN56" i="3"/>
  <c r="CM56" i="3"/>
  <c r="CL56" i="3"/>
  <c r="CK56" i="3"/>
  <c r="CJ56" i="3"/>
  <c r="CH56" i="3"/>
  <c r="CG56" i="3"/>
  <c r="CD56" i="3"/>
  <c r="CC56" i="3"/>
  <c r="CB56" i="3"/>
  <c r="CA56" i="3"/>
  <c r="BZ56" i="3"/>
  <c r="BY56" i="3"/>
  <c r="BX56" i="3"/>
  <c r="BW56" i="3"/>
  <c r="BV56" i="3"/>
  <c r="BU56" i="3"/>
  <c r="BT56" i="3"/>
  <c r="BR56" i="3"/>
  <c r="BQ56" i="3"/>
  <c r="BP56" i="3"/>
  <c r="BO56" i="3"/>
  <c r="CO55" i="3"/>
  <c r="CN55" i="3"/>
  <c r="CM55" i="3"/>
  <c r="CL55" i="3"/>
  <c r="CK55" i="3"/>
  <c r="CJ55" i="3"/>
  <c r="CH55" i="3"/>
  <c r="CG55" i="3"/>
  <c r="CD55" i="3"/>
  <c r="CC55" i="3"/>
  <c r="CB55" i="3"/>
  <c r="CA55" i="3"/>
  <c r="BZ55" i="3"/>
  <c r="BY55" i="3"/>
  <c r="BX55" i="3"/>
  <c r="BW55" i="3"/>
  <c r="BV55" i="3"/>
  <c r="BU55" i="3"/>
  <c r="BT55" i="3"/>
  <c r="BR55" i="3"/>
  <c r="BQ55" i="3"/>
  <c r="BP55" i="3"/>
  <c r="BO55" i="3"/>
  <c r="CO54" i="3"/>
  <c r="CN54" i="3"/>
  <c r="CM54" i="3"/>
  <c r="CL54" i="3"/>
  <c r="CK54" i="3"/>
  <c r="CJ54" i="3"/>
  <c r="CH54" i="3"/>
  <c r="CG54" i="3"/>
  <c r="CD54" i="3"/>
  <c r="CC54" i="3"/>
  <c r="CB54" i="3"/>
  <c r="CA54" i="3"/>
  <c r="BZ54" i="3"/>
  <c r="BY54" i="3"/>
  <c r="BX54" i="3"/>
  <c r="BW54" i="3"/>
  <c r="BV54" i="3"/>
  <c r="BU54" i="3"/>
  <c r="BT54" i="3"/>
  <c r="BR54" i="3"/>
  <c r="BQ54" i="3"/>
  <c r="BP54" i="3"/>
  <c r="BO54" i="3"/>
  <c r="CO53" i="3"/>
  <c r="CN53" i="3"/>
  <c r="CM53" i="3"/>
  <c r="CL53" i="3"/>
  <c r="CK53" i="3"/>
  <c r="CJ53" i="3"/>
  <c r="CH53" i="3"/>
  <c r="CG53" i="3"/>
  <c r="CD53" i="3"/>
  <c r="CC53" i="3"/>
  <c r="CB53" i="3"/>
  <c r="CA53" i="3"/>
  <c r="BZ53" i="3"/>
  <c r="BY53" i="3"/>
  <c r="BX53" i="3"/>
  <c r="BW53" i="3"/>
  <c r="BV53" i="3"/>
  <c r="BU53" i="3"/>
  <c r="BT53" i="3"/>
  <c r="BR53" i="3"/>
  <c r="BQ53" i="3"/>
  <c r="BP53" i="3"/>
  <c r="BO53" i="3"/>
  <c r="CO52" i="3"/>
  <c r="CN52" i="3"/>
  <c r="CM52" i="3"/>
  <c r="CL52" i="3"/>
  <c r="CK52" i="3"/>
  <c r="CJ52" i="3"/>
  <c r="CH52" i="3"/>
  <c r="CG52" i="3"/>
  <c r="CD52" i="3"/>
  <c r="CC52" i="3"/>
  <c r="CB52" i="3"/>
  <c r="CA52" i="3"/>
  <c r="BZ52" i="3"/>
  <c r="BY52" i="3"/>
  <c r="BX52" i="3"/>
  <c r="BW52" i="3"/>
  <c r="BV52" i="3"/>
  <c r="BU52" i="3"/>
  <c r="BT52" i="3"/>
  <c r="BR52" i="3"/>
  <c r="BQ52" i="3"/>
  <c r="BP52" i="3"/>
  <c r="BO52" i="3"/>
  <c r="CO51" i="3"/>
  <c r="CN51" i="3"/>
  <c r="CM51" i="3"/>
  <c r="CL51" i="3"/>
  <c r="CK51" i="3"/>
  <c r="CJ51" i="3"/>
  <c r="CH51" i="3"/>
  <c r="CG51" i="3"/>
  <c r="CD51" i="3"/>
  <c r="CC51" i="3"/>
  <c r="CB51" i="3"/>
  <c r="CA51" i="3"/>
  <c r="BZ51" i="3"/>
  <c r="BY51" i="3"/>
  <c r="BX51" i="3"/>
  <c r="BW51" i="3"/>
  <c r="BV51" i="3"/>
  <c r="BU51" i="3"/>
  <c r="BT51" i="3"/>
  <c r="BR51" i="3"/>
  <c r="BQ51" i="3"/>
  <c r="BP51" i="3"/>
  <c r="BO51" i="3"/>
  <c r="CO50" i="3"/>
  <c r="CN50" i="3"/>
  <c r="CM50" i="3"/>
  <c r="CL50" i="3"/>
  <c r="CK50" i="3"/>
  <c r="CJ50" i="3"/>
  <c r="CH50" i="3"/>
  <c r="CG50" i="3"/>
  <c r="CD50" i="3"/>
  <c r="CC50" i="3"/>
  <c r="CB50" i="3"/>
  <c r="CA50" i="3"/>
  <c r="BZ50" i="3"/>
  <c r="BY50" i="3"/>
  <c r="BX50" i="3"/>
  <c r="BW50" i="3"/>
  <c r="BV50" i="3"/>
  <c r="BU50" i="3"/>
  <c r="BT50" i="3"/>
  <c r="BR50" i="3"/>
  <c r="BQ50" i="3"/>
  <c r="BP50" i="3"/>
  <c r="BO50" i="3"/>
  <c r="CO49" i="3"/>
  <c r="CN49" i="3"/>
  <c r="CM49" i="3"/>
  <c r="CL49" i="3"/>
  <c r="CK49" i="3"/>
  <c r="CJ49" i="3"/>
  <c r="CH49" i="3"/>
  <c r="CG49" i="3"/>
  <c r="CD49" i="3"/>
  <c r="CC49" i="3"/>
  <c r="CB49" i="3"/>
  <c r="CA49" i="3"/>
  <c r="BZ49" i="3"/>
  <c r="BY49" i="3"/>
  <c r="BX49" i="3"/>
  <c r="BW49" i="3"/>
  <c r="BV49" i="3"/>
  <c r="BU49" i="3"/>
  <c r="BT49" i="3"/>
  <c r="BR49" i="3"/>
  <c r="BQ49" i="3"/>
  <c r="BP49" i="3"/>
  <c r="BO49" i="3"/>
  <c r="CO48" i="3"/>
  <c r="CN48" i="3"/>
  <c r="CM48" i="3"/>
  <c r="CL48" i="3"/>
  <c r="CK48" i="3"/>
  <c r="CJ48" i="3"/>
  <c r="CH48" i="3"/>
  <c r="CG48" i="3"/>
  <c r="CD48" i="3"/>
  <c r="CC48" i="3"/>
  <c r="CB48" i="3"/>
  <c r="CA48" i="3"/>
  <c r="BZ48" i="3"/>
  <c r="BY48" i="3"/>
  <c r="BX48" i="3"/>
  <c r="BW48" i="3"/>
  <c r="BV48" i="3"/>
  <c r="BU48" i="3"/>
  <c r="BT48" i="3"/>
  <c r="BR48" i="3"/>
  <c r="BQ48" i="3"/>
  <c r="BP48" i="3"/>
  <c r="BO48" i="3"/>
  <c r="CO47" i="3"/>
  <c r="CN47" i="3"/>
  <c r="CM47" i="3"/>
  <c r="CL47" i="3"/>
  <c r="CK47" i="3"/>
  <c r="CJ47" i="3"/>
  <c r="CH47" i="3"/>
  <c r="CG47" i="3"/>
  <c r="CD47" i="3"/>
  <c r="CC47" i="3"/>
  <c r="CB47" i="3"/>
  <c r="CA47" i="3"/>
  <c r="BZ47" i="3"/>
  <c r="BY47" i="3"/>
  <c r="BX47" i="3"/>
  <c r="BW47" i="3"/>
  <c r="BV47" i="3"/>
  <c r="BU47" i="3"/>
  <c r="BT47" i="3"/>
  <c r="BR47" i="3"/>
  <c r="BQ47" i="3"/>
  <c r="BP47" i="3"/>
  <c r="BO47" i="3"/>
  <c r="CO46" i="3"/>
  <c r="CN46" i="3"/>
  <c r="CM46" i="3"/>
  <c r="CL46" i="3"/>
  <c r="CK46" i="3"/>
  <c r="CJ46" i="3"/>
  <c r="CH46" i="3"/>
  <c r="CG46" i="3"/>
  <c r="CD46" i="3"/>
  <c r="CC46" i="3"/>
  <c r="CB46" i="3"/>
  <c r="CA46" i="3"/>
  <c r="BZ46" i="3"/>
  <c r="BY46" i="3"/>
  <c r="BX46" i="3"/>
  <c r="BW46" i="3"/>
  <c r="BV46" i="3"/>
  <c r="BU46" i="3"/>
  <c r="BT46" i="3"/>
  <c r="BR46" i="3"/>
  <c r="BQ46" i="3"/>
  <c r="BP46" i="3"/>
  <c r="BO46" i="3"/>
  <c r="CO45" i="3"/>
  <c r="CN45" i="3"/>
  <c r="CM45" i="3"/>
  <c r="CL45" i="3"/>
  <c r="CK45" i="3"/>
  <c r="CJ45" i="3"/>
  <c r="CH45" i="3"/>
  <c r="CG45" i="3"/>
  <c r="CD45" i="3"/>
  <c r="CC45" i="3"/>
  <c r="CB45" i="3"/>
  <c r="CA45" i="3"/>
  <c r="BZ45" i="3"/>
  <c r="BY45" i="3"/>
  <c r="BX45" i="3"/>
  <c r="BW45" i="3"/>
  <c r="BV45" i="3"/>
  <c r="BU45" i="3"/>
  <c r="BT45" i="3"/>
  <c r="BR45" i="3"/>
  <c r="BQ45" i="3"/>
  <c r="BP45" i="3"/>
  <c r="BO45" i="3"/>
  <c r="CO44" i="3"/>
  <c r="CN44" i="3"/>
  <c r="CM44" i="3"/>
  <c r="CL44" i="3"/>
  <c r="CK44" i="3"/>
  <c r="CJ44" i="3"/>
  <c r="CH44" i="3"/>
  <c r="CG44" i="3"/>
  <c r="CD44" i="3"/>
  <c r="CC44" i="3"/>
  <c r="CB44" i="3"/>
  <c r="CA44" i="3"/>
  <c r="BZ44" i="3"/>
  <c r="BY44" i="3"/>
  <c r="BX44" i="3"/>
  <c r="BW44" i="3"/>
  <c r="BV44" i="3"/>
  <c r="BU44" i="3"/>
  <c r="BT44" i="3"/>
  <c r="BR44" i="3"/>
  <c r="BQ44" i="3"/>
  <c r="BP44" i="3"/>
  <c r="BO44" i="3"/>
  <c r="CO43" i="3"/>
  <c r="CN43" i="3"/>
  <c r="CM43" i="3"/>
  <c r="CL43" i="3"/>
  <c r="CK43" i="3"/>
  <c r="CJ43" i="3"/>
  <c r="CH43" i="3"/>
  <c r="CG43" i="3"/>
  <c r="CD43" i="3"/>
  <c r="CC43" i="3"/>
  <c r="CB43" i="3"/>
  <c r="CA43" i="3"/>
  <c r="BZ43" i="3"/>
  <c r="BY43" i="3"/>
  <c r="BX43" i="3"/>
  <c r="BW43" i="3"/>
  <c r="BV43" i="3"/>
  <c r="BU43" i="3"/>
  <c r="BT43" i="3"/>
  <c r="BR43" i="3"/>
  <c r="BQ43" i="3"/>
  <c r="BP43" i="3"/>
  <c r="BO43" i="3"/>
  <c r="CO42" i="3"/>
  <c r="CN42" i="3"/>
  <c r="CM42" i="3"/>
  <c r="CL42" i="3"/>
  <c r="CK42" i="3"/>
  <c r="CJ42" i="3"/>
  <c r="CH42" i="3"/>
  <c r="CG42" i="3"/>
  <c r="CD42" i="3"/>
  <c r="CC42" i="3"/>
  <c r="CB42" i="3"/>
  <c r="CA42" i="3"/>
  <c r="BZ42" i="3"/>
  <c r="BY42" i="3"/>
  <c r="BX42" i="3"/>
  <c r="BW42" i="3"/>
  <c r="BV42" i="3"/>
  <c r="BU42" i="3"/>
  <c r="BT42" i="3"/>
  <c r="BR42" i="3"/>
  <c r="BQ42" i="3"/>
  <c r="BP42" i="3"/>
  <c r="BO42" i="3"/>
  <c r="CO41" i="3"/>
  <c r="CN41" i="3"/>
  <c r="CM41" i="3"/>
  <c r="CL41" i="3"/>
  <c r="CK41" i="3"/>
  <c r="CJ41" i="3"/>
  <c r="CH41" i="3"/>
  <c r="CG41" i="3"/>
  <c r="CD41" i="3"/>
  <c r="CC41" i="3"/>
  <c r="CB41" i="3"/>
  <c r="CA41" i="3"/>
  <c r="BZ41" i="3"/>
  <c r="BY41" i="3"/>
  <c r="BX41" i="3"/>
  <c r="BW41" i="3"/>
  <c r="BV41" i="3"/>
  <c r="BU41" i="3"/>
  <c r="BT41" i="3"/>
  <c r="BR41" i="3"/>
  <c r="BQ41" i="3"/>
  <c r="BP41" i="3"/>
  <c r="BO41" i="3"/>
  <c r="CO40" i="3"/>
  <c r="CN40" i="3"/>
  <c r="CM40" i="3"/>
  <c r="CL40" i="3"/>
  <c r="CK40" i="3"/>
  <c r="CJ40" i="3"/>
  <c r="CH40" i="3"/>
  <c r="CG40" i="3"/>
  <c r="CD40" i="3"/>
  <c r="CC40" i="3"/>
  <c r="CB40" i="3"/>
  <c r="CA40" i="3"/>
  <c r="BZ40" i="3"/>
  <c r="BY40" i="3"/>
  <c r="BX40" i="3"/>
  <c r="BW40" i="3"/>
  <c r="BV40" i="3"/>
  <c r="BU40" i="3"/>
  <c r="BT40" i="3"/>
  <c r="BR40" i="3"/>
  <c r="BQ40" i="3"/>
  <c r="BP40" i="3"/>
  <c r="BO40" i="3"/>
  <c r="CO39" i="3"/>
  <c r="CN39" i="3"/>
  <c r="CM39" i="3"/>
  <c r="CL39" i="3"/>
  <c r="CK39" i="3"/>
  <c r="CJ39" i="3"/>
  <c r="CH39" i="3"/>
  <c r="CG39" i="3"/>
  <c r="CD39" i="3"/>
  <c r="CC39" i="3"/>
  <c r="CB39" i="3"/>
  <c r="CA39" i="3"/>
  <c r="BZ39" i="3"/>
  <c r="BY39" i="3"/>
  <c r="BX39" i="3"/>
  <c r="BW39" i="3"/>
  <c r="BV39" i="3"/>
  <c r="BU39" i="3"/>
  <c r="BT39" i="3"/>
  <c r="BR39" i="3"/>
  <c r="BQ39" i="3"/>
  <c r="BP39" i="3"/>
  <c r="BO39" i="3"/>
  <c r="CO38" i="3"/>
  <c r="CN38" i="3"/>
  <c r="CM38" i="3"/>
  <c r="CL38" i="3"/>
  <c r="CK38" i="3"/>
  <c r="CJ38" i="3"/>
  <c r="CH38" i="3"/>
  <c r="CG38" i="3"/>
  <c r="CD38" i="3"/>
  <c r="CC38" i="3"/>
  <c r="CB38" i="3"/>
  <c r="CA38" i="3"/>
  <c r="BZ38" i="3"/>
  <c r="BY38" i="3"/>
  <c r="BX38" i="3"/>
  <c r="BW38" i="3"/>
  <c r="BV38" i="3"/>
  <c r="BU38" i="3"/>
  <c r="BT38" i="3"/>
  <c r="BR38" i="3"/>
  <c r="BQ38" i="3"/>
  <c r="BP38" i="3"/>
  <c r="BO38" i="3"/>
  <c r="CO37" i="3"/>
  <c r="CN37" i="3"/>
  <c r="CM37" i="3"/>
  <c r="CL37" i="3"/>
  <c r="CK37" i="3"/>
  <c r="CJ37" i="3"/>
  <c r="CH37" i="3"/>
  <c r="CG37" i="3"/>
  <c r="CD37" i="3"/>
  <c r="CC37" i="3"/>
  <c r="CB37" i="3"/>
  <c r="CA37" i="3"/>
  <c r="BZ37" i="3"/>
  <c r="BY37" i="3"/>
  <c r="BX37" i="3"/>
  <c r="BW37" i="3"/>
  <c r="BV37" i="3"/>
  <c r="BU37" i="3"/>
  <c r="BT37" i="3"/>
  <c r="BR37" i="3"/>
  <c r="BQ37" i="3"/>
  <c r="BP37" i="3"/>
  <c r="BO37" i="3"/>
  <c r="CO36" i="3"/>
  <c r="CN36" i="3"/>
  <c r="CM36" i="3"/>
  <c r="CL36" i="3"/>
  <c r="CK36" i="3"/>
  <c r="CJ36" i="3"/>
  <c r="CH36" i="3"/>
  <c r="CG36" i="3"/>
  <c r="CD36" i="3"/>
  <c r="CC36" i="3"/>
  <c r="CB36" i="3"/>
  <c r="CA36" i="3"/>
  <c r="BZ36" i="3"/>
  <c r="BY36" i="3"/>
  <c r="BX36" i="3"/>
  <c r="BW36" i="3"/>
  <c r="BV36" i="3"/>
  <c r="BU36" i="3"/>
  <c r="BT36" i="3"/>
  <c r="BR36" i="3"/>
  <c r="BQ36" i="3"/>
  <c r="BP36" i="3"/>
  <c r="BO36" i="3"/>
  <c r="CO35" i="3"/>
  <c r="CN35" i="3"/>
  <c r="CM35" i="3"/>
  <c r="CL35" i="3"/>
  <c r="CK35" i="3"/>
  <c r="CJ35" i="3"/>
  <c r="CH35" i="3"/>
  <c r="CG35" i="3"/>
  <c r="CD35" i="3"/>
  <c r="CC35" i="3"/>
  <c r="CB35" i="3"/>
  <c r="CA35" i="3"/>
  <c r="BZ35" i="3"/>
  <c r="BY35" i="3"/>
  <c r="BX35" i="3"/>
  <c r="BW35" i="3"/>
  <c r="BV35" i="3"/>
  <c r="BU35" i="3"/>
  <c r="BT35" i="3"/>
  <c r="BR35" i="3"/>
  <c r="BQ35" i="3"/>
  <c r="BP35" i="3"/>
  <c r="BO35" i="3"/>
  <c r="CO34" i="3"/>
  <c r="CN34" i="3"/>
  <c r="CM34" i="3"/>
  <c r="CL34" i="3"/>
  <c r="CK34" i="3"/>
  <c r="CJ34" i="3"/>
  <c r="CH34" i="3"/>
  <c r="CG34" i="3"/>
  <c r="CD34" i="3"/>
  <c r="CC34" i="3"/>
  <c r="CB34" i="3"/>
  <c r="CA34" i="3"/>
  <c r="BZ34" i="3"/>
  <c r="BY34" i="3"/>
  <c r="BX34" i="3"/>
  <c r="BW34" i="3"/>
  <c r="BV34" i="3"/>
  <c r="BU34" i="3"/>
  <c r="BT34" i="3"/>
  <c r="BR34" i="3"/>
  <c r="BQ34" i="3"/>
  <c r="BP34" i="3"/>
  <c r="BO34" i="3"/>
  <c r="CO33" i="3"/>
  <c r="CN33" i="3"/>
  <c r="CM33" i="3"/>
  <c r="CL33" i="3"/>
  <c r="CK33" i="3"/>
  <c r="CJ33" i="3"/>
  <c r="CH33" i="3"/>
  <c r="CG33" i="3"/>
  <c r="CD33" i="3"/>
  <c r="CC33" i="3"/>
  <c r="CB33" i="3"/>
  <c r="CA33" i="3"/>
  <c r="BZ33" i="3"/>
  <c r="BY33" i="3"/>
  <c r="BX33" i="3"/>
  <c r="BW33" i="3"/>
  <c r="BV33" i="3"/>
  <c r="BU33" i="3"/>
  <c r="BT33" i="3"/>
  <c r="BR33" i="3"/>
  <c r="BQ33" i="3"/>
  <c r="BP33" i="3"/>
  <c r="BO33" i="3"/>
  <c r="CO32" i="3"/>
  <c r="CN32" i="3"/>
  <c r="CM32" i="3"/>
  <c r="CL32" i="3"/>
  <c r="CK32" i="3"/>
  <c r="CJ32" i="3"/>
  <c r="CH32" i="3"/>
  <c r="CG32" i="3"/>
  <c r="CD32" i="3"/>
  <c r="CC32" i="3"/>
  <c r="CB32" i="3"/>
  <c r="CA32" i="3"/>
  <c r="BZ32" i="3"/>
  <c r="BY32" i="3"/>
  <c r="BX32" i="3"/>
  <c r="BW32" i="3"/>
  <c r="BV32" i="3"/>
  <c r="BU32" i="3"/>
  <c r="BT32" i="3"/>
  <c r="BR32" i="3"/>
  <c r="BQ32" i="3"/>
  <c r="BP32" i="3"/>
  <c r="BO32" i="3"/>
  <c r="CO31" i="3"/>
  <c r="CN31" i="3"/>
  <c r="CM31" i="3"/>
  <c r="CL31" i="3"/>
  <c r="CK31" i="3"/>
  <c r="CJ31" i="3"/>
  <c r="CH31" i="3"/>
  <c r="CG31" i="3"/>
  <c r="CD31" i="3"/>
  <c r="CC31" i="3"/>
  <c r="CB31" i="3"/>
  <c r="CA31" i="3"/>
  <c r="BZ31" i="3"/>
  <c r="BY31" i="3"/>
  <c r="BX31" i="3"/>
  <c r="BW31" i="3"/>
  <c r="BV31" i="3"/>
  <c r="BU31" i="3"/>
  <c r="BT31" i="3"/>
  <c r="BR31" i="3"/>
  <c r="BQ31" i="3"/>
  <c r="BP31" i="3"/>
  <c r="BO31" i="3"/>
  <c r="CO30" i="3"/>
  <c r="CN30" i="3"/>
  <c r="CM30" i="3"/>
  <c r="CL30" i="3"/>
  <c r="CK30" i="3"/>
  <c r="CJ30" i="3"/>
  <c r="CH30" i="3"/>
  <c r="CG30" i="3"/>
  <c r="CD30" i="3"/>
  <c r="CC30" i="3"/>
  <c r="CB30" i="3"/>
  <c r="CA30" i="3"/>
  <c r="BZ30" i="3"/>
  <c r="BY30" i="3"/>
  <c r="BX30" i="3"/>
  <c r="BW30" i="3"/>
  <c r="BV30" i="3"/>
  <c r="BU30" i="3"/>
  <c r="BT30" i="3"/>
  <c r="BR30" i="3"/>
  <c r="BQ30" i="3"/>
  <c r="BP30" i="3"/>
  <c r="BO30" i="3"/>
  <c r="CO29" i="3"/>
  <c r="CN29" i="3"/>
  <c r="CM29" i="3"/>
  <c r="CL29" i="3"/>
  <c r="CK29" i="3"/>
  <c r="CJ29" i="3"/>
  <c r="CH29" i="3"/>
  <c r="CG29" i="3"/>
  <c r="CD29" i="3"/>
  <c r="CC29" i="3"/>
  <c r="CB29" i="3"/>
  <c r="CA29" i="3"/>
  <c r="BZ29" i="3"/>
  <c r="BY29" i="3"/>
  <c r="BX29" i="3"/>
  <c r="BW29" i="3"/>
  <c r="BV29" i="3"/>
  <c r="BU29" i="3"/>
  <c r="BT29" i="3"/>
  <c r="BR29" i="3"/>
  <c r="BQ29" i="3"/>
  <c r="BP29" i="3"/>
  <c r="BO29" i="3"/>
  <c r="CO28" i="3"/>
  <c r="CN28" i="3"/>
  <c r="CM28" i="3"/>
  <c r="CL28" i="3"/>
  <c r="CK28" i="3"/>
  <c r="CJ28" i="3"/>
  <c r="CH28" i="3"/>
  <c r="CG28" i="3"/>
  <c r="CD28" i="3"/>
  <c r="CC28" i="3"/>
  <c r="CB28" i="3"/>
  <c r="CA28" i="3"/>
  <c r="BZ28" i="3"/>
  <c r="BY28" i="3"/>
  <c r="BX28" i="3"/>
  <c r="BW28" i="3"/>
  <c r="BV28" i="3"/>
  <c r="BU28" i="3"/>
  <c r="BT28" i="3"/>
  <c r="BR28" i="3"/>
  <c r="BQ28" i="3"/>
  <c r="BP28" i="3"/>
  <c r="BO28" i="3"/>
  <c r="CO27" i="3"/>
  <c r="CN27" i="3"/>
  <c r="CM27" i="3"/>
  <c r="CL27" i="3"/>
  <c r="CK27" i="3"/>
  <c r="CJ27" i="3"/>
  <c r="CH27" i="3"/>
  <c r="CG27" i="3"/>
  <c r="CD27" i="3"/>
  <c r="CC27" i="3"/>
  <c r="CB27" i="3"/>
  <c r="CA27" i="3"/>
  <c r="BZ27" i="3"/>
  <c r="BY27" i="3"/>
  <c r="BX27" i="3"/>
  <c r="BW27" i="3"/>
  <c r="BV27" i="3"/>
  <c r="BU27" i="3"/>
  <c r="BT27" i="3"/>
  <c r="BR27" i="3"/>
  <c r="BQ27" i="3"/>
  <c r="BP27" i="3"/>
  <c r="BO27" i="3"/>
  <c r="CO26" i="3"/>
  <c r="CN26" i="3"/>
  <c r="CM26" i="3"/>
  <c r="CL26" i="3"/>
  <c r="CK26" i="3"/>
  <c r="CJ26" i="3"/>
  <c r="CH26" i="3"/>
  <c r="CG26" i="3"/>
  <c r="CD26" i="3"/>
  <c r="CC26" i="3"/>
  <c r="CB26" i="3"/>
  <c r="CA26" i="3"/>
  <c r="BZ26" i="3"/>
  <c r="BY26" i="3"/>
  <c r="BX26" i="3"/>
  <c r="BW26" i="3"/>
  <c r="BV26" i="3"/>
  <c r="BU26" i="3"/>
  <c r="BT26" i="3"/>
  <c r="BR26" i="3"/>
  <c r="BQ26" i="3"/>
  <c r="BP26" i="3"/>
  <c r="BO26" i="3"/>
  <c r="CO25" i="3"/>
  <c r="CN25" i="3"/>
  <c r="CM25" i="3"/>
  <c r="CL25" i="3"/>
  <c r="CK25" i="3"/>
  <c r="CJ25" i="3"/>
  <c r="CH25" i="3"/>
  <c r="CG25" i="3"/>
  <c r="CD25" i="3"/>
  <c r="CC25" i="3"/>
  <c r="CB25" i="3"/>
  <c r="CA25" i="3"/>
  <c r="BZ25" i="3"/>
  <c r="BY25" i="3"/>
  <c r="BX25" i="3"/>
  <c r="BW25" i="3"/>
  <c r="BV25" i="3"/>
  <c r="BU25" i="3"/>
  <c r="BT25" i="3"/>
  <c r="BR25" i="3"/>
  <c r="BQ25" i="3"/>
  <c r="BP25" i="3"/>
  <c r="BO25" i="3"/>
  <c r="CO24" i="3"/>
  <c r="CN24" i="3"/>
  <c r="CM24" i="3"/>
  <c r="CL24" i="3"/>
  <c r="CK24" i="3"/>
  <c r="CJ24" i="3"/>
  <c r="CH24" i="3"/>
  <c r="CG24" i="3"/>
  <c r="CD24" i="3"/>
  <c r="CC24" i="3"/>
  <c r="CB24" i="3"/>
  <c r="CA24" i="3"/>
  <c r="BZ24" i="3"/>
  <c r="BY24" i="3"/>
  <c r="BX24" i="3"/>
  <c r="BW24" i="3"/>
  <c r="BV24" i="3"/>
  <c r="BU24" i="3"/>
  <c r="BT24" i="3"/>
  <c r="BR24" i="3"/>
  <c r="BQ24" i="3"/>
  <c r="BP24" i="3"/>
  <c r="BO24" i="3"/>
  <c r="CO23" i="3"/>
  <c r="CN23" i="3"/>
  <c r="CM23" i="3"/>
  <c r="CL23" i="3"/>
  <c r="CK23" i="3"/>
  <c r="CJ23" i="3"/>
  <c r="CH23" i="3"/>
  <c r="CG23" i="3"/>
  <c r="CD23" i="3"/>
  <c r="CC23" i="3"/>
  <c r="CB23" i="3"/>
  <c r="CA23" i="3"/>
  <c r="BZ23" i="3"/>
  <c r="BY23" i="3"/>
  <c r="BX23" i="3"/>
  <c r="BW23" i="3"/>
  <c r="BV23" i="3"/>
  <c r="BU23" i="3"/>
  <c r="BT23" i="3"/>
  <c r="BR23" i="3"/>
  <c r="BQ23" i="3"/>
  <c r="BP23" i="3"/>
  <c r="BO23" i="3"/>
  <c r="CO22" i="3"/>
  <c r="CN22" i="3"/>
  <c r="CM22" i="3"/>
  <c r="CL22" i="3"/>
  <c r="CK22" i="3"/>
  <c r="CJ22" i="3"/>
  <c r="CH22" i="3"/>
  <c r="CG22" i="3"/>
  <c r="CD22" i="3"/>
  <c r="CC22" i="3"/>
  <c r="CB22" i="3"/>
  <c r="CA22" i="3"/>
  <c r="BZ22" i="3"/>
  <c r="BY22" i="3"/>
  <c r="BX22" i="3"/>
  <c r="BW22" i="3"/>
  <c r="BV22" i="3"/>
  <c r="BU22" i="3"/>
  <c r="BT22" i="3"/>
  <c r="BR22" i="3"/>
  <c r="BQ22" i="3"/>
  <c r="BP22" i="3"/>
  <c r="BO22" i="3"/>
  <c r="CO21" i="3"/>
  <c r="CN21" i="3"/>
  <c r="CM21" i="3"/>
  <c r="CL21" i="3"/>
  <c r="CK21" i="3"/>
  <c r="CJ21" i="3"/>
  <c r="CH21" i="3"/>
  <c r="CG21" i="3"/>
  <c r="CD21" i="3"/>
  <c r="CC21" i="3"/>
  <c r="CB21" i="3"/>
  <c r="CA21" i="3"/>
  <c r="BZ21" i="3"/>
  <c r="BY21" i="3"/>
  <c r="BX21" i="3"/>
  <c r="BW21" i="3"/>
  <c r="BV21" i="3"/>
  <c r="BU21" i="3"/>
  <c r="BT21" i="3"/>
  <c r="BR21" i="3"/>
  <c r="BQ21" i="3"/>
  <c r="BP21" i="3"/>
  <c r="BO21" i="3"/>
  <c r="CO20" i="3"/>
  <c r="CN20" i="3"/>
  <c r="CM20" i="3"/>
  <c r="CL20" i="3"/>
  <c r="CK20" i="3"/>
  <c r="CJ20" i="3"/>
  <c r="CH20" i="3"/>
  <c r="CG20" i="3"/>
  <c r="CD20" i="3"/>
  <c r="CC20" i="3"/>
  <c r="CB20" i="3"/>
  <c r="CA20" i="3"/>
  <c r="BZ20" i="3"/>
  <c r="BY20" i="3"/>
  <c r="BX20" i="3"/>
  <c r="BW20" i="3"/>
  <c r="BV20" i="3"/>
  <c r="BU20" i="3"/>
  <c r="BT20" i="3"/>
  <c r="BR20" i="3"/>
  <c r="BQ20" i="3"/>
  <c r="BP20" i="3"/>
  <c r="BO20" i="3"/>
  <c r="CO19" i="3"/>
  <c r="CN19" i="3"/>
  <c r="CM19" i="3"/>
  <c r="CL19" i="3"/>
  <c r="CK19" i="3"/>
  <c r="CJ19" i="3"/>
  <c r="CH19" i="3"/>
  <c r="CG19" i="3"/>
  <c r="CD19" i="3"/>
  <c r="CC19" i="3"/>
  <c r="CB19" i="3"/>
  <c r="CA19" i="3"/>
  <c r="BZ19" i="3"/>
  <c r="BY19" i="3"/>
  <c r="BX19" i="3"/>
  <c r="BW19" i="3"/>
  <c r="BV19" i="3"/>
  <c r="BU19" i="3"/>
  <c r="BT19" i="3"/>
  <c r="BR19" i="3"/>
  <c r="BQ19" i="3"/>
  <c r="BP19" i="3"/>
  <c r="BO19" i="3"/>
  <c r="CO18" i="3"/>
  <c r="CN18" i="3"/>
  <c r="CM18" i="3"/>
  <c r="CL18" i="3"/>
  <c r="CK18" i="3"/>
  <c r="CJ18" i="3"/>
  <c r="CH18" i="3"/>
  <c r="CG18" i="3"/>
  <c r="CD18" i="3"/>
  <c r="CC18" i="3"/>
  <c r="CB18" i="3"/>
  <c r="CA18" i="3"/>
  <c r="BZ18" i="3"/>
  <c r="BY18" i="3"/>
  <c r="BX18" i="3"/>
  <c r="BW18" i="3"/>
  <c r="BV18" i="3"/>
  <c r="BU18" i="3"/>
  <c r="BT18" i="3"/>
  <c r="BR18" i="3"/>
  <c r="BQ18" i="3"/>
  <c r="BP18" i="3"/>
  <c r="BO18" i="3"/>
  <c r="CO17" i="3"/>
  <c r="CN17" i="3"/>
  <c r="CM17" i="3"/>
  <c r="CL17" i="3"/>
  <c r="CK17" i="3"/>
  <c r="CJ17" i="3"/>
  <c r="CH17" i="3"/>
  <c r="CG17" i="3"/>
  <c r="CD17" i="3"/>
  <c r="CC17" i="3"/>
  <c r="CB17" i="3"/>
  <c r="CA17" i="3"/>
  <c r="BZ17" i="3"/>
  <c r="BY17" i="3"/>
  <c r="BX17" i="3"/>
  <c r="BW17" i="3"/>
  <c r="BV17" i="3"/>
  <c r="BU17" i="3"/>
  <c r="BT17" i="3"/>
  <c r="BR17" i="3"/>
  <c r="BQ17" i="3"/>
  <c r="BP17" i="3"/>
  <c r="BO17" i="3"/>
  <c r="CO16" i="3"/>
  <c r="CN16" i="3"/>
  <c r="CM16" i="3"/>
  <c r="CL16" i="3"/>
  <c r="CK16" i="3"/>
  <c r="CJ16" i="3"/>
  <c r="CH16" i="3"/>
  <c r="CG16" i="3"/>
  <c r="CD16" i="3"/>
  <c r="CC16" i="3"/>
  <c r="CB16" i="3"/>
  <c r="CA16" i="3"/>
  <c r="BZ16" i="3"/>
  <c r="BY16" i="3"/>
  <c r="BX16" i="3"/>
  <c r="BW16" i="3"/>
  <c r="BV16" i="3"/>
  <c r="BU16" i="3"/>
  <c r="BT16" i="3"/>
  <c r="BR16" i="3"/>
  <c r="BQ16" i="3"/>
  <c r="BP16" i="3"/>
  <c r="BO16" i="3"/>
  <c r="CO15" i="3"/>
  <c r="CN15" i="3"/>
  <c r="CM15" i="3"/>
  <c r="CL15" i="3"/>
  <c r="CK15" i="3"/>
  <c r="CJ15" i="3"/>
  <c r="CH15" i="3"/>
  <c r="CG15" i="3"/>
  <c r="CD15" i="3"/>
  <c r="CC15" i="3"/>
  <c r="CB15" i="3"/>
  <c r="CA15" i="3"/>
  <c r="BZ15" i="3"/>
  <c r="BY15" i="3"/>
  <c r="BX15" i="3"/>
  <c r="BW15" i="3"/>
  <c r="BV15" i="3"/>
  <c r="BU15" i="3"/>
  <c r="BT15" i="3"/>
  <c r="BR15" i="3"/>
  <c r="BQ15" i="3"/>
  <c r="BP15" i="3"/>
  <c r="BO15" i="3"/>
  <c r="CO14" i="3"/>
  <c r="CN14" i="3"/>
  <c r="CM14" i="3"/>
  <c r="CL14" i="3"/>
  <c r="CK14" i="3"/>
  <c r="CJ14" i="3"/>
  <c r="CH14" i="3"/>
  <c r="CG14" i="3"/>
  <c r="CD14" i="3"/>
  <c r="CC14" i="3"/>
  <c r="CB14" i="3"/>
  <c r="CA14" i="3"/>
  <c r="BZ14" i="3"/>
  <c r="BY14" i="3"/>
  <c r="BX14" i="3"/>
  <c r="BW14" i="3"/>
  <c r="BV14" i="3"/>
  <c r="BU14" i="3"/>
  <c r="BT14" i="3"/>
  <c r="BR14" i="3"/>
  <c r="BQ14" i="3"/>
  <c r="BP14" i="3"/>
  <c r="BO14" i="3"/>
  <c r="CO13" i="3"/>
  <c r="CN13" i="3"/>
  <c r="CM13" i="3"/>
  <c r="CL13" i="3"/>
  <c r="CK13" i="3"/>
  <c r="CJ13" i="3"/>
  <c r="CH13" i="3"/>
  <c r="CG13" i="3"/>
  <c r="CD13" i="3"/>
  <c r="CC13" i="3"/>
  <c r="CB13" i="3"/>
  <c r="CA13" i="3"/>
  <c r="BZ13" i="3"/>
  <c r="BY13" i="3"/>
  <c r="BX13" i="3"/>
  <c r="BW13" i="3"/>
  <c r="BV13" i="3"/>
  <c r="BU13" i="3"/>
  <c r="BT13" i="3"/>
  <c r="BR13" i="3"/>
  <c r="BQ13" i="3"/>
  <c r="BP13" i="3"/>
  <c r="BO13" i="3"/>
  <c r="CO12" i="3"/>
  <c r="CN12" i="3"/>
  <c r="CM12" i="3"/>
  <c r="CL12" i="3"/>
  <c r="CK12" i="3"/>
  <c r="CJ12" i="3"/>
  <c r="CH12" i="3"/>
  <c r="CG12" i="3"/>
  <c r="CD12" i="3"/>
  <c r="CC12" i="3"/>
  <c r="CB12" i="3"/>
  <c r="CA12" i="3"/>
  <c r="BZ12" i="3"/>
  <c r="BY12" i="3"/>
  <c r="BX12" i="3"/>
  <c r="BW12" i="3"/>
  <c r="BV12" i="3"/>
  <c r="BU12" i="3"/>
  <c r="BT12" i="3"/>
  <c r="BR12" i="3"/>
  <c r="BQ12" i="3"/>
  <c r="BP12" i="3"/>
  <c r="BO12" i="3"/>
  <c r="CO11" i="3"/>
  <c r="CN11" i="3"/>
  <c r="CM11" i="3"/>
  <c r="CL11" i="3"/>
  <c r="CK11" i="3"/>
  <c r="CJ11" i="3"/>
  <c r="CH11" i="3"/>
  <c r="CG11" i="3"/>
  <c r="CD11" i="3"/>
  <c r="CC11" i="3"/>
  <c r="CB11" i="3"/>
  <c r="CA11" i="3"/>
  <c r="BZ11" i="3"/>
  <c r="BY11" i="3"/>
  <c r="BX11" i="3"/>
  <c r="BW11" i="3"/>
  <c r="BV11" i="3"/>
  <c r="BU11" i="3"/>
  <c r="BT11" i="3"/>
  <c r="BR11" i="3"/>
  <c r="BQ11" i="3"/>
  <c r="BP11" i="3"/>
  <c r="BO11" i="3"/>
  <c r="CO10" i="3"/>
  <c r="CN10" i="3"/>
  <c r="CM10" i="3"/>
  <c r="CL10" i="3"/>
  <c r="CK10" i="3"/>
  <c r="CJ10" i="3"/>
  <c r="CH10" i="3"/>
  <c r="CG10" i="3"/>
  <c r="CD10" i="3"/>
  <c r="CC10" i="3"/>
  <c r="CB10" i="3"/>
  <c r="CA10" i="3"/>
  <c r="BZ10" i="3"/>
  <c r="BY10" i="3"/>
  <c r="BX10" i="3"/>
  <c r="BW10" i="3"/>
  <c r="BV10" i="3"/>
  <c r="BU10" i="3"/>
  <c r="BT10" i="3"/>
  <c r="BR10" i="3"/>
  <c r="BQ10" i="3"/>
  <c r="BP10" i="3"/>
  <c r="BO10" i="3"/>
  <c r="CO9" i="3"/>
  <c r="CN9" i="3"/>
  <c r="CM9" i="3"/>
  <c r="CL9" i="3"/>
  <c r="CK9" i="3"/>
  <c r="CJ9" i="3"/>
  <c r="CH9" i="3"/>
  <c r="CG9" i="3"/>
  <c r="CD9" i="3"/>
  <c r="CC9" i="3"/>
  <c r="CB9" i="3"/>
  <c r="CA9" i="3"/>
  <c r="BZ9" i="3"/>
  <c r="BY9" i="3"/>
  <c r="BX9" i="3"/>
  <c r="BW9" i="3"/>
  <c r="BV9" i="3"/>
  <c r="BU9" i="3"/>
  <c r="BT9" i="3"/>
  <c r="BR9" i="3"/>
  <c r="BQ9" i="3"/>
  <c r="BP9" i="3"/>
  <c r="BO9" i="3"/>
  <c r="CO8" i="3"/>
  <c r="CN8" i="3"/>
  <c r="CM8" i="3"/>
  <c r="CL8" i="3"/>
  <c r="CK8" i="3"/>
  <c r="CJ8" i="3"/>
  <c r="CH8" i="3"/>
  <c r="CG8" i="3"/>
  <c r="CD8" i="3"/>
  <c r="CC8" i="3"/>
  <c r="CB8" i="3"/>
  <c r="CA8" i="3"/>
  <c r="BZ8" i="3"/>
  <c r="BY8" i="3"/>
  <c r="BX8" i="3"/>
  <c r="BW8" i="3"/>
  <c r="BV8" i="3"/>
  <c r="BU8" i="3"/>
  <c r="BT8" i="3"/>
  <c r="BR8" i="3"/>
  <c r="BQ8" i="3"/>
  <c r="BP8" i="3"/>
  <c r="BO8" i="3"/>
  <c r="CO7" i="3"/>
  <c r="CN7" i="3"/>
  <c r="CM7" i="3"/>
  <c r="CL7" i="3"/>
  <c r="CK7" i="3"/>
  <c r="CJ7" i="3"/>
  <c r="CH7" i="3"/>
  <c r="CD7" i="3"/>
  <c r="CC7" i="3"/>
  <c r="CB7" i="3"/>
  <c r="CA7" i="3"/>
  <c r="BZ7" i="3"/>
  <c r="BY7" i="3"/>
  <c r="BX7" i="3"/>
  <c r="BW7" i="3"/>
  <c r="BV7" i="3"/>
  <c r="BU7" i="3"/>
  <c r="BT7" i="3"/>
  <c r="BR7" i="3"/>
  <c r="BQ7" i="3"/>
  <c r="BP7" i="3"/>
  <c r="BO7" i="3"/>
  <c r="C50" i="67"/>
  <c r="C9" i="67"/>
  <c r="C8" i="67"/>
  <c r="C7" i="67"/>
  <c r="C6" i="67"/>
  <c r="C18" i="5" l="1"/>
  <c r="D31" i="62"/>
  <c r="BQ3" i="3"/>
  <c r="CD3" i="3"/>
  <c r="C37" i="67" s="1"/>
  <c r="BR3" i="3"/>
  <c r="C19" i="67" s="1"/>
  <c r="CE3" i="3"/>
  <c r="C38" i="67" s="1"/>
  <c r="CF3" i="3"/>
  <c r="C39" i="67" s="1"/>
  <c r="CC3" i="3"/>
  <c r="C22" i="67" s="1"/>
  <c r="BW3" i="3"/>
  <c r="C27" i="67" s="1"/>
  <c r="CK3" i="3"/>
  <c r="C30" i="67" s="1"/>
  <c r="BY3" i="3"/>
  <c r="C20" i="67" s="1"/>
  <c r="CM3" i="3"/>
  <c r="C32" i="67" s="1"/>
  <c r="BS3" i="3"/>
  <c r="C23" i="67" s="1"/>
  <c r="CG3" i="3"/>
  <c r="C40" i="67" s="1"/>
  <c r="BZ3" i="3"/>
  <c r="C21" i="67" s="1"/>
  <c r="CN3" i="3"/>
  <c r="C33" i="67" s="1"/>
  <c r="BT3" i="3"/>
  <c r="C24" i="67" s="1"/>
  <c r="CH3" i="3"/>
  <c r="C41" i="67" s="1"/>
  <c r="CL3" i="3"/>
  <c r="C31" i="67" s="1"/>
  <c r="BU3" i="3"/>
  <c r="C25" i="67" s="1"/>
  <c r="CI3" i="3"/>
  <c r="C28" i="67" s="1"/>
  <c r="BX3" i="3"/>
  <c r="C34" i="67" s="1"/>
  <c r="BV3" i="3"/>
  <c r="C26" i="67" s="1"/>
  <c r="BO3" i="3"/>
  <c r="C17" i="67" s="1"/>
  <c r="CA3" i="3"/>
  <c r="C35" i="67" s="1"/>
  <c r="CJ3" i="3"/>
  <c r="C29" i="67" s="1"/>
  <c r="BP3" i="3"/>
  <c r="CB3" i="3"/>
  <c r="C36" i="67" s="1"/>
  <c r="C19" i="5" l="1"/>
  <c r="D32" i="62"/>
  <c r="C18" i="67"/>
  <c r="AZ20" i="8"/>
  <c r="AZ19" i="8"/>
  <c r="AZ18" i="8"/>
  <c r="AZ17" i="8"/>
  <c r="AZ16" i="8"/>
  <c r="AZ15" i="8"/>
  <c r="AZ14" i="8"/>
  <c r="AZ13" i="8"/>
  <c r="AZ12" i="8"/>
  <c r="AZ11" i="8"/>
  <c r="AW20" i="8"/>
  <c r="AW19" i="8"/>
  <c r="AW18" i="8"/>
  <c r="AW17" i="8"/>
  <c r="AW16" i="8"/>
  <c r="AW15" i="8"/>
  <c r="AW14" i="8"/>
  <c r="AW13" i="8"/>
  <c r="AW12" i="8"/>
  <c r="AW11" i="8"/>
  <c r="C20" i="5" l="1"/>
  <c r="D33" i="62"/>
  <c r="V20" i="8"/>
  <c r="V19" i="8"/>
  <c r="C21" i="5" l="1"/>
  <c r="D35" i="62" s="1"/>
  <c r="D34" i="62"/>
  <c r="C53" i="67"/>
  <c r="D8" i="39"/>
  <c r="E12" i="40"/>
  <c r="J13" i="66" l="1"/>
  <c r="R25" i="62" l="1"/>
  <c r="R26" i="62"/>
  <c r="R27" i="62"/>
  <c r="R28" i="62"/>
  <c r="R29" i="62"/>
  <c r="R24" i="62"/>
  <c r="R9" i="62"/>
  <c r="R10" i="62"/>
  <c r="R11" i="62"/>
  <c r="R12" i="62"/>
  <c r="R13" i="62"/>
  <c r="R8" i="62"/>
  <c r="N13" i="43"/>
  <c r="O24" i="62"/>
  <c r="O25" i="62" s="1"/>
  <c r="O26" i="62" s="1"/>
  <c r="O27" i="62" s="1"/>
  <c r="O28" i="62" s="1"/>
  <c r="O29" i="62" s="1"/>
  <c r="O30" i="62" s="1"/>
  <c r="O31" i="62" s="1"/>
  <c r="O32" i="62" s="1"/>
  <c r="O33" i="62" s="1"/>
  <c r="O23" i="62"/>
  <c r="O8" i="62"/>
  <c r="O9" i="62" s="1"/>
  <c r="O10" i="62" s="1"/>
  <c r="O11" i="62" s="1"/>
  <c r="O12" i="62" s="1"/>
  <c r="O13" i="62" s="1"/>
  <c r="O14" i="62" s="1"/>
  <c r="O15" i="62" s="1"/>
  <c r="O16" i="62" s="1"/>
  <c r="O17" i="62" s="1"/>
  <c r="O7" i="62"/>
  <c r="D2" i="62"/>
  <c r="O6" i="22" l="1"/>
  <c r="R6" i="22" s="1"/>
  <c r="O7" i="22"/>
  <c r="R7" i="22" s="1"/>
  <c r="O8" i="22"/>
  <c r="R8" i="22" s="1"/>
  <c r="O9" i="22"/>
  <c r="R9" i="22" s="1"/>
  <c r="O10" i="22"/>
  <c r="R10" i="22" s="1"/>
  <c r="O11" i="22"/>
  <c r="R11" i="22" s="1"/>
  <c r="O12" i="22"/>
  <c r="R12" i="22" s="1"/>
  <c r="O13" i="22"/>
  <c r="R13" i="22" s="1"/>
  <c r="O14" i="22"/>
  <c r="R14" i="22" s="1"/>
  <c r="O15" i="22"/>
  <c r="R15" i="22" s="1"/>
  <c r="O16" i="22"/>
  <c r="R16" i="22" s="1"/>
  <c r="O17" i="22"/>
  <c r="R17" i="22" s="1"/>
  <c r="O18" i="22"/>
  <c r="R18" i="22" s="1"/>
  <c r="O19" i="22"/>
  <c r="R19" i="22" s="1"/>
  <c r="O20" i="22"/>
  <c r="R20" i="22" s="1"/>
  <c r="O21" i="22"/>
  <c r="R21" i="22" s="1"/>
  <c r="O22" i="22"/>
  <c r="R22" i="22" s="1"/>
  <c r="O23" i="22"/>
  <c r="R23" i="22" s="1"/>
  <c r="O24" i="22"/>
  <c r="R24" i="22" s="1"/>
  <c r="O25" i="22"/>
  <c r="R25" i="22" s="1"/>
  <c r="O26" i="22"/>
  <c r="R26" i="22" s="1"/>
  <c r="O27" i="22"/>
  <c r="R27" i="22" s="1"/>
  <c r="O28" i="22"/>
  <c r="R28" i="22" s="1"/>
  <c r="O29" i="22"/>
  <c r="R29" i="22" s="1"/>
  <c r="O30" i="22"/>
  <c r="R30" i="22" s="1"/>
  <c r="O31" i="22"/>
  <c r="R31" i="22" s="1"/>
  <c r="O32" i="22"/>
  <c r="R32" i="22" s="1"/>
  <c r="O33" i="22"/>
  <c r="R33" i="22" s="1"/>
  <c r="O34" i="22"/>
  <c r="R34" i="22" s="1"/>
  <c r="O35" i="22"/>
  <c r="R35" i="22" s="1"/>
  <c r="O36" i="22"/>
  <c r="R36" i="22" s="1"/>
  <c r="O37" i="22"/>
  <c r="R37" i="22" s="1"/>
  <c r="O38" i="22"/>
  <c r="R38" i="22" s="1"/>
  <c r="O39" i="22"/>
  <c r="R39" i="22" s="1"/>
  <c r="O40" i="22"/>
  <c r="R40" i="22" s="1"/>
  <c r="O41" i="22"/>
  <c r="R41" i="22" s="1"/>
  <c r="O42" i="22"/>
  <c r="R42" i="22" s="1"/>
  <c r="O43" i="22"/>
  <c r="R43" i="22" s="1"/>
  <c r="O44" i="22"/>
  <c r="R44" i="22" s="1"/>
  <c r="O45" i="22"/>
  <c r="R45" i="22" s="1"/>
  <c r="O46" i="22"/>
  <c r="R46" i="22" s="1"/>
  <c r="O47" i="22"/>
  <c r="R47" i="22" s="1"/>
  <c r="O48" i="22"/>
  <c r="R48" i="22" s="1"/>
  <c r="O49" i="22"/>
  <c r="R49" i="22" s="1"/>
  <c r="O50" i="22"/>
  <c r="R50" i="22" s="1"/>
  <c r="O51" i="22"/>
  <c r="R51" i="22" s="1"/>
  <c r="O52" i="22"/>
  <c r="R52" i="22" s="1"/>
  <c r="O53" i="22"/>
  <c r="R53" i="22" s="1"/>
  <c r="O54" i="22"/>
  <c r="R54" i="22" s="1"/>
  <c r="O55" i="22"/>
  <c r="R55" i="22" s="1"/>
  <c r="O56" i="22"/>
  <c r="R56" i="22" s="1"/>
  <c r="O57" i="22"/>
  <c r="R57" i="22" s="1"/>
  <c r="O58" i="22"/>
  <c r="R58" i="22" s="1"/>
  <c r="O5" i="22"/>
  <c r="V5" i="22" l="1"/>
  <c r="T5" i="22"/>
  <c r="R5" i="22"/>
  <c r="F13" i="35"/>
  <c r="J13" i="34" l="1"/>
  <c r="R14" i="62" l="1"/>
  <c r="R30" i="62"/>
  <c r="HO48" i="21"/>
  <c r="HP48" i="21"/>
  <c r="HQ48" i="21"/>
  <c r="HR48" i="21"/>
  <c r="HS48" i="21"/>
  <c r="HT48" i="21"/>
  <c r="HU48" i="21"/>
  <c r="HV48" i="21"/>
  <c r="HW48" i="21"/>
  <c r="HX48" i="21"/>
  <c r="HY48" i="21"/>
  <c r="HZ48" i="21"/>
  <c r="HO49" i="21"/>
  <c r="HP49" i="21"/>
  <c r="HQ49" i="21"/>
  <c r="HR49" i="21"/>
  <c r="HS49" i="21"/>
  <c r="HT49" i="21"/>
  <c r="HU49" i="21"/>
  <c r="HV49" i="21"/>
  <c r="HW49" i="21"/>
  <c r="HX49" i="21"/>
  <c r="HY49" i="21"/>
  <c r="HZ49" i="21"/>
  <c r="HO50" i="21"/>
  <c r="HP50" i="21"/>
  <c r="HQ50" i="21"/>
  <c r="HR50" i="21"/>
  <c r="HS50" i="21"/>
  <c r="HT50" i="21"/>
  <c r="HU50" i="21"/>
  <c r="HV50" i="21"/>
  <c r="HW50" i="21"/>
  <c r="HX50" i="21"/>
  <c r="HY50" i="21"/>
  <c r="HZ50" i="21"/>
  <c r="HO51" i="21"/>
  <c r="HP51" i="21"/>
  <c r="HQ51" i="21"/>
  <c r="HR51" i="21"/>
  <c r="HS51" i="21"/>
  <c r="HT51" i="21"/>
  <c r="HU51" i="21"/>
  <c r="HV51" i="21"/>
  <c r="HW51" i="21"/>
  <c r="HX51" i="21"/>
  <c r="HY51" i="21"/>
  <c r="HZ51" i="21"/>
  <c r="HO52" i="21"/>
  <c r="HP52" i="21"/>
  <c r="HQ52" i="21"/>
  <c r="HR52" i="21"/>
  <c r="HS52" i="21"/>
  <c r="HT52" i="21"/>
  <c r="HU52" i="21"/>
  <c r="HV52" i="21"/>
  <c r="HW52" i="21"/>
  <c r="HX52" i="21"/>
  <c r="HY52" i="21"/>
  <c r="HZ52" i="21"/>
  <c r="HO53" i="21"/>
  <c r="HP53" i="21"/>
  <c r="HQ53" i="21"/>
  <c r="HR53" i="21"/>
  <c r="HS53" i="21"/>
  <c r="HT53" i="21"/>
  <c r="HU53" i="21"/>
  <c r="HV53" i="21"/>
  <c r="HW53" i="21"/>
  <c r="HX53" i="21"/>
  <c r="HY53" i="21"/>
  <c r="HZ53" i="21"/>
  <c r="HO54" i="21"/>
  <c r="HP54" i="21"/>
  <c r="HQ54" i="21"/>
  <c r="HR54" i="21"/>
  <c r="HS54" i="21"/>
  <c r="HT54" i="21"/>
  <c r="HU54" i="21"/>
  <c r="HV54" i="21"/>
  <c r="HW54" i="21"/>
  <c r="HX54" i="21"/>
  <c r="HY54" i="21"/>
  <c r="HZ54" i="21"/>
  <c r="HO55" i="21"/>
  <c r="HP55" i="21"/>
  <c r="HQ55" i="21"/>
  <c r="HR55" i="21"/>
  <c r="HS55" i="21"/>
  <c r="HT55" i="21"/>
  <c r="HU55" i="21"/>
  <c r="HV55" i="21"/>
  <c r="HW55" i="21"/>
  <c r="HX55" i="21"/>
  <c r="HY55" i="21"/>
  <c r="HZ55" i="21"/>
  <c r="HO56" i="21"/>
  <c r="HP56" i="21"/>
  <c r="HQ56" i="21"/>
  <c r="HR56" i="21"/>
  <c r="HS56" i="21"/>
  <c r="HT56" i="21"/>
  <c r="HU56" i="21"/>
  <c r="HV56" i="21"/>
  <c r="HW56" i="21"/>
  <c r="HX56" i="21"/>
  <c r="HY56" i="21"/>
  <c r="HZ56" i="21"/>
  <c r="HO57" i="21"/>
  <c r="HP57" i="21"/>
  <c r="HQ57" i="21"/>
  <c r="HR57" i="21"/>
  <c r="HS57" i="21"/>
  <c r="HT57" i="21"/>
  <c r="HU57" i="21"/>
  <c r="HV57" i="21"/>
  <c r="HW57" i="21"/>
  <c r="HX57" i="21"/>
  <c r="HY57" i="21"/>
  <c r="HZ57" i="21"/>
  <c r="HO58" i="21"/>
  <c r="HP58" i="21"/>
  <c r="HQ58" i="21"/>
  <c r="HR58" i="21"/>
  <c r="HS58" i="21"/>
  <c r="HT58" i="21"/>
  <c r="HU58" i="21"/>
  <c r="HV58" i="21"/>
  <c r="HW58" i="21"/>
  <c r="HX58" i="21"/>
  <c r="HY58" i="21"/>
  <c r="HZ58" i="21"/>
  <c r="HZ47" i="21"/>
  <c r="HY47" i="21"/>
  <c r="HX47" i="21"/>
  <c r="HW47" i="21"/>
  <c r="HV47" i="21"/>
  <c r="HU47" i="21"/>
  <c r="HT47" i="21"/>
  <c r="HS47" i="21"/>
  <c r="HR47" i="21"/>
  <c r="HQ47" i="21"/>
  <c r="HP47" i="21"/>
  <c r="HO47" i="21"/>
  <c r="HZ46" i="21"/>
  <c r="HY46" i="21"/>
  <c r="HX46" i="21"/>
  <c r="HW46" i="21"/>
  <c r="HV46" i="21"/>
  <c r="HU46" i="21"/>
  <c r="HT46" i="21"/>
  <c r="HS46" i="21"/>
  <c r="HR46" i="21"/>
  <c r="HQ46" i="21"/>
  <c r="HP46" i="21"/>
  <c r="HO46" i="21"/>
  <c r="HZ45" i="21"/>
  <c r="HY45" i="21"/>
  <c r="HX45" i="21"/>
  <c r="HW45" i="21"/>
  <c r="HV45" i="21"/>
  <c r="HU45" i="21"/>
  <c r="HT45" i="21"/>
  <c r="HS45" i="21"/>
  <c r="HR45" i="21"/>
  <c r="HQ45" i="21"/>
  <c r="HP45" i="21"/>
  <c r="HO45" i="21"/>
  <c r="HZ44" i="21"/>
  <c r="HY44" i="21"/>
  <c r="HX44" i="21"/>
  <c r="HW44" i="21"/>
  <c r="HV44" i="21"/>
  <c r="HU44" i="21"/>
  <c r="HT44" i="21"/>
  <c r="HS44" i="21"/>
  <c r="HR44" i="21"/>
  <c r="HQ44" i="21"/>
  <c r="HP44" i="21"/>
  <c r="HO44" i="21"/>
  <c r="HZ43" i="21"/>
  <c r="HY43" i="21"/>
  <c r="HX43" i="21"/>
  <c r="HW43" i="21"/>
  <c r="HV43" i="21"/>
  <c r="HU43" i="21"/>
  <c r="HT43" i="21"/>
  <c r="HS43" i="21"/>
  <c r="HR43" i="21"/>
  <c r="HQ43" i="21"/>
  <c r="HP43" i="21"/>
  <c r="HO43" i="21"/>
  <c r="HZ42" i="21"/>
  <c r="HY42" i="21"/>
  <c r="HX42" i="21"/>
  <c r="HW42" i="21"/>
  <c r="HV42" i="21"/>
  <c r="HU42" i="21"/>
  <c r="HT42" i="21"/>
  <c r="HS42" i="21"/>
  <c r="HR42" i="21"/>
  <c r="HQ42" i="21"/>
  <c r="HP42" i="21"/>
  <c r="HO42" i="21"/>
  <c r="HZ41" i="21"/>
  <c r="HY41" i="21"/>
  <c r="HX41" i="21"/>
  <c r="HW41" i="21"/>
  <c r="HV41" i="21"/>
  <c r="HU41" i="21"/>
  <c r="HT41" i="21"/>
  <c r="HS41" i="21"/>
  <c r="HR41" i="21"/>
  <c r="HQ41" i="21"/>
  <c r="HP41" i="21"/>
  <c r="HO41" i="21"/>
  <c r="HZ40" i="21"/>
  <c r="HY40" i="21"/>
  <c r="HX40" i="21"/>
  <c r="HW40" i="21"/>
  <c r="HV40" i="21"/>
  <c r="HU40" i="21"/>
  <c r="HT40" i="21"/>
  <c r="HS40" i="21"/>
  <c r="HR40" i="21"/>
  <c r="HQ40" i="21"/>
  <c r="HP40" i="21"/>
  <c r="HO40" i="21"/>
  <c r="HZ39" i="21"/>
  <c r="HY39" i="21"/>
  <c r="HX39" i="21"/>
  <c r="HW39" i="21"/>
  <c r="HV39" i="21"/>
  <c r="HU39" i="21"/>
  <c r="HT39" i="21"/>
  <c r="HS39" i="21"/>
  <c r="HR39" i="21"/>
  <c r="HQ39" i="21"/>
  <c r="HP39" i="21"/>
  <c r="HO39" i="21"/>
  <c r="HZ38" i="21"/>
  <c r="HY38" i="21"/>
  <c r="HX38" i="21"/>
  <c r="HW38" i="21"/>
  <c r="HV38" i="21"/>
  <c r="HU38" i="21"/>
  <c r="HT38" i="21"/>
  <c r="HS38" i="21"/>
  <c r="HR38" i="21"/>
  <c r="HQ38" i="21"/>
  <c r="HP38" i="21"/>
  <c r="HO38" i="21"/>
  <c r="HZ37" i="21"/>
  <c r="HY37" i="21"/>
  <c r="HX37" i="21"/>
  <c r="HW37" i="21"/>
  <c r="HV37" i="21"/>
  <c r="HU37" i="21"/>
  <c r="HT37" i="21"/>
  <c r="HS37" i="21"/>
  <c r="HR37" i="21"/>
  <c r="HQ37" i="21"/>
  <c r="HP37" i="21"/>
  <c r="HO37" i="21"/>
  <c r="HZ36" i="21"/>
  <c r="HY36" i="21"/>
  <c r="HX36" i="21"/>
  <c r="HW36" i="21"/>
  <c r="HV36" i="21"/>
  <c r="HU36" i="21"/>
  <c r="HT36" i="21"/>
  <c r="HS36" i="21"/>
  <c r="HR36" i="21"/>
  <c r="HQ36" i="21"/>
  <c r="HP36" i="21"/>
  <c r="HO36" i="21"/>
  <c r="R31" i="62" l="1"/>
  <c r="R15" i="62"/>
  <c r="A3" i="24"/>
  <c r="B3" i="24"/>
  <c r="C3" i="24"/>
  <c r="D3" i="24"/>
  <c r="F3" i="24"/>
  <c r="G3" i="24"/>
  <c r="H3" i="24"/>
  <c r="I3" i="24"/>
  <c r="K3" i="24"/>
  <c r="L3" i="24"/>
  <c r="M3" i="24"/>
  <c r="N3" i="24"/>
  <c r="R32" i="62" l="1"/>
  <c r="R16" i="62"/>
  <c r="F13" i="45"/>
  <c r="F13" i="47" s="1"/>
  <c r="C16" i="48" s="1"/>
  <c r="R33" i="62" l="1"/>
  <c r="R17" i="62"/>
  <c r="F13" i="46"/>
  <c r="HO6" i="21"/>
  <c r="HP6" i="21"/>
  <c r="HQ6" i="21"/>
  <c r="HR6" i="21"/>
  <c r="HS6" i="21"/>
  <c r="HT6" i="21"/>
  <c r="HU6" i="21"/>
  <c r="HV6" i="21"/>
  <c r="HW6" i="21"/>
  <c r="HX6" i="21"/>
  <c r="HY6" i="21"/>
  <c r="HZ6" i="21"/>
  <c r="HO7" i="21"/>
  <c r="HP7" i="21"/>
  <c r="HQ7" i="21"/>
  <c r="HR7" i="21"/>
  <c r="HS7" i="21"/>
  <c r="HT7" i="21"/>
  <c r="HU7" i="21"/>
  <c r="HV7" i="21"/>
  <c r="HW7" i="21"/>
  <c r="HX7" i="21"/>
  <c r="HY7" i="21"/>
  <c r="HZ7" i="21"/>
  <c r="HO8" i="21"/>
  <c r="HP8" i="21"/>
  <c r="HQ8" i="21"/>
  <c r="HR8" i="21"/>
  <c r="HS8" i="21"/>
  <c r="HT8" i="21"/>
  <c r="HU8" i="21"/>
  <c r="HV8" i="21"/>
  <c r="HW8" i="21"/>
  <c r="HX8" i="21"/>
  <c r="HY8" i="21"/>
  <c r="HZ8" i="21"/>
  <c r="HO9" i="21"/>
  <c r="HP9" i="21"/>
  <c r="HQ9" i="21"/>
  <c r="HR9" i="21"/>
  <c r="HS9" i="21"/>
  <c r="HT9" i="21"/>
  <c r="HU9" i="21"/>
  <c r="HV9" i="21"/>
  <c r="HW9" i="21"/>
  <c r="HX9" i="21"/>
  <c r="HY9" i="21"/>
  <c r="HZ9" i="21"/>
  <c r="HO10" i="21"/>
  <c r="HP10" i="21"/>
  <c r="HQ10" i="21"/>
  <c r="HR10" i="21"/>
  <c r="HS10" i="21"/>
  <c r="HT10" i="21"/>
  <c r="HU10" i="21"/>
  <c r="HV10" i="21"/>
  <c r="HW10" i="21"/>
  <c r="HX10" i="21"/>
  <c r="HY10" i="21"/>
  <c r="HZ10" i="21"/>
  <c r="HO11" i="21"/>
  <c r="HP11" i="21"/>
  <c r="HQ11" i="21"/>
  <c r="HR11" i="21"/>
  <c r="HS11" i="21"/>
  <c r="HT11" i="21"/>
  <c r="HU11" i="21"/>
  <c r="HV11" i="21"/>
  <c r="HW11" i="21"/>
  <c r="HX11" i="21"/>
  <c r="HY11" i="21"/>
  <c r="HZ11" i="21"/>
  <c r="HO12" i="21"/>
  <c r="HP12" i="21"/>
  <c r="HQ12" i="21"/>
  <c r="HR12" i="21"/>
  <c r="HS12" i="21"/>
  <c r="HT12" i="21"/>
  <c r="HU12" i="21"/>
  <c r="HV12" i="21"/>
  <c r="HW12" i="21"/>
  <c r="HX12" i="21"/>
  <c r="HY12" i="21"/>
  <c r="HZ12" i="21"/>
  <c r="HO13" i="21"/>
  <c r="HP13" i="21"/>
  <c r="HQ13" i="21"/>
  <c r="HR13" i="21"/>
  <c r="HS13" i="21"/>
  <c r="HT13" i="21"/>
  <c r="HU13" i="21"/>
  <c r="HV13" i="21"/>
  <c r="HW13" i="21"/>
  <c r="HX13" i="21"/>
  <c r="HY13" i="21"/>
  <c r="HZ13" i="21"/>
  <c r="HO14" i="21"/>
  <c r="HP14" i="21"/>
  <c r="HQ14" i="21"/>
  <c r="HR14" i="21"/>
  <c r="HS14" i="21"/>
  <c r="HT14" i="21"/>
  <c r="HU14" i="21"/>
  <c r="HV14" i="21"/>
  <c r="HW14" i="21"/>
  <c r="HX14" i="21"/>
  <c r="HY14" i="21"/>
  <c r="HZ14" i="21"/>
  <c r="HO15" i="21"/>
  <c r="HP15" i="21"/>
  <c r="HQ15" i="21"/>
  <c r="HR15" i="21"/>
  <c r="HS15" i="21"/>
  <c r="HT15" i="21"/>
  <c r="HU15" i="21"/>
  <c r="HV15" i="21"/>
  <c r="HW15" i="21"/>
  <c r="HX15" i="21"/>
  <c r="HY15" i="21"/>
  <c r="HZ15" i="21"/>
  <c r="HO16" i="21"/>
  <c r="HP16" i="21"/>
  <c r="HQ16" i="21"/>
  <c r="HR16" i="21"/>
  <c r="HS16" i="21"/>
  <c r="HT16" i="21"/>
  <c r="HU16" i="21"/>
  <c r="HV16" i="21"/>
  <c r="HW16" i="21"/>
  <c r="HX16" i="21"/>
  <c r="HY16" i="21"/>
  <c r="HZ16" i="21"/>
  <c r="HO17" i="21"/>
  <c r="HP17" i="21"/>
  <c r="HQ17" i="21"/>
  <c r="HR17" i="21"/>
  <c r="HS17" i="21"/>
  <c r="HT17" i="21"/>
  <c r="HU17" i="21"/>
  <c r="HV17" i="21"/>
  <c r="HW17" i="21"/>
  <c r="HX17" i="21"/>
  <c r="HY17" i="21"/>
  <c r="HZ17" i="21"/>
  <c r="HO18" i="21"/>
  <c r="HP18" i="21"/>
  <c r="HQ18" i="21"/>
  <c r="HR18" i="21"/>
  <c r="HS18" i="21"/>
  <c r="HT18" i="21"/>
  <c r="HU18" i="21"/>
  <c r="HV18" i="21"/>
  <c r="HW18" i="21"/>
  <c r="HX18" i="21"/>
  <c r="HY18" i="21"/>
  <c r="HZ18" i="21"/>
  <c r="HO19" i="21"/>
  <c r="HP19" i="21"/>
  <c r="HQ19" i="21"/>
  <c r="HR19" i="21"/>
  <c r="HS19" i="21"/>
  <c r="HT19" i="21"/>
  <c r="HU19" i="21"/>
  <c r="HV19" i="21"/>
  <c r="HW19" i="21"/>
  <c r="HX19" i="21"/>
  <c r="HY19" i="21"/>
  <c r="HZ19" i="21"/>
  <c r="HO20" i="21"/>
  <c r="HP20" i="21"/>
  <c r="HQ20" i="21"/>
  <c r="HR20" i="21"/>
  <c r="HS20" i="21"/>
  <c r="HT20" i="21"/>
  <c r="HU20" i="21"/>
  <c r="HV20" i="21"/>
  <c r="HW20" i="21"/>
  <c r="HX20" i="21"/>
  <c r="HY20" i="21"/>
  <c r="HZ20" i="21"/>
  <c r="HO21" i="21"/>
  <c r="HP21" i="21"/>
  <c r="HQ21" i="21"/>
  <c r="HR21" i="21"/>
  <c r="HS21" i="21"/>
  <c r="HT21" i="21"/>
  <c r="HU21" i="21"/>
  <c r="HV21" i="21"/>
  <c r="HW21" i="21"/>
  <c r="HX21" i="21"/>
  <c r="HY21" i="21"/>
  <c r="HZ21" i="21"/>
  <c r="HO22" i="21"/>
  <c r="HP22" i="21"/>
  <c r="HQ22" i="21"/>
  <c r="HR22" i="21"/>
  <c r="HS22" i="21"/>
  <c r="HT22" i="21"/>
  <c r="HU22" i="21"/>
  <c r="HV22" i="21"/>
  <c r="HW22" i="21"/>
  <c r="HX22" i="21"/>
  <c r="HY22" i="21"/>
  <c r="HZ22" i="21"/>
  <c r="HO23" i="21"/>
  <c r="HP23" i="21"/>
  <c r="HQ23" i="21"/>
  <c r="HR23" i="21"/>
  <c r="HS23" i="21"/>
  <c r="HT23" i="21"/>
  <c r="HU23" i="21"/>
  <c r="HV23" i="21"/>
  <c r="HW23" i="21"/>
  <c r="HX23" i="21"/>
  <c r="HY23" i="21"/>
  <c r="HZ23" i="21"/>
  <c r="HO24" i="21"/>
  <c r="HP24" i="21"/>
  <c r="HQ24" i="21"/>
  <c r="HR24" i="21"/>
  <c r="HS24" i="21"/>
  <c r="HT24" i="21"/>
  <c r="HU24" i="21"/>
  <c r="HV24" i="21"/>
  <c r="HW24" i="21"/>
  <c r="HX24" i="21"/>
  <c r="HY24" i="21"/>
  <c r="HZ24" i="21"/>
  <c r="HO25" i="21"/>
  <c r="HP25" i="21"/>
  <c r="HQ25" i="21"/>
  <c r="HR25" i="21"/>
  <c r="HS25" i="21"/>
  <c r="HT25" i="21"/>
  <c r="HU25" i="21"/>
  <c r="HV25" i="21"/>
  <c r="HW25" i="21"/>
  <c r="HX25" i="21"/>
  <c r="HY25" i="21"/>
  <c r="HZ25" i="21"/>
  <c r="HO26" i="21"/>
  <c r="HP26" i="21"/>
  <c r="HQ26" i="21"/>
  <c r="HR26" i="21"/>
  <c r="HS26" i="21"/>
  <c r="HT26" i="21"/>
  <c r="HU26" i="21"/>
  <c r="HV26" i="21"/>
  <c r="HW26" i="21"/>
  <c r="HX26" i="21"/>
  <c r="HY26" i="21"/>
  <c r="HZ26" i="21"/>
  <c r="HO27" i="21"/>
  <c r="HP27" i="21"/>
  <c r="HQ27" i="21"/>
  <c r="HR27" i="21"/>
  <c r="HS27" i="21"/>
  <c r="HT27" i="21"/>
  <c r="HU27" i="21"/>
  <c r="HV27" i="21"/>
  <c r="HW27" i="21"/>
  <c r="HX27" i="21"/>
  <c r="HY27" i="21"/>
  <c r="HZ27" i="21"/>
  <c r="HO28" i="21"/>
  <c r="HP28" i="21"/>
  <c r="HQ28" i="21"/>
  <c r="HR28" i="21"/>
  <c r="HS28" i="21"/>
  <c r="HT28" i="21"/>
  <c r="HU28" i="21"/>
  <c r="HV28" i="21"/>
  <c r="HW28" i="21"/>
  <c r="HX28" i="21"/>
  <c r="HY28" i="21"/>
  <c r="HZ28" i="21"/>
  <c r="HO29" i="21"/>
  <c r="HP29" i="21"/>
  <c r="HQ29" i="21"/>
  <c r="HR29" i="21"/>
  <c r="HS29" i="21"/>
  <c r="HT29" i="21"/>
  <c r="HU29" i="21"/>
  <c r="HV29" i="21"/>
  <c r="HW29" i="21"/>
  <c r="HX29" i="21"/>
  <c r="HY29" i="21"/>
  <c r="HZ29" i="21"/>
  <c r="HO30" i="21"/>
  <c r="HP30" i="21"/>
  <c r="HQ30" i="21"/>
  <c r="HR30" i="21"/>
  <c r="HS30" i="21"/>
  <c r="HT30" i="21"/>
  <c r="HU30" i="21"/>
  <c r="HV30" i="21"/>
  <c r="HW30" i="21"/>
  <c r="HX30" i="21"/>
  <c r="HY30" i="21"/>
  <c r="HZ30" i="21"/>
  <c r="HO31" i="21"/>
  <c r="HP31" i="21"/>
  <c r="HQ31" i="21"/>
  <c r="HR31" i="21"/>
  <c r="HS31" i="21"/>
  <c r="HT31" i="21"/>
  <c r="HU31" i="21"/>
  <c r="HV31" i="21"/>
  <c r="HW31" i="21"/>
  <c r="HX31" i="21"/>
  <c r="HY31" i="21"/>
  <c r="HZ31" i="21"/>
  <c r="HO32" i="21"/>
  <c r="HP32" i="21"/>
  <c r="HQ32" i="21"/>
  <c r="HR32" i="21"/>
  <c r="HS32" i="21"/>
  <c r="HT32" i="21"/>
  <c r="HU32" i="21"/>
  <c r="HV32" i="21"/>
  <c r="HW32" i="21"/>
  <c r="HX32" i="21"/>
  <c r="HY32" i="21"/>
  <c r="HZ32" i="21"/>
  <c r="HO33" i="21"/>
  <c r="HP33" i="21"/>
  <c r="HQ33" i="21"/>
  <c r="HR33" i="21"/>
  <c r="HS33" i="21"/>
  <c r="HT33" i="21"/>
  <c r="HU33" i="21"/>
  <c r="HV33" i="21"/>
  <c r="HW33" i="21"/>
  <c r="HX33" i="21"/>
  <c r="HY33" i="21"/>
  <c r="HZ33" i="21"/>
  <c r="HO34" i="21"/>
  <c r="HP34" i="21"/>
  <c r="HQ34" i="21"/>
  <c r="HR34" i="21"/>
  <c r="HS34" i="21"/>
  <c r="HT34" i="21"/>
  <c r="HU34" i="21"/>
  <c r="HV34" i="21"/>
  <c r="HW34" i="21"/>
  <c r="HX34" i="21"/>
  <c r="HY34" i="21"/>
  <c r="HZ34" i="21"/>
  <c r="HO35" i="21"/>
  <c r="HP35" i="21"/>
  <c r="HQ35" i="21"/>
  <c r="HR35" i="21"/>
  <c r="HS35" i="21"/>
  <c r="HT35" i="21"/>
  <c r="HU35" i="21"/>
  <c r="HV35" i="21"/>
  <c r="HW35" i="21"/>
  <c r="HX35" i="21"/>
  <c r="HY35" i="21"/>
  <c r="HZ35" i="21"/>
  <c r="HP5" i="21"/>
  <c r="HQ5" i="21"/>
  <c r="HR5" i="21"/>
  <c r="HS5" i="21"/>
  <c r="HT5" i="21"/>
  <c r="HU5" i="21"/>
  <c r="HV5" i="21"/>
  <c r="HW5" i="21"/>
  <c r="HX5" i="21"/>
  <c r="HY5" i="21"/>
  <c r="HZ5" i="21"/>
  <c r="HO5" i="21"/>
  <c r="R18" i="62" l="1"/>
  <c r="R34" i="62"/>
  <c r="AC3" i="24"/>
  <c r="AB3" i="24"/>
  <c r="AA3" i="24"/>
  <c r="Z3" i="24"/>
  <c r="X3" i="24"/>
  <c r="W3" i="24"/>
  <c r="V3" i="24"/>
  <c r="U3" i="24"/>
  <c r="S3" i="24"/>
  <c r="R3" i="24"/>
  <c r="Q3" i="24"/>
  <c r="P3" i="24"/>
  <c r="Q34" i="62" l="1"/>
  <c r="R35" i="62"/>
  <c r="R19" i="62"/>
  <c r="Q35" i="62" l="1"/>
  <c r="P17" i="22" l="1"/>
  <c r="P29" i="22"/>
  <c r="P41" i="22"/>
  <c r="P53" i="22"/>
  <c r="P46" i="22"/>
  <c r="P36" i="22"/>
  <c r="P21" i="22"/>
  <c r="P20" i="22"/>
  <c r="P43" i="22"/>
  <c r="P24" i="22"/>
  <c r="P9" i="22"/>
  <c r="P28" i="22"/>
  <c r="P12" i="22"/>
  <c r="P32" i="22"/>
  <c r="P18" i="22"/>
  <c r="P27" i="22"/>
  <c r="P5" i="22"/>
  <c r="P44" i="22"/>
  <c r="P49" i="22"/>
  <c r="P47" i="22"/>
  <c r="P8" i="22"/>
  <c r="P16" i="22"/>
  <c r="P35" i="22"/>
  <c r="P31" i="22"/>
  <c r="P56" i="22"/>
  <c r="P19" i="22"/>
  <c r="P15" i="22"/>
  <c r="P51" i="22"/>
  <c r="P37" i="22"/>
  <c r="P25" i="22"/>
  <c r="P23" i="22"/>
  <c r="P42" i="22"/>
  <c r="P13" i="22"/>
  <c r="P11" i="22"/>
  <c r="P7" i="22"/>
  <c r="P45" i="22"/>
  <c r="P57" i="22"/>
  <c r="P34" i="22"/>
  <c r="P55" i="22"/>
  <c r="P40" i="22"/>
  <c r="P52" i="22"/>
  <c r="P22" i="22"/>
  <c r="P30" i="22"/>
  <c r="P26" i="22"/>
  <c r="P39" i="22"/>
  <c r="P10" i="22"/>
  <c r="P6" i="22"/>
  <c r="P50" i="22"/>
  <c r="P48" i="22"/>
  <c r="P33" i="22"/>
  <c r="P58" i="22"/>
  <c r="P38" i="22"/>
  <c r="P54" i="22"/>
  <c r="P14" i="22"/>
  <c r="AR7" i="53"/>
  <c r="AE7" i="53" s="1"/>
  <c r="AR8" i="53"/>
  <c r="AE8" i="53" s="1"/>
  <c r="AR9" i="53"/>
  <c r="AE9" i="53" s="1"/>
  <c r="AR10" i="53"/>
  <c r="AE10" i="53" s="1"/>
  <c r="AR11" i="53"/>
  <c r="AE11" i="53" s="1"/>
  <c r="AR12" i="53"/>
  <c r="AE12" i="53" s="1"/>
  <c r="AR13" i="53"/>
  <c r="AE13" i="53" s="1"/>
  <c r="AR14" i="53"/>
  <c r="AE14" i="53" s="1"/>
  <c r="AR15" i="53"/>
  <c r="AE15" i="53" s="1"/>
  <c r="AR16" i="53"/>
  <c r="AE16" i="53" s="1"/>
  <c r="AR17" i="53"/>
  <c r="AE17" i="53" s="1"/>
  <c r="AR18" i="53"/>
  <c r="AE18" i="53" s="1"/>
  <c r="G21" i="2" l="1"/>
  <c r="R30" i="53" l="1"/>
  <c r="V30" i="53"/>
  <c r="U30" i="53"/>
  <c r="AO18" i="53"/>
  <c r="AL18" i="53"/>
  <c r="AK18" i="53"/>
  <c r="AO17" i="53"/>
  <c r="AL17" i="53"/>
  <c r="AK17" i="53"/>
  <c r="AO16" i="53"/>
  <c r="AL16" i="53"/>
  <c r="AK16" i="53"/>
  <c r="AO15" i="53"/>
  <c r="AL15" i="53"/>
  <c r="AK15" i="53"/>
  <c r="AO14" i="53"/>
  <c r="AL14" i="53"/>
  <c r="AK14" i="53"/>
  <c r="AO13" i="53"/>
  <c r="AL13" i="53"/>
  <c r="AK13" i="53"/>
  <c r="AO12" i="53"/>
  <c r="AL12" i="53"/>
  <c r="AK12" i="53"/>
  <c r="AO11" i="53"/>
  <c r="AL11" i="53"/>
  <c r="AK11" i="53"/>
  <c r="AO10" i="53"/>
  <c r="AL10" i="53"/>
  <c r="AK10" i="53"/>
  <c r="AO9" i="53"/>
  <c r="AL9" i="53"/>
  <c r="AK9" i="53"/>
  <c r="AO8" i="53"/>
  <c r="AL8" i="53"/>
  <c r="AK8" i="53"/>
  <c r="AO7" i="53"/>
  <c r="AL7" i="53"/>
  <c r="AK7" i="53"/>
  <c r="W5" i="53"/>
  <c r="U5" i="53"/>
  <c r="S5" i="53"/>
  <c r="R5" i="53"/>
  <c r="R6" i="53" l="1"/>
  <c r="R19" i="53"/>
  <c r="U19" i="53"/>
  <c r="U6" i="53"/>
  <c r="W19" i="53"/>
  <c r="S19" i="53"/>
  <c r="T5" i="53"/>
  <c r="T19" i="53" s="1"/>
  <c r="V5" i="53"/>
  <c r="Y5" i="53"/>
  <c r="Y19" i="53" s="1"/>
  <c r="X5" i="53"/>
  <c r="X19" i="53" s="1"/>
  <c r="Z22" i="3"/>
  <c r="V6" i="53" l="1"/>
  <c r="V19" i="53"/>
  <c r="AA5" i="53"/>
  <c r="AA19" i="53" s="1"/>
  <c r="AC23" i="3"/>
  <c r="AD23" i="3"/>
  <c r="AE23" i="3"/>
  <c r="AF23" i="3"/>
  <c r="AG23" i="3"/>
  <c r="AH23" i="3"/>
  <c r="AI23" i="3"/>
  <c r="AJ23" i="3"/>
  <c r="AK23" i="3"/>
  <c r="AL23" i="3"/>
  <c r="AM23" i="3"/>
  <c r="AN23" i="3"/>
  <c r="AC24" i="3"/>
  <c r="AD24" i="3"/>
  <c r="AE24" i="3"/>
  <c r="AF24" i="3"/>
  <c r="AG24" i="3"/>
  <c r="AH24" i="3"/>
  <c r="AI24" i="3"/>
  <c r="AJ24" i="3"/>
  <c r="AK24" i="3"/>
  <c r="AL24" i="3"/>
  <c r="AM24" i="3"/>
  <c r="AN24" i="3"/>
  <c r="AC25" i="3"/>
  <c r="AD25" i="3"/>
  <c r="AE25" i="3"/>
  <c r="AF25" i="3"/>
  <c r="AG25" i="3"/>
  <c r="AH25" i="3"/>
  <c r="AI25" i="3"/>
  <c r="AJ25" i="3"/>
  <c r="AK25" i="3"/>
  <c r="AL25" i="3"/>
  <c r="AM25" i="3"/>
  <c r="AN25" i="3"/>
  <c r="AC26" i="3"/>
  <c r="AD26" i="3"/>
  <c r="AE26" i="3"/>
  <c r="AF26" i="3"/>
  <c r="AG26" i="3"/>
  <c r="AH26" i="3"/>
  <c r="AI26" i="3"/>
  <c r="AJ26" i="3"/>
  <c r="AK26" i="3"/>
  <c r="AL26" i="3"/>
  <c r="AM26" i="3"/>
  <c r="AN26" i="3"/>
  <c r="AC27" i="3"/>
  <c r="AD27" i="3"/>
  <c r="AE27" i="3"/>
  <c r="AF27" i="3"/>
  <c r="AG27" i="3"/>
  <c r="AH27" i="3"/>
  <c r="AI27" i="3"/>
  <c r="AJ27" i="3"/>
  <c r="AK27" i="3"/>
  <c r="AL27" i="3"/>
  <c r="AM27" i="3"/>
  <c r="AN27" i="3"/>
  <c r="AC28" i="3"/>
  <c r="AD28" i="3"/>
  <c r="AE28" i="3"/>
  <c r="AF28" i="3"/>
  <c r="AG28" i="3"/>
  <c r="AH28" i="3"/>
  <c r="AI28" i="3"/>
  <c r="AJ28" i="3"/>
  <c r="AK28" i="3"/>
  <c r="AL28" i="3"/>
  <c r="AM28" i="3"/>
  <c r="AN28" i="3"/>
  <c r="AC29" i="3"/>
  <c r="AD29" i="3"/>
  <c r="AE29" i="3"/>
  <c r="AF29" i="3"/>
  <c r="AG29" i="3"/>
  <c r="AH29" i="3"/>
  <c r="AI29" i="3"/>
  <c r="AJ29" i="3"/>
  <c r="AK29" i="3"/>
  <c r="AL29" i="3"/>
  <c r="AM29" i="3"/>
  <c r="AN29" i="3"/>
  <c r="AC30" i="3"/>
  <c r="AD30" i="3"/>
  <c r="AE30" i="3"/>
  <c r="AF30" i="3"/>
  <c r="AG30" i="3"/>
  <c r="AH30" i="3"/>
  <c r="AI30" i="3"/>
  <c r="AJ30" i="3"/>
  <c r="AK30" i="3"/>
  <c r="AL30" i="3"/>
  <c r="AM30" i="3"/>
  <c r="AN30" i="3"/>
  <c r="AC31" i="3"/>
  <c r="AD31" i="3"/>
  <c r="AE31" i="3"/>
  <c r="AF31" i="3"/>
  <c r="AG31" i="3"/>
  <c r="AH31" i="3"/>
  <c r="AI31" i="3"/>
  <c r="AJ31" i="3"/>
  <c r="AK31" i="3"/>
  <c r="AL31" i="3"/>
  <c r="AM31" i="3"/>
  <c r="AN31" i="3"/>
  <c r="AC32" i="3"/>
  <c r="AD32" i="3"/>
  <c r="AE32" i="3"/>
  <c r="AF32" i="3"/>
  <c r="AG32" i="3"/>
  <c r="AH32" i="3"/>
  <c r="AI32" i="3"/>
  <c r="AJ32" i="3"/>
  <c r="AK32" i="3"/>
  <c r="AL32" i="3"/>
  <c r="AM32" i="3"/>
  <c r="AN32" i="3"/>
  <c r="AC33" i="3"/>
  <c r="AD33" i="3"/>
  <c r="AE33" i="3"/>
  <c r="AF33" i="3"/>
  <c r="AG33" i="3"/>
  <c r="AH33" i="3"/>
  <c r="AI33" i="3"/>
  <c r="AJ33" i="3"/>
  <c r="AK33" i="3"/>
  <c r="AL33" i="3"/>
  <c r="AM33" i="3"/>
  <c r="AN33" i="3"/>
  <c r="AC34" i="3"/>
  <c r="AD34" i="3"/>
  <c r="AE34" i="3"/>
  <c r="AF34" i="3"/>
  <c r="AG34" i="3"/>
  <c r="AH34" i="3"/>
  <c r="AI34" i="3"/>
  <c r="AJ34" i="3"/>
  <c r="AK34" i="3"/>
  <c r="AL34" i="3"/>
  <c r="AM34" i="3"/>
  <c r="AN34" i="3"/>
  <c r="AC35" i="3"/>
  <c r="AD35" i="3"/>
  <c r="AE35" i="3"/>
  <c r="AF35" i="3"/>
  <c r="AG35" i="3"/>
  <c r="AH35" i="3"/>
  <c r="AI35" i="3"/>
  <c r="AJ35" i="3"/>
  <c r="AK35" i="3"/>
  <c r="AL35" i="3"/>
  <c r="AM35" i="3"/>
  <c r="AN35" i="3"/>
  <c r="AC36" i="3"/>
  <c r="AD36" i="3"/>
  <c r="AE36" i="3"/>
  <c r="AF36" i="3"/>
  <c r="AG36" i="3"/>
  <c r="AH36" i="3"/>
  <c r="AI36" i="3"/>
  <c r="AJ36" i="3"/>
  <c r="AK36" i="3"/>
  <c r="AL36" i="3"/>
  <c r="AM36" i="3"/>
  <c r="AN36" i="3"/>
  <c r="AC37" i="3"/>
  <c r="AD37" i="3"/>
  <c r="AE37" i="3"/>
  <c r="AF37" i="3"/>
  <c r="AG37" i="3"/>
  <c r="AH37" i="3"/>
  <c r="AI37" i="3"/>
  <c r="AJ37" i="3"/>
  <c r="AK37" i="3"/>
  <c r="AL37" i="3"/>
  <c r="AM37" i="3"/>
  <c r="AN37" i="3"/>
  <c r="AC38" i="3"/>
  <c r="AD38" i="3"/>
  <c r="AE38" i="3"/>
  <c r="AF38" i="3"/>
  <c r="AG38" i="3"/>
  <c r="AH38" i="3"/>
  <c r="AI38" i="3"/>
  <c r="AJ38" i="3"/>
  <c r="AK38" i="3"/>
  <c r="AL38" i="3"/>
  <c r="AM38" i="3"/>
  <c r="AN38" i="3"/>
  <c r="AC39" i="3"/>
  <c r="AD39" i="3"/>
  <c r="AE39" i="3"/>
  <c r="AF39" i="3"/>
  <c r="AG39" i="3"/>
  <c r="AH39" i="3"/>
  <c r="AI39" i="3"/>
  <c r="AJ39" i="3"/>
  <c r="AK39" i="3"/>
  <c r="AL39" i="3"/>
  <c r="AM39" i="3"/>
  <c r="AN39" i="3"/>
  <c r="AC40" i="3"/>
  <c r="AD40" i="3"/>
  <c r="AE40" i="3"/>
  <c r="AF40" i="3"/>
  <c r="AG40" i="3"/>
  <c r="AH40" i="3"/>
  <c r="AI40" i="3"/>
  <c r="AJ40" i="3"/>
  <c r="AK40" i="3"/>
  <c r="AL40" i="3"/>
  <c r="AM40" i="3"/>
  <c r="AN40" i="3"/>
  <c r="AC41" i="3"/>
  <c r="AD41" i="3"/>
  <c r="AE41" i="3"/>
  <c r="AF41" i="3"/>
  <c r="AG41" i="3"/>
  <c r="AH41" i="3"/>
  <c r="AI41" i="3"/>
  <c r="AJ41" i="3"/>
  <c r="AK41" i="3"/>
  <c r="AL41" i="3"/>
  <c r="AM41" i="3"/>
  <c r="AN41" i="3"/>
  <c r="AC42" i="3"/>
  <c r="AD42" i="3"/>
  <c r="AE42" i="3"/>
  <c r="AF42" i="3"/>
  <c r="AG42" i="3"/>
  <c r="AH42" i="3"/>
  <c r="AI42" i="3"/>
  <c r="AJ42" i="3"/>
  <c r="AK42" i="3"/>
  <c r="AL42" i="3"/>
  <c r="AM42" i="3"/>
  <c r="AN42" i="3"/>
  <c r="AC43" i="3"/>
  <c r="AD43" i="3"/>
  <c r="AE43" i="3"/>
  <c r="AF43" i="3"/>
  <c r="AG43" i="3"/>
  <c r="AH43" i="3"/>
  <c r="AI43" i="3"/>
  <c r="AJ43" i="3"/>
  <c r="AK43" i="3"/>
  <c r="AL43" i="3"/>
  <c r="AM43" i="3"/>
  <c r="AN43" i="3"/>
  <c r="AC44" i="3"/>
  <c r="AD44" i="3"/>
  <c r="AE44" i="3"/>
  <c r="AF44" i="3"/>
  <c r="AG44" i="3"/>
  <c r="AH44" i="3"/>
  <c r="AI44" i="3"/>
  <c r="AJ44" i="3"/>
  <c r="AK44" i="3"/>
  <c r="AL44" i="3"/>
  <c r="AM44" i="3"/>
  <c r="AN44" i="3"/>
  <c r="AC45" i="3"/>
  <c r="AD45" i="3"/>
  <c r="AE45" i="3"/>
  <c r="AF45" i="3"/>
  <c r="AG45" i="3"/>
  <c r="AH45" i="3"/>
  <c r="AI45" i="3"/>
  <c r="AJ45" i="3"/>
  <c r="AK45" i="3"/>
  <c r="AL45" i="3"/>
  <c r="AM45" i="3"/>
  <c r="AN45" i="3"/>
  <c r="AC46" i="3"/>
  <c r="AD46" i="3"/>
  <c r="AE46" i="3"/>
  <c r="AF46" i="3"/>
  <c r="AG46" i="3"/>
  <c r="AH46" i="3"/>
  <c r="AI46" i="3"/>
  <c r="AJ46" i="3"/>
  <c r="AK46" i="3"/>
  <c r="AL46" i="3"/>
  <c r="AM46" i="3"/>
  <c r="AN46" i="3"/>
  <c r="AC47" i="3"/>
  <c r="AD47" i="3"/>
  <c r="AE47" i="3"/>
  <c r="AF47" i="3"/>
  <c r="AG47" i="3"/>
  <c r="AH47" i="3"/>
  <c r="AI47" i="3"/>
  <c r="AJ47" i="3"/>
  <c r="AK47" i="3"/>
  <c r="AL47" i="3"/>
  <c r="AM47" i="3"/>
  <c r="AN47" i="3"/>
  <c r="AC48" i="3"/>
  <c r="AD48" i="3"/>
  <c r="AE48" i="3"/>
  <c r="AF48" i="3"/>
  <c r="AG48" i="3"/>
  <c r="AH48" i="3"/>
  <c r="AI48" i="3"/>
  <c r="AJ48" i="3"/>
  <c r="AK48" i="3"/>
  <c r="AL48" i="3"/>
  <c r="AM48" i="3"/>
  <c r="AN48" i="3"/>
  <c r="AC49" i="3"/>
  <c r="AD49" i="3"/>
  <c r="AE49" i="3"/>
  <c r="AF49" i="3"/>
  <c r="AG49" i="3"/>
  <c r="AH49" i="3"/>
  <c r="AI49" i="3"/>
  <c r="AJ49" i="3"/>
  <c r="AK49" i="3"/>
  <c r="AL49" i="3"/>
  <c r="AM49" i="3"/>
  <c r="AN49" i="3"/>
  <c r="AC50" i="3"/>
  <c r="AD50" i="3"/>
  <c r="AE50" i="3"/>
  <c r="AF50" i="3"/>
  <c r="AG50" i="3"/>
  <c r="AH50" i="3"/>
  <c r="AI50" i="3"/>
  <c r="AJ50" i="3"/>
  <c r="AK50" i="3"/>
  <c r="AL50" i="3"/>
  <c r="AM50" i="3"/>
  <c r="AN50" i="3"/>
  <c r="AC51" i="3"/>
  <c r="AD51" i="3"/>
  <c r="AE51" i="3"/>
  <c r="AF51" i="3"/>
  <c r="AG51" i="3"/>
  <c r="AH51" i="3"/>
  <c r="AI51" i="3"/>
  <c r="AJ51" i="3"/>
  <c r="AK51" i="3"/>
  <c r="AL51" i="3"/>
  <c r="AM51" i="3"/>
  <c r="AN51" i="3"/>
  <c r="AC52" i="3"/>
  <c r="AD52" i="3"/>
  <c r="AE52" i="3"/>
  <c r="AF52" i="3"/>
  <c r="AG52" i="3"/>
  <c r="AH52" i="3"/>
  <c r="AI52" i="3"/>
  <c r="AJ52" i="3"/>
  <c r="AK52" i="3"/>
  <c r="AL52" i="3"/>
  <c r="AM52" i="3"/>
  <c r="AN52" i="3"/>
  <c r="AC53" i="3"/>
  <c r="AD53" i="3"/>
  <c r="AE53" i="3"/>
  <c r="AF53" i="3"/>
  <c r="AG53" i="3"/>
  <c r="AH53" i="3"/>
  <c r="AI53" i="3"/>
  <c r="AJ53" i="3"/>
  <c r="AK53" i="3"/>
  <c r="AL53" i="3"/>
  <c r="AM53" i="3"/>
  <c r="AN53" i="3"/>
  <c r="AC54" i="3"/>
  <c r="AD54" i="3"/>
  <c r="AE54" i="3"/>
  <c r="AF54" i="3"/>
  <c r="AG54" i="3"/>
  <c r="AH54" i="3"/>
  <c r="AI54" i="3"/>
  <c r="AJ54" i="3"/>
  <c r="AK54" i="3"/>
  <c r="AL54" i="3"/>
  <c r="AM54" i="3"/>
  <c r="AN54" i="3"/>
  <c r="AC55" i="3"/>
  <c r="AD55" i="3"/>
  <c r="AE55" i="3"/>
  <c r="AF55" i="3"/>
  <c r="AG55" i="3"/>
  <c r="AH55" i="3"/>
  <c r="AI55" i="3"/>
  <c r="AJ55" i="3"/>
  <c r="AK55" i="3"/>
  <c r="AL55" i="3"/>
  <c r="AM55" i="3"/>
  <c r="AN55" i="3"/>
  <c r="AC56" i="3"/>
  <c r="AD56" i="3"/>
  <c r="AE56" i="3"/>
  <c r="AF56" i="3"/>
  <c r="AG56" i="3"/>
  <c r="AH56" i="3"/>
  <c r="AI56" i="3"/>
  <c r="AJ56" i="3"/>
  <c r="AK56" i="3"/>
  <c r="AL56" i="3"/>
  <c r="AM56" i="3"/>
  <c r="AN56" i="3"/>
  <c r="AC57" i="3"/>
  <c r="AD57" i="3"/>
  <c r="AE57" i="3"/>
  <c r="AF57" i="3"/>
  <c r="AG57" i="3"/>
  <c r="AH57" i="3"/>
  <c r="AI57" i="3"/>
  <c r="AJ57" i="3"/>
  <c r="AK57" i="3"/>
  <c r="AL57" i="3"/>
  <c r="AM57" i="3"/>
  <c r="AN57" i="3"/>
  <c r="AC58" i="3"/>
  <c r="AD58" i="3"/>
  <c r="AE58" i="3"/>
  <c r="AF58" i="3"/>
  <c r="AG58" i="3"/>
  <c r="AH58" i="3"/>
  <c r="AI58" i="3"/>
  <c r="AJ58" i="3"/>
  <c r="AK58" i="3"/>
  <c r="AL58" i="3"/>
  <c r="AM58" i="3"/>
  <c r="AN58" i="3"/>
  <c r="AC59" i="3"/>
  <c r="AD59" i="3"/>
  <c r="AE59" i="3"/>
  <c r="AF59" i="3"/>
  <c r="AG59" i="3"/>
  <c r="AH59" i="3"/>
  <c r="AI59" i="3"/>
  <c r="AJ59" i="3"/>
  <c r="AK59" i="3"/>
  <c r="AL59" i="3"/>
  <c r="AM59" i="3"/>
  <c r="AN59" i="3"/>
  <c r="AC60" i="3"/>
  <c r="AD60" i="3"/>
  <c r="AE60" i="3"/>
  <c r="AF60" i="3"/>
  <c r="AG60" i="3"/>
  <c r="AH60" i="3"/>
  <c r="AI60" i="3"/>
  <c r="AJ60" i="3"/>
  <c r="AK60" i="3"/>
  <c r="AL60" i="3"/>
  <c r="AM60" i="3"/>
  <c r="AN60" i="3"/>
  <c r="AC61" i="3"/>
  <c r="AD61" i="3"/>
  <c r="AE61" i="3"/>
  <c r="AF61" i="3"/>
  <c r="AG61" i="3"/>
  <c r="AH61" i="3"/>
  <c r="AI61" i="3"/>
  <c r="AJ61" i="3"/>
  <c r="AK61" i="3"/>
  <c r="AL61" i="3"/>
  <c r="AM61" i="3"/>
  <c r="AN61" i="3"/>
  <c r="AC62" i="3"/>
  <c r="AD62" i="3"/>
  <c r="AE62" i="3"/>
  <c r="AF62" i="3"/>
  <c r="AG62" i="3"/>
  <c r="AH62" i="3"/>
  <c r="AI62" i="3"/>
  <c r="AJ62" i="3"/>
  <c r="AK62" i="3"/>
  <c r="AL62" i="3"/>
  <c r="AM62" i="3"/>
  <c r="AN62" i="3"/>
  <c r="AC63" i="3"/>
  <c r="AD63" i="3"/>
  <c r="AE63" i="3"/>
  <c r="AF63" i="3"/>
  <c r="AG63" i="3"/>
  <c r="AH63" i="3"/>
  <c r="AI63" i="3"/>
  <c r="AJ63" i="3"/>
  <c r="AK63" i="3"/>
  <c r="AL63" i="3"/>
  <c r="AM63" i="3"/>
  <c r="AN63" i="3"/>
  <c r="AC64" i="3"/>
  <c r="AD64" i="3"/>
  <c r="AE64" i="3"/>
  <c r="AF64" i="3"/>
  <c r="AG64" i="3"/>
  <c r="AH64" i="3"/>
  <c r="AI64" i="3"/>
  <c r="AJ64" i="3"/>
  <c r="AK64" i="3"/>
  <c r="AL64" i="3"/>
  <c r="AM64" i="3"/>
  <c r="AN64" i="3"/>
  <c r="AC65" i="3"/>
  <c r="AD65" i="3"/>
  <c r="AE65" i="3"/>
  <c r="AF65" i="3"/>
  <c r="AG65" i="3"/>
  <c r="AH65" i="3"/>
  <c r="AI65" i="3"/>
  <c r="AJ65" i="3"/>
  <c r="AK65" i="3"/>
  <c r="AL65" i="3"/>
  <c r="AM65" i="3"/>
  <c r="AN65" i="3"/>
  <c r="AC66" i="3"/>
  <c r="AD66" i="3"/>
  <c r="AE66" i="3"/>
  <c r="AF66" i="3"/>
  <c r="AG66" i="3"/>
  <c r="AH66" i="3"/>
  <c r="AI66" i="3"/>
  <c r="AJ66" i="3"/>
  <c r="AK66" i="3"/>
  <c r="AL66" i="3"/>
  <c r="AM66" i="3"/>
  <c r="AN66" i="3"/>
  <c r="AC67" i="3"/>
  <c r="AD67" i="3"/>
  <c r="AE67" i="3"/>
  <c r="AF67" i="3"/>
  <c r="AG67" i="3"/>
  <c r="AH67" i="3"/>
  <c r="AI67" i="3"/>
  <c r="AJ67" i="3"/>
  <c r="AK67" i="3"/>
  <c r="AL67" i="3"/>
  <c r="AM67" i="3"/>
  <c r="AN67" i="3"/>
  <c r="AC68" i="3"/>
  <c r="AD68" i="3"/>
  <c r="AE68" i="3"/>
  <c r="AF68" i="3"/>
  <c r="AG68" i="3"/>
  <c r="AH68" i="3"/>
  <c r="AI68" i="3"/>
  <c r="AJ68" i="3"/>
  <c r="AK68" i="3"/>
  <c r="AL68" i="3"/>
  <c r="AM68" i="3"/>
  <c r="AN68" i="3"/>
  <c r="AC69" i="3"/>
  <c r="AD69" i="3"/>
  <c r="AE69" i="3"/>
  <c r="AF69" i="3"/>
  <c r="AG69" i="3"/>
  <c r="AH69" i="3"/>
  <c r="AI69" i="3"/>
  <c r="AJ69" i="3"/>
  <c r="AK69" i="3"/>
  <c r="AL69" i="3"/>
  <c r="AM69" i="3"/>
  <c r="AN69" i="3"/>
  <c r="AC70" i="3"/>
  <c r="AD70" i="3"/>
  <c r="AE70" i="3"/>
  <c r="AF70" i="3"/>
  <c r="AG70" i="3"/>
  <c r="AH70" i="3"/>
  <c r="AI70" i="3"/>
  <c r="AJ70" i="3"/>
  <c r="AK70" i="3"/>
  <c r="AL70" i="3"/>
  <c r="AM70" i="3"/>
  <c r="AN70" i="3"/>
  <c r="AC71" i="3"/>
  <c r="AD71" i="3"/>
  <c r="AE71" i="3"/>
  <c r="AF71" i="3"/>
  <c r="AG71" i="3"/>
  <c r="AH71" i="3"/>
  <c r="AI71" i="3"/>
  <c r="AJ71" i="3"/>
  <c r="AK71" i="3"/>
  <c r="AL71" i="3"/>
  <c r="AM71" i="3"/>
  <c r="AN71" i="3"/>
  <c r="AC72" i="3"/>
  <c r="AD72" i="3"/>
  <c r="AE72" i="3"/>
  <c r="AF72" i="3"/>
  <c r="AG72" i="3"/>
  <c r="AH72" i="3"/>
  <c r="AI72" i="3"/>
  <c r="AJ72" i="3"/>
  <c r="AK72" i="3"/>
  <c r="AL72" i="3"/>
  <c r="AM72" i="3"/>
  <c r="AN72" i="3"/>
  <c r="AC73" i="3"/>
  <c r="AD73" i="3"/>
  <c r="AE73" i="3"/>
  <c r="AF73" i="3"/>
  <c r="AG73" i="3"/>
  <c r="AH73" i="3"/>
  <c r="AI73" i="3"/>
  <c r="AJ73" i="3"/>
  <c r="AK73" i="3"/>
  <c r="AL73" i="3"/>
  <c r="AM73" i="3"/>
  <c r="AN73" i="3"/>
  <c r="AC74" i="3"/>
  <c r="AD74" i="3"/>
  <c r="AE74" i="3"/>
  <c r="AF74" i="3"/>
  <c r="AG74" i="3"/>
  <c r="AH74" i="3"/>
  <c r="AI74" i="3"/>
  <c r="AJ74" i="3"/>
  <c r="AK74" i="3"/>
  <c r="AL74" i="3"/>
  <c r="AM74" i="3"/>
  <c r="AN74" i="3"/>
  <c r="AC75" i="3"/>
  <c r="AD75" i="3"/>
  <c r="AE75" i="3"/>
  <c r="AF75" i="3"/>
  <c r="AG75" i="3"/>
  <c r="AH75" i="3"/>
  <c r="AI75" i="3"/>
  <c r="AJ75" i="3"/>
  <c r="AK75" i="3"/>
  <c r="AL75" i="3"/>
  <c r="AM75" i="3"/>
  <c r="AN75" i="3"/>
  <c r="AC76" i="3"/>
  <c r="AD76" i="3"/>
  <c r="AE76" i="3"/>
  <c r="AF76" i="3"/>
  <c r="AG76" i="3"/>
  <c r="AH76" i="3"/>
  <c r="AI76" i="3"/>
  <c r="AJ76" i="3"/>
  <c r="AK76" i="3"/>
  <c r="AL76" i="3"/>
  <c r="AM76" i="3"/>
  <c r="AN76" i="3"/>
  <c r="AC77" i="3"/>
  <c r="AD77" i="3"/>
  <c r="AE77" i="3"/>
  <c r="AF77" i="3"/>
  <c r="AG77" i="3"/>
  <c r="AH77" i="3"/>
  <c r="AI77" i="3"/>
  <c r="AJ77" i="3"/>
  <c r="AK77" i="3"/>
  <c r="AL77" i="3"/>
  <c r="AM77" i="3"/>
  <c r="AN77" i="3"/>
  <c r="AC78" i="3"/>
  <c r="AD78" i="3"/>
  <c r="AE78" i="3"/>
  <c r="AF78" i="3"/>
  <c r="AG78" i="3"/>
  <c r="AH78" i="3"/>
  <c r="AI78" i="3"/>
  <c r="AJ78" i="3"/>
  <c r="AK78" i="3"/>
  <c r="AL78" i="3"/>
  <c r="AM78" i="3"/>
  <c r="AN78" i="3"/>
  <c r="AC79" i="3"/>
  <c r="AD79" i="3"/>
  <c r="AE79" i="3"/>
  <c r="AF79" i="3"/>
  <c r="AG79" i="3"/>
  <c r="AH79" i="3"/>
  <c r="AI79" i="3"/>
  <c r="AJ79" i="3"/>
  <c r="AK79" i="3"/>
  <c r="AL79" i="3"/>
  <c r="AM79" i="3"/>
  <c r="AN79" i="3"/>
  <c r="AC80" i="3"/>
  <c r="AD80" i="3"/>
  <c r="AE80" i="3"/>
  <c r="AF80" i="3"/>
  <c r="AG80" i="3"/>
  <c r="AH80" i="3"/>
  <c r="AI80" i="3"/>
  <c r="AJ80" i="3"/>
  <c r="AK80" i="3"/>
  <c r="AL80" i="3"/>
  <c r="AM80" i="3"/>
  <c r="AN80" i="3"/>
  <c r="AC81" i="3"/>
  <c r="AD81" i="3"/>
  <c r="AE81" i="3"/>
  <c r="AF81" i="3"/>
  <c r="AG81" i="3"/>
  <c r="AH81" i="3"/>
  <c r="AI81" i="3"/>
  <c r="AJ81" i="3"/>
  <c r="AK81" i="3"/>
  <c r="AL81" i="3"/>
  <c r="AM81" i="3"/>
  <c r="AN81" i="3"/>
  <c r="AC82" i="3"/>
  <c r="AD82" i="3"/>
  <c r="AE82" i="3"/>
  <c r="AF82" i="3"/>
  <c r="AG82" i="3"/>
  <c r="AH82" i="3"/>
  <c r="AI82" i="3"/>
  <c r="AJ82" i="3"/>
  <c r="AK82" i="3"/>
  <c r="AL82" i="3"/>
  <c r="AM82" i="3"/>
  <c r="AN82" i="3"/>
  <c r="AC83" i="3"/>
  <c r="AD83" i="3"/>
  <c r="AE83" i="3"/>
  <c r="AF83" i="3"/>
  <c r="AG83" i="3"/>
  <c r="AH83" i="3"/>
  <c r="AI83" i="3"/>
  <c r="AJ83" i="3"/>
  <c r="AK83" i="3"/>
  <c r="AL83" i="3"/>
  <c r="AM83" i="3"/>
  <c r="AN83" i="3"/>
  <c r="AC84" i="3"/>
  <c r="AD84" i="3"/>
  <c r="AE84" i="3"/>
  <c r="AF84" i="3"/>
  <c r="AG84" i="3"/>
  <c r="AH84" i="3"/>
  <c r="AI84" i="3"/>
  <c r="AJ84" i="3"/>
  <c r="AK84" i="3"/>
  <c r="AL84" i="3"/>
  <c r="AM84" i="3"/>
  <c r="AN84" i="3"/>
  <c r="AC85" i="3"/>
  <c r="AD85" i="3"/>
  <c r="AE85" i="3"/>
  <c r="AF85" i="3"/>
  <c r="AG85" i="3"/>
  <c r="AH85" i="3"/>
  <c r="AI85" i="3"/>
  <c r="AJ85" i="3"/>
  <c r="AK85" i="3"/>
  <c r="AL85" i="3"/>
  <c r="AM85" i="3"/>
  <c r="AN85" i="3"/>
  <c r="AC86" i="3"/>
  <c r="AD86" i="3"/>
  <c r="AE86" i="3"/>
  <c r="AF86" i="3"/>
  <c r="AG86" i="3"/>
  <c r="AH86" i="3"/>
  <c r="AI86" i="3"/>
  <c r="AJ86" i="3"/>
  <c r="AK86" i="3"/>
  <c r="AL86" i="3"/>
  <c r="AM86" i="3"/>
  <c r="AN86" i="3"/>
  <c r="AC87" i="3"/>
  <c r="AD87" i="3"/>
  <c r="AE87" i="3"/>
  <c r="AF87" i="3"/>
  <c r="AG87" i="3"/>
  <c r="AH87" i="3"/>
  <c r="AI87" i="3"/>
  <c r="AJ87" i="3"/>
  <c r="AK87" i="3"/>
  <c r="AL87" i="3"/>
  <c r="AM87" i="3"/>
  <c r="AN87" i="3"/>
  <c r="AC88" i="3"/>
  <c r="AD88" i="3"/>
  <c r="AE88" i="3"/>
  <c r="AF88" i="3"/>
  <c r="AG88" i="3"/>
  <c r="AH88" i="3"/>
  <c r="AI88" i="3"/>
  <c r="AJ88" i="3"/>
  <c r="AK88" i="3"/>
  <c r="AL88" i="3"/>
  <c r="AM88" i="3"/>
  <c r="AN88" i="3"/>
  <c r="AC89" i="3"/>
  <c r="AD89" i="3"/>
  <c r="AE89" i="3"/>
  <c r="AF89" i="3"/>
  <c r="AG89" i="3"/>
  <c r="AH89" i="3"/>
  <c r="AI89" i="3"/>
  <c r="AJ89" i="3"/>
  <c r="AK89" i="3"/>
  <c r="AL89" i="3"/>
  <c r="AM89" i="3"/>
  <c r="AN89" i="3"/>
  <c r="AC90" i="3"/>
  <c r="AD90" i="3"/>
  <c r="AE90" i="3"/>
  <c r="AF90" i="3"/>
  <c r="AG90" i="3"/>
  <c r="AH90" i="3"/>
  <c r="AI90" i="3"/>
  <c r="AJ90" i="3"/>
  <c r="AK90" i="3"/>
  <c r="AL90" i="3"/>
  <c r="AM90" i="3"/>
  <c r="AN90" i="3"/>
  <c r="AC91" i="3"/>
  <c r="AD91" i="3"/>
  <c r="AE91" i="3"/>
  <c r="AF91" i="3"/>
  <c r="AG91" i="3"/>
  <c r="AH91" i="3"/>
  <c r="AI91" i="3"/>
  <c r="AJ91" i="3"/>
  <c r="AK91" i="3"/>
  <c r="AL91" i="3"/>
  <c r="AM91" i="3"/>
  <c r="AN91" i="3"/>
  <c r="AC92" i="3"/>
  <c r="AD92" i="3"/>
  <c r="AE92" i="3"/>
  <c r="AF92" i="3"/>
  <c r="AG92" i="3"/>
  <c r="AH92" i="3"/>
  <c r="AI92" i="3"/>
  <c r="AJ92" i="3"/>
  <c r="AK92" i="3"/>
  <c r="AL92" i="3"/>
  <c r="AM92" i="3"/>
  <c r="AN92" i="3"/>
  <c r="AC93" i="3"/>
  <c r="AD93" i="3"/>
  <c r="AE93" i="3"/>
  <c r="AF93" i="3"/>
  <c r="AG93" i="3"/>
  <c r="AH93" i="3"/>
  <c r="AI93" i="3"/>
  <c r="AJ93" i="3"/>
  <c r="AK93" i="3"/>
  <c r="AL93" i="3"/>
  <c r="AM93" i="3"/>
  <c r="AN93" i="3"/>
  <c r="AC94" i="3"/>
  <c r="AD94" i="3"/>
  <c r="AE94" i="3"/>
  <c r="AF94" i="3"/>
  <c r="AG94" i="3"/>
  <c r="AH94" i="3"/>
  <c r="AI94" i="3"/>
  <c r="AJ94" i="3"/>
  <c r="AK94" i="3"/>
  <c r="AL94" i="3"/>
  <c r="AM94" i="3"/>
  <c r="AN94" i="3"/>
  <c r="AC95" i="3"/>
  <c r="AD95" i="3"/>
  <c r="AE95" i="3"/>
  <c r="AF95" i="3"/>
  <c r="AG95" i="3"/>
  <c r="AH95" i="3"/>
  <c r="AI95" i="3"/>
  <c r="AJ95" i="3"/>
  <c r="AK95" i="3"/>
  <c r="AL95" i="3"/>
  <c r="AM95" i="3"/>
  <c r="AN95" i="3"/>
  <c r="AC96" i="3"/>
  <c r="AD96" i="3"/>
  <c r="AE96" i="3"/>
  <c r="AF96" i="3"/>
  <c r="AG96" i="3"/>
  <c r="AH96" i="3"/>
  <c r="AI96" i="3"/>
  <c r="AJ96" i="3"/>
  <c r="AK96" i="3"/>
  <c r="AL96" i="3"/>
  <c r="AM96" i="3"/>
  <c r="AN96" i="3"/>
  <c r="AC97" i="3"/>
  <c r="AD97" i="3"/>
  <c r="AE97" i="3"/>
  <c r="AF97" i="3"/>
  <c r="AG97" i="3"/>
  <c r="AH97" i="3"/>
  <c r="AI97" i="3"/>
  <c r="AJ97" i="3"/>
  <c r="AK97" i="3"/>
  <c r="AL97" i="3"/>
  <c r="AM97" i="3"/>
  <c r="AN97" i="3"/>
  <c r="AC98" i="3"/>
  <c r="AD98" i="3"/>
  <c r="AE98" i="3"/>
  <c r="AF98" i="3"/>
  <c r="AG98" i="3"/>
  <c r="AH98" i="3"/>
  <c r="AI98" i="3"/>
  <c r="AJ98" i="3"/>
  <c r="AK98" i="3"/>
  <c r="AL98" i="3"/>
  <c r="AM98" i="3"/>
  <c r="AN98" i="3"/>
  <c r="AC99" i="3"/>
  <c r="AD99" i="3"/>
  <c r="AE99" i="3"/>
  <c r="AF99" i="3"/>
  <c r="AG99" i="3"/>
  <c r="AH99" i="3"/>
  <c r="AI99" i="3"/>
  <c r="AJ99" i="3"/>
  <c r="AK99" i="3"/>
  <c r="AL99" i="3"/>
  <c r="AM99" i="3"/>
  <c r="AN99" i="3"/>
  <c r="AC100" i="3"/>
  <c r="AD100" i="3"/>
  <c r="AE100" i="3"/>
  <c r="AF100" i="3"/>
  <c r="AG100" i="3"/>
  <c r="AH100" i="3"/>
  <c r="AI100" i="3"/>
  <c r="AJ100" i="3"/>
  <c r="AK100" i="3"/>
  <c r="AL100" i="3"/>
  <c r="AM100" i="3"/>
  <c r="AN100" i="3"/>
  <c r="AC101" i="3"/>
  <c r="AD101" i="3"/>
  <c r="AE101" i="3"/>
  <c r="AF101" i="3"/>
  <c r="AG101" i="3"/>
  <c r="AH101" i="3"/>
  <c r="AI101" i="3"/>
  <c r="AJ101" i="3"/>
  <c r="AK101" i="3"/>
  <c r="AL101" i="3"/>
  <c r="AM101" i="3"/>
  <c r="AN101" i="3"/>
  <c r="AC102" i="3"/>
  <c r="AD102" i="3"/>
  <c r="AE102" i="3"/>
  <c r="AF102" i="3"/>
  <c r="AG102" i="3"/>
  <c r="AH102" i="3"/>
  <c r="AI102" i="3"/>
  <c r="AJ102" i="3"/>
  <c r="AK102" i="3"/>
  <c r="AL102" i="3"/>
  <c r="AM102" i="3"/>
  <c r="AN102" i="3"/>
  <c r="AC103" i="3"/>
  <c r="AD103" i="3"/>
  <c r="AE103" i="3"/>
  <c r="AF103" i="3"/>
  <c r="AG103" i="3"/>
  <c r="AH103" i="3"/>
  <c r="AI103" i="3"/>
  <c r="AJ103" i="3"/>
  <c r="AK103" i="3"/>
  <c r="AL103" i="3"/>
  <c r="AM103" i="3"/>
  <c r="AN103" i="3"/>
  <c r="AC104" i="3"/>
  <c r="AD104" i="3"/>
  <c r="AE104" i="3"/>
  <c r="AF104" i="3"/>
  <c r="AG104" i="3"/>
  <c r="AH104" i="3"/>
  <c r="AI104" i="3"/>
  <c r="AJ104" i="3"/>
  <c r="AK104" i="3"/>
  <c r="AL104" i="3"/>
  <c r="AM104" i="3"/>
  <c r="AN104" i="3"/>
  <c r="AC105" i="3"/>
  <c r="AD105" i="3"/>
  <c r="AE105" i="3"/>
  <c r="AF105" i="3"/>
  <c r="AG105" i="3"/>
  <c r="AH105" i="3"/>
  <c r="AI105" i="3"/>
  <c r="AJ105" i="3"/>
  <c r="AK105" i="3"/>
  <c r="AL105" i="3"/>
  <c r="AM105" i="3"/>
  <c r="AN105" i="3"/>
  <c r="AC106" i="3"/>
  <c r="AD106" i="3"/>
  <c r="AE106" i="3"/>
  <c r="AF106" i="3"/>
  <c r="AG106" i="3"/>
  <c r="AH106" i="3"/>
  <c r="AI106" i="3"/>
  <c r="AJ106" i="3"/>
  <c r="AK106" i="3"/>
  <c r="AL106" i="3"/>
  <c r="AM106" i="3"/>
  <c r="AN106" i="3"/>
  <c r="AB8" i="53" l="1"/>
  <c r="AB9" i="53"/>
  <c r="AB10" i="53"/>
  <c r="AB11" i="53"/>
  <c r="AB12" i="53"/>
  <c r="AB13" i="53"/>
  <c r="AB14" i="53"/>
  <c r="AB15" i="53"/>
  <c r="AB16" i="53"/>
  <c r="AB17" i="53"/>
  <c r="AB18" i="53"/>
  <c r="AB7" i="53"/>
  <c r="AS18" i="65" s="1"/>
  <c r="AC18" i="53"/>
  <c r="AC17" i="53"/>
  <c r="AC16" i="53"/>
  <c r="AC15" i="53"/>
  <c r="AC14" i="53"/>
  <c r="AC13" i="53"/>
  <c r="AC12" i="53"/>
  <c r="AC11" i="53"/>
  <c r="AC10" i="53"/>
  <c r="AC9" i="53"/>
  <c r="AC8" i="53"/>
  <c r="AC7" i="53"/>
  <c r="AH14" i="53" l="1"/>
  <c r="AZ18" i="65"/>
  <c r="AH13" i="53"/>
  <c r="AY18" i="65"/>
  <c r="AH12" i="53"/>
  <c r="AX18" i="65"/>
  <c r="AH11" i="53"/>
  <c r="AW18" i="65"/>
  <c r="AH10" i="53"/>
  <c r="AV18" i="65"/>
  <c r="AH18" i="53"/>
  <c r="BD18" i="65"/>
  <c r="AH9" i="53"/>
  <c r="AU18" i="65"/>
  <c r="AH17" i="53"/>
  <c r="BC18" i="65"/>
  <c r="AH16" i="53"/>
  <c r="BB18" i="65"/>
  <c r="AH15" i="53"/>
  <c r="BA18" i="65"/>
  <c r="AH8" i="53"/>
  <c r="AT18" i="65"/>
  <c r="AH7" i="53"/>
  <c r="E22" i="45" l="1"/>
  <c r="E24" i="45" s="1"/>
  <c r="E26" i="45" s="1"/>
  <c r="E28" i="45" s="1"/>
  <c r="E30" i="45" s="1"/>
  <c r="E32" i="45" s="1"/>
  <c r="E34" i="45" s="1"/>
  <c r="E36" i="45" s="1"/>
  <c r="L1" i="34"/>
  <c r="L1" i="66"/>
  <c r="H1" i="35"/>
  <c r="Q6" i="2"/>
  <c r="S8" i="2"/>
  <c r="X8" i="33"/>
  <c r="C19" i="62"/>
  <c r="Q24" i="2"/>
  <c r="Q23" i="2" s="1"/>
  <c r="F25" i="2"/>
  <c r="O24" i="2"/>
  <c r="O23" i="2" s="1"/>
  <c r="X10" i="33"/>
  <c r="C35" i="62"/>
  <c r="C18" i="62"/>
  <c r="G25" i="2"/>
  <c r="F24" i="2"/>
  <c r="I16" i="45"/>
  <c r="X12" i="33"/>
  <c r="C17" i="62"/>
  <c r="G24" i="2"/>
  <c r="G23" i="2" s="1"/>
  <c r="H25" i="2"/>
  <c r="H11" i="2"/>
  <c r="L25" i="2"/>
  <c r="Q25" i="2"/>
  <c r="I15" i="45"/>
  <c r="X14" i="33"/>
  <c r="C16" i="62"/>
  <c r="H24" i="2"/>
  <c r="H23" i="2" s="1"/>
  <c r="I25" i="2"/>
  <c r="G11" i="2"/>
  <c r="C13" i="62"/>
  <c r="H10" i="2"/>
  <c r="F12" i="45"/>
  <c r="X16" i="33"/>
  <c r="C15" i="62"/>
  <c r="I24" i="2"/>
  <c r="I23" i="2" s="1"/>
  <c r="J25" i="2"/>
  <c r="F11" i="2"/>
  <c r="C30" i="62"/>
  <c r="C9" i="62"/>
  <c r="F11" i="45"/>
  <c r="X18" i="33"/>
  <c r="J24" i="2"/>
  <c r="J23" i="2" s="1"/>
  <c r="K25" i="2"/>
  <c r="F10" i="45"/>
  <c r="X20" i="33"/>
  <c r="K24" i="2"/>
  <c r="K23" i="2" s="1"/>
  <c r="G10" i="2"/>
  <c r="P25" i="2"/>
  <c r="F7" i="45"/>
  <c r="X22" i="33"/>
  <c r="C12" i="62"/>
  <c r="L24" i="2"/>
  <c r="L23" i="2" s="1"/>
  <c r="M25" i="2"/>
  <c r="E37" i="45"/>
  <c r="X24" i="33"/>
  <c r="X6" i="33"/>
  <c r="C11" i="62"/>
  <c r="M24" i="2"/>
  <c r="M23" i="2" s="1"/>
  <c r="N25" i="2"/>
  <c r="F10" i="2"/>
  <c r="P24" i="2"/>
  <c r="P23" i="2" s="1"/>
  <c r="X26" i="33"/>
  <c r="C10" i="62"/>
  <c r="N24" i="2"/>
  <c r="N23" i="2" s="1"/>
  <c r="O25" i="2"/>
  <c r="O6" i="62"/>
  <c r="F11" i="47"/>
  <c r="E31" i="45"/>
  <c r="F7" i="47"/>
  <c r="E29" i="45"/>
  <c r="E27" i="45"/>
  <c r="E25" i="45"/>
  <c r="E23" i="45"/>
  <c r="E33" i="45"/>
  <c r="E35" i="45"/>
  <c r="D24" i="36"/>
  <c r="D35" i="36" s="1"/>
  <c r="D46" i="36" s="1"/>
  <c r="D57" i="36" s="1"/>
  <c r="D68" i="36" s="1"/>
  <c r="D79" i="36" s="1"/>
  <c r="D90" i="36" s="1"/>
  <c r="D101" i="36" s="1"/>
  <c r="D112" i="36" s="1"/>
  <c r="D123" i="36" s="1"/>
  <c r="D134" i="36" s="1"/>
  <c r="D19" i="36"/>
  <c r="D30" i="36" s="1"/>
  <c r="D41" i="36" s="1"/>
  <c r="D52" i="36" s="1"/>
  <c r="D63" i="36" s="1"/>
  <c r="D74" i="36" s="1"/>
  <c r="D85" i="36" s="1"/>
  <c r="D96" i="36" s="1"/>
  <c r="D107" i="36" s="1"/>
  <c r="D118" i="36" s="1"/>
  <c r="D129" i="36" s="1"/>
  <c r="D18" i="36"/>
  <c r="D29" i="36" s="1"/>
  <c r="D40" i="36" s="1"/>
  <c r="D51" i="36" s="1"/>
  <c r="D62" i="36" s="1"/>
  <c r="D73" i="36" s="1"/>
  <c r="D84" i="36" s="1"/>
  <c r="D95" i="36" s="1"/>
  <c r="D106" i="36" s="1"/>
  <c r="D117" i="36" s="1"/>
  <c r="D128" i="36" s="1"/>
  <c r="G5" i="4"/>
  <c r="F7" i="35" l="1"/>
  <c r="F11" i="35"/>
  <c r="J11" i="34"/>
  <c r="J7" i="34"/>
  <c r="J10" i="34"/>
  <c r="F10" i="35" s="1"/>
  <c r="E11" i="2"/>
  <c r="E30" i="62"/>
  <c r="E35" i="62"/>
  <c r="AF8" i="8"/>
  <c r="J18" i="62"/>
  <c r="G18" i="62"/>
  <c r="J16" i="62"/>
  <c r="G16" i="62"/>
  <c r="J17" i="62"/>
  <c r="G17" i="62"/>
  <c r="G12" i="62"/>
  <c r="J12" i="62"/>
  <c r="G10" i="62"/>
  <c r="J10" i="62"/>
  <c r="J15" i="62"/>
  <c r="G15" i="62"/>
  <c r="G11" i="62"/>
  <c r="J11" i="62"/>
  <c r="J9" i="62"/>
  <c r="G9" i="62"/>
  <c r="J13" i="62"/>
  <c r="G13" i="62"/>
  <c r="J8" i="62"/>
  <c r="G8" i="62"/>
  <c r="J19" i="62"/>
  <c r="G19" i="62"/>
  <c r="D18" i="62"/>
  <c r="D19" i="62"/>
  <c r="J11" i="66"/>
  <c r="J10" i="66"/>
  <c r="J7" i="66"/>
  <c r="E10" i="2"/>
  <c r="C14" i="62"/>
  <c r="M3" i="62" s="1"/>
  <c r="F4" i="62" s="1"/>
  <c r="C26" i="62"/>
  <c r="E26" i="62" s="1"/>
  <c r="C31" i="62"/>
  <c r="E31" i="62" s="1"/>
  <c r="C27" i="62"/>
  <c r="E27" i="62" s="1"/>
  <c r="C32" i="62"/>
  <c r="E32" i="62" s="1"/>
  <c r="C34" i="62"/>
  <c r="E34" i="62" s="1"/>
  <c r="C28" i="62"/>
  <c r="E28" i="62" s="1"/>
  <c r="C33" i="62"/>
  <c r="E33" i="62" s="1"/>
  <c r="C29" i="62"/>
  <c r="E29" i="62" s="1"/>
  <c r="C25" i="62"/>
  <c r="E25" i="62" s="1"/>
  <c r="C24" i="62"/>
  <c r="E24" i="62" s="1"/>
  <c r="Q30" i="62"/>
  <c r="Q36" i="2"/>
  <c r="X28" i="33"/>
  <c r="CS7" i="3"/>
  <c r="C44" i="67" s="1"/>
  <c r="G32" i="2"/>
  <c r="H32" i="2" s="1"/>
  <c r="I32" i="2" s="1"/>
  <c r="J32" i="2" s="1"/>
  <c r="K32" i="2" s="1"/>
  <c r="L32" i="2" s="1"/>
  <c r="M32" i="2" s="1"/>
  <c r="N32" i="2" s="1"/>
  <c r="O32" i="2" s="1"/>
  <c r="P32" i="2" s="1"/>
  <c r="Q32" i="2" s="1"/>
  <c r="CV7" i="3"/>
  <c r="C47" i="67" s="1"/>
  <c r="G31" i="2"/>
  <c r="H31" i="2" s="1"/>
  <c r="I31" i="2" s="1"/>
  <c r="J31" i="2" s="1"/>
  <c r="K31" i="2" s="1"/>
  <c r="L31" i="2" s="1"/>
  <c r="M31" i="2" s="1"/>
  <c r="N31" i="2" s="1"/>
  <c r="O31" i="2" s="1"/>
  <c r="P31" i="2" s="1"/>
  <c r="Q31" i="2" s="1"/>
  <c r="C45" i="62"/>
  <c r="P36" i="2"/>
  <c r="P38" i="2"/>
  <c r="N36" i="2"/>
  <c r="N38" i="2"/>
  <c r="L36" i="2"/>
  <c r="L38" i="2"/>
  <c r="M38" i="2"/>
  <c r="M36" i="2"/>
  <c r="K36" i="2"/>
  <c r="K38" i="2"/>
  <c r="O36" i="2"/>
  <c r="O38" i="2"/>
  <c r="Q38" i="2"/>
  <c r="J36" i="2"/>
  <c r="J38" i="2"/>
  <c r="I36" i="2"/>
  <c r="I38" i="2"/>
  <c r="H36" i="2"/>
  <c r="H38" i="2"/>
  <c r="G38" i="2"/>
  <c r="G36" i="2"/>
  <c r="J14" i="62" l="1"/>
  <c r="K14" i="62" s="1"/>
  <c r="G14" i="62"/>
  <c r="CT7" i="3"/>
  <c r="C45" i="67" s="1"/>
  <c r="Q31" i="62"/>
  <c r="Q29" i="62"/>
  <c r="Q28" i="62"/>
  <c r="Q32" i="62"/>
  <c r="Q27" i="62"/>
  <c r="Q25" i="62"/>
  <c r="Q33" i="62"/>
  <c r="Q26" i="62"/>
  <c r="Q19" i="62"/>
  <c r="CU7" i="3"/>
  <c r="C46" i="67" s="1"/>
  <c r="Q18" i="62"/>
  <c r="K16" i="62"/>
  <c r="K8" i="62"/>
  <c r="H16" i="62"/>
  <c r="D16" i="62"/>
  <c r="Q16" i="62" s="1"/>
  <c r="H18" i="62"/>
  <c r="D13" i="62"/>
  <c r="Q13" i="62" s="1"/>
  <c r="H13" i="62"/>
  <c r="D8" i="62"/>
  <c r="D12" i="62"/>
  <c r="Q12" i="62" s="1"/>
  <c r="H12" i="62"/>
  <c r="H8" i="62"/>
  <c r="H19" i="62"/>
  <c r="K9" i="62"/>
  <c r="K19" i="62"/>
  <c r="H9" i="62"/>
  <c r="D9" i="62"/>
  <c r="Q9" i="62" s="1"/>
  <c r="K10" i="62"/>
  <c r="K18" i="62"/>
  <c r="K12" i="62"/>
  <c r="K13" i="62"/>
  <c r="K11" i="62"/>
  <c r="D17" i="62"/>
  <c r="Q17" i="62" s="1"/>
  <c r="H17" i="62"/>
  <c r="D11" i="62"/>
  <c r="Q11" i="62" s="1"/>
  <c r="H11" i="62"/>
  <c r="K17" i="62"/>
  <c r="D10" i="62"/>
  <c r="Q10" i="62" s="1"/>
  <c r="H10" i="62"/>
  <c r="D15" i="62"/>
  <c r="Q15" i="62" s="1"/>
  <c r="H15" i="62"/>
  <c r="K15" i="62"/>
  <c r="E39" i="35"/>
  <c r="F24" i="62" l="1"/>
  <c r="D14" i="62"/>
  <c r="Q14" i="62" s="1"/>
  <c r="F26" i="62"/>
  <c r="F25" i="62"/>
  <c r="H14" i="62"/>
  <c r="E14" i="62" s="1"/>
  <c r="D36" i="62"/>
  <c r="Q24" i="62"/>
  <c r="Q36" i="62" s="1"/>
  <c r="E17" i="62"/>
  <c r="Q20" i="62"/>
  <c r="C72" i="67" s="1"/>
  <c r="E12" i="62"/>
  <c r="E16" i="62"/>
  <c r="E9" i="62"/>
  <c r="E18" i="62"/>
  <c r="E13" i="62"/>
  <c r="E15" i="62"/>
  <c r="E10" i="62"/>
  <c r="E11" i="62"/>
  <c r="E19" i="62"/>
  <c r="E8" i="62"/>
  <c r="Q8" i="62"/>
  <c r="Q21" i="62" s="1"/>
  <c r="D20" i="62"/>
  <c r="D8" i="33"/>
  <c r="D10" i="33" s="1"/>
  <c r="D12" i="33" s="1"/>
  <c r="D14" i="33" s="1"/>
  <c r="D16" i="33" s="1"/>
  <c r="D18" i="33" s="1"/>
  <c r="D20" i="33" s="1"/>
  <c r="D22" i="33" s="1"/>
  <c r="D24" i="33" s="1"/>
  <c r="D26" i="33" s="1"/>
  <c r="D28" i="33" s="1"/>
  <c r="D9" i="33"/>
  <c r="D11" i="33" s="1"/>
  <c r="D13" i="33" s="1"/>
  <c r="D15" i="33" s="1"/>
  <c r="D17" i="33" s="1"/>
  <c r="D19" i="33" s="1"/>
  <c r="D21" i="33" s="1"/>
  <c r="D23" i="33" s="1"/>
  <c r="D25" i="33" s="1"/>
  <c r="D27" i="33" s="1"/>
  <c r="D29" i="33" s="1"/>
  <c r="F27" i="62" l="1"/>
  <c r="A18" i="48"/>
  <c r="G2" i="46"/>
  <c r="D3" i="48" s="1"/>
  <c r="G2" i="47" l="1"/>
  <c r="H21" i="2"/>
  <c r="I21" i="2" s="1"/>
  <c r="J21" i="2" s="1"/>
  <c r="K21" i="2" s="1"/>
  <c r="L21" i="2" s="1"/>
  <c r="M21" i="2" s="1"/>
  <c r="N21" i="2" s="1"/>
  <c r="O21" i="2" s="1"/>
  <c r="P21" i="2" s="1"/>
  <c r="Q21" i="2" s="1"/>
  <c r="F28" i="62" l="1"/>
  <c r="F29" i="62"/>
  <c r="BH20" i="8"/>
  <c r="BH19" i="8"/>
  <c r="BH18" i="8"/>
  <c r="BH17" i="8"/>
  <c r="BH16" i="8"/>
  <c r="BH15" i="8"/>
  <c r="BH14" i="8"/>
  <c r="BH13" i="8"/>
  <c r="BH12" i="8"/>
  <c r="BH11" i="8"/>
  <c r="BH10" i="8"/>
  <c r="BH9" i="8"/>
  <c r="T15" i="30"/>
  <c r="U15" i="30" s="1"/>
  <c r="T16" i="30"/>
  <c r="U16" i="30" s="1"/>
  <c r="T17" i="30"/>
  <c r="U17" i="30" s="1"/>
  <c r="T18" i="30"/>
  <c r="U18" i="30" s="1"/>
  <c r="T19" i="30"/>
  <c r="U19" i="30" s="1"/>
  <c r="T20" i="30"/>
  <c r="U20" i="30" s="1"/>
  <c r="F30" i="62" l="1"/>
  <c r="M10" i="8"/>
  <c r="N10" i="8"/>
  <c r="O10" i="8"/>
  <c r="P10" i="8"/>
  <c r="Q10" i="8"/>
  <c r="M11" i="8"/>
  <c r="N11" i="8"/>
  <c r="O11" i="8"/>
  <c r="P11" i="8"/>
  <c r="Q11" i="8"/>
  <c r="M12" i="8"/>
  <c r="N12" i="8"/>
  <c r="O12" i="8"/>
  <c r="P12" i="8"/>
  <c r="Q12" i="8"/>
  <c r="M13" i="8"/>
  <c r="N13" i="8"/>
  <c r="O13" i="8"/>
  <c r="P13" i="8"/>
  <c r="Q13" i="8"/>
  <c r="M14" i="8"/>
  <c r="N14" i="8"/>
  <c r="O14" i="8"/>
  <c r="P14" i="8"/>
  <c r="Q14" i="8"/>
  <c r="M15" i="8"/>
  <c r="N15" i="8"/>
  <c r="O15" i="8"/>
  <c r="P15" i="8"/>
  <c r="Q15" i="8"/>
  <c r="M16" i="8"/>
  <c r="N16" i="8"/>
  <c r="O16" i="8"/>
  <c r="P16" i="8"/>
  <c r="Q16" i="8"/>
  <c r="M17" i="8"/>
  <c r="N17" i="8"/>
  <c r="O17" i="8"/>
  <c r="P17" i="8"/>
  <c r="Q17" i="8"/>
  <c r="M18" i="8"/>
  <c r="N18" i="8"/>
  <c r="O18" i="8"/>
  <c r="P18" i="8"/>
  <c r="Q18" i="8"/>
  <c r="M19" i="8"/>
  <c r="N19" i="8"/>
  <c r="O19" i="8"/>
  <c r="P19" i="8"/>
  <c r="Q19" i="8"/>
  <c r="M20" i="8"/>
  <c r="N20" i="8"/>
  <c r="O20" i="8"/>
  <c r="P20" i="8"/>
  <c r="Q20" i="8"/>
  <c r="F31" i="62" l="1"/>
  <c r="D13" i="41"/>
  <c r="E13" i="41" s="1"/>
  <c r="I129" i="36"/>
  <c r="I128" i="36"/>
  <c r="I132" i="36"/>
  <c r="I131" i="36"/>
  <c r="I130" i="36"/>
  <c r="I119" i="36"/>
  <c r="I118" i="36"/>
  <c r="I121" i="36"/>
  <c r="I120" i="36"/>
  <c r="I117" i="36"/>
  <c r="I107" i="36"/>
  <c r="I106" i="36"/>
  <c r="I110" i="36"/>
  <c r="I109" i="36"/>
  <c r="I108" i="36"/>
  <c r="I98" i="36"/>
  <c r="I97" i="36"/>
  <c r="I99" i="36"/>
  <c r="I96" i="36"/>
  <c r="I95" i="36"/>
  <c r="I87" i="36"/>
  <c r="I86" i="36"/>
  <c r="I88" i="36"/>
  <c r="I85" i="36"/>
  <c r="I84" i="36"/>
  <c r="I75" i="36"/>
  <c r="I74" i="36"/>
  <c r="I77" i="36"/>
  <c r="I76" i="36"/>
  <c r="I73" i="36"/>
  <c r="I64" i="36"/>
  <c r="I63" i="36"/>
  <c r="I66" i="36"/>
  <c r="I65" i="36"/>
  <c r="I62" i="36"/>
  <c r="I54" i="36"/>
  <c r="I53" i="36"/>
  <c r="I55" i="36"/>
  <c r="I52" i="36"/>
  <c r="I51" i="36"/>
  <c r="I41" i="36"/>
  <c r="I40" i="36"/>
  <c r="I44" i="36"/>
  <c r="I43" i="36"/>
  <c r="I42" i="36"/>
  <c r="I31" i="36"/>
  <c r="I30" i="36"/>
  <c r="I33" i="36"/>
  <c r="I32" i="36"/>
  <c r="K29" i="36"/>
  <c r="I29" i="36"/>
  <c r="I20" i="36"/>
  <c r="D20" i="36"/>
  <c r="I19" i="36"/>
  <c r="I23" i="36"/>
  <c r="D23" i="36"/>
  <c r="I22" i="36"/>
  <c r="F22" i="36"/>
  <c r="D22" i="36"/>
  <c r="D33" i="36" s="1"/>
  <c r="D44" i="36" s="1"/>
  <c r="D55" i="36" s="1"/>
  <c r="D66" i="36" s="1"/>
  <c r="D77" i="36" s="1"/>
  <c r="D88" i="36" s="1"/>
  <c r="D99" i="36" s="1"/>
  <c r="D110" i="36" s="1"/>
  <c r="D121" i="36" s="1"/>
  <c r="D132" i="36" s="1"/>
  <c r="I21" i="36"/>
  <c r="D21" i="36"/>
  <c r="D32" i="36" s="1"/>
  <c r="D43" i="36" s="1"/>
  <c r="D54" i="36" s="1"/>
  <c r="D65" i="36" s="1"/>
  <c r="D76" i="36" s="1"/>
  <c r="D87" i="36" s="1"/>
  <c r="D98" i="36" s="1"/>
  <c r="D109" i="36" s="1"/>
  <c r="D120" i="36" s="1"/>
  <c r="D131" i="36" s="1"/>
  <c r="F32" i="62" l="1"/>
  <c r="H23" i="36"/>
  <c r="D34" i="36"/>
  <c r="D45" i="36" s="1"/>
  <c r="D56" i="36" s="1"/>
  <c r="D67" i="36" s="1"/>
  <c r="D78" i="36" s="1"/>
  <c r="D89" i="36" s="1"/>
  <c r="D100" i="36" s="1"/>
  <c r="D111" i="36" s="1"/>
  <c r="D122" i="36" s="1"/>
  <c r="D133" i="36" s="1"/>
  <c r="E23" i="36"/>
  <c r="K32" i="36"/>
  <c r="H20" i="36"/>
  <c r="D31" i="36"/>
  <c r="K31" i="36" s="1"/>
  <c r="K21" i="36"/>
  <c r="E20" i="36"/>
  <c r="K52" i="36"/>
  <c r="H33" i="36"/>
  <c r="F33" i="36"/>
  <c r="E33" i="36"/>
  <c r="K13" i="41"/>
  <c r="H13" i="41"/>
  <c r="J13" i="41"/>
  <c r="F13" i="41"/>
  <c r="K54" i="36"/>
  <c r="K40" i="36"/>
  <c r="K43" i="36"/>
  <c r="K33" i="36"/>
  <c r="K19" i="36"/>
  <c r="F20" i="36"/>
  <c r="K20" i="36"/>
  <c r="K22" i="36"/>
  <c r="F23" i="36"/>
  <c r="H22" i="36"/>
  <c r="K23" i="36"/>
  <c r="E22" i="36"/>
  <c r="F33" i="62" l="1"/>
  <c r="F31" i="36"/>
  <c r="E31" i="36"/>
  <c r="D42" i="36"/>
  <c r="H31" i="36"/>
  <c r="K44" i="36"/>
  <c r="K30" i="36"/>
  <c r="K41" i="36"/>
  <c r="F44" i="36"/>
  <c r="E42" i="36"/>
  <c r="K42" i="36"/>
  <c r="H44" i="36"/>
  <c r="E44" i="36"/>
  <c r="E13" i="40"/>
  <c r="E19" i="40" s="1"/>
  <c r="E25" i="40" s="1"/>
  <c r="E31" i="40" s="1"/>
  <c r="E37" i="40" s="1"/>
  <c r="E43" i="40" s="1"/>
  <c r="E49" i="40" s="1"/>
  <c r="E55" i="40" s="1"/>
  <c r="E61" i="40" s="1"/>
  <c r="E67" i="40" s="1"/>
  <c r="E73" i="40" s="1"/>
  <c r="F13" i="40"/>
  <c r="F19" i="40" s="1"/>
  <c r="F25" i="40" s="1"/>
  <c r="F31" i="40" s="1"/>
  <c r="F37" i="40" s="1"/>
  <c r="F43" i="40" s="1"/>
  <c r="F49" i="40" s="1"/>
  <c r="F55" i="40" s="1"/>
  <c r="F61" i="40" s="1"/>
  <c r="F67" i="40" s="1"/>
  <c r="F73" i="40" s="1"/>
  <c r="E14" i="40"/>
  <c r="E20" i="40" s="1"/>
  <c r="E26" i="40" s="1"/>
  <c r="E32" i="40" s="1"/>
  <c r="E38" i="40" s="1"/>
  <c r="E44" i="40" s="1"/>
  <c r="E50" i="40" s="1"/>
  <c r="E56" i="40" s="1"/>
  <c r="E62" i="40" s="1"/>
  <c r="E68" i="40" s="1"/>
  <c r="E74" i="40" s="1"/>
  <c r="F14" i="40"/>
  <c r="F20" i="40" s="1"/>
  <c r="F26" i="40" s="1"/>
  <c r="F32" i="40" s="1"/>
  <c r="F38" i="40" s="1"/>
  <c r="F44" i="40" s="1"/>
  <c r="F50" i="40" s="1"/>
  <c r="F56" i="40" s="1"/>
  <c r="F62" i="40" s="1"/>
  <c r="F68" i="40" s="1"/>
  <c r="F74" i="40" s="1"/>
  <c r="E15" i="40"/>
  <c r="E21" i="40" s="1"/>
  <c r="E27" i="40" s="1"/>
  <c r="E33" i="40" s="1"/>
  <c r="E39" i="40" s="1"/>
  <c r="E45" i="40" s="1"/>
  <c r="E51" i="40" s="1"/>
  <c r="E57" i="40" s="1"/>
  <c r="E63" i="40" s="1"/>
  <c r="E69" i="40" s="1"/>
  <c r="E75" i="40" s="1"/>
  <c r="F15" i="40"/>
  <c r="F21" i="40" s="1"/>
  <c r="F27" i="40" s="1"/>
  <c r="F33" i="40" s="1"/>
  <c r="F39" i="40" s="1"/>
  <c r="F45" i="40" s="1"/>
  <c r="F51" i="40" s="1"/>
  <c r="F57" i="40" s="1"/>
  <c r="F63" i="40" s="1"/>
  <c r="F69" i="40" s="1"/>
  <c r="F75" i="40" s="1"/>
  <c r="E16" i="40"/>
  <c r="E22" i="40" s="1"/>
  <c r="E28" i="40" s="1"/>
  <c r="E34" i="40" s="1"/>
  <c r="E40" i="40" s="1"/>
  <c r="E46" i="40" s="1"/>
  <c r="E52" i="40" s="1"/>
  <c r="E58" i="40" s="1"/>
  <c r="E64" i="40" s="1"/>
  <c r="E70" i="40" s="1"/>
  <c r="E76" i="40" s="1"/>
  <c r="F16" i="40"/>
  <c r="F22" i="40" s="1"/>
  <c r="F28" i="40" s="1"/>
  <c r="F34" i="40" s="1"/>
  <c r="F40" i="40" s="1"/>
  <c r="F46" i="40" s="1"/>
  <c r="F52" i="40" s="1"/>
  <c r="F58" i="40" s="1"/>
  <c r="F64" i="40" s="1"/>
  <c r="F70" i="40" s="1"/>
  <c r="F76" i="40" s="1"/>
  <c r="F12" i="40"/>
  <c r="F18" i="40" s="1"/>
  <c r="F24" i="40" s="1"/>
  <c r="F30" i="40" s="1"/>
  <c r="F36" i="40" s="1"/>
  <c r="F42" i="40" s="1"/>
  <c r="F48" i="40" s="1"/>
  <c r="F54" i="40" s="1"/>
  <c r="F60" i="40" s="1"/>
  <c r="F66" i="40" s="1"/>
  <c r="F72" i="40" s="1"/>
  <c r="F20" i="37"/>
  <c r="F26" i="37" s="1"/>
  <c r="F32" i="37" s="1"/>
  <c r="F38" i="37" s="1"/>
  <c r="F44" i="37" s="1"/>
  <c r="F50" i="37" s="1"/>
  <c r="F56" i="37" s="1"/>
  <c r="F62" i="37" s="1"/>
  <c r="F68" i="37" s="1"/>
  <c r="F74" i="37" s="1"/>
  <c r="E20" i="37"/>
  <c r="E26" i="37" s="1"/>
  <c r="E32" i="37" s="1"/>
  <c r="E38" i="37" s="1"/>
  <c r="E44" i="37" s="1"/>
  <c r="E50" i="37" s="1"/>
  <c r="E56" i="37" s="1"/>
  <c r="E62" i="37" s="1"/>
  <c r="E68" i="37" s="1"/>
  <c r="E74" i="37" s="1"/>
  <c r="F19" i="37"/>
  <c r="F25" i="37" s="1"/>
  <c r="F31" i="37" s="1"/>
  <c r="F37" i="37" s="1"/>
  <c r="F43" i="37" s="1"/>
  <c r="F49" i="37" s="1"/>
  <c r="F55" i="37" s="1"/>
  <c r="F61" i="37" s="1"/>
  <c r="F67" i="37" s="1"/>
  <c r="F73" i="37" s="1"/>
  <c r="E13" i="37"/>
  <c r="E19" i="37" s="1"/>
  <c r="E25" i="37" s="1"/>
  <c r="E31" i="37" s="1"/>
  <c r="E37" i="37" s="1"/>
  <c r="E43" i="37" s="1"/>
  <c r="E49" i="37" s="1"/>
  <c r="E55" i="37" s="1"/>
  <c r="E61" i="37" s="1"/>
  <c r="E67" i="37" s="1"/>
  <c r="E73" i="37" s="1"/>
  <c r="F13" i="37"/>
  <c r="E14" i="37"/>
  <c r="F14" i="37"/>
  <c r="E15" i="37"/>
  <c r="E21" i="37" s="1"/>
  <c r="E27" i="37" s="1"/>
  <c r="E33" i="37" s="1"/>
  <c r="E39" i="37" s="1"/>
  <c r="E45" i="37" s="1"/>
  <c r="E51" i="37" s="1"/>
  <c r="E57" i="37" s="1"/>
  <c r="E63" i="37" s="1"/>
  <c r="E69" i="37" s="1"/>
  <c r="E75" i="37" s="1"/>
  <c r="F15" i="37"/>
  <c r="F21" i="37" s="1"/>
  <c r="F27" i="37" s="1"/>
  <c r="F33" i="37" s="1"/>
  <c r="F39" i="37" s="1"/>
  <c r="F45" i="37" s="1"/>
  <c r="F51" i="37" s="1"/>
  <c r="F57" i="37" s="1"/>
  <c r="F63" i="37" s="1"/>
  <c r="F69" i="37" s="1"/>
  <c r="F75" i="37" s="1"/>
  <c r="E16" i="37"/>
  <c r="E22" i="37" s="1"/>
  <c r="E28" i="37" s="1"/>
  <c r="E34" i="37" s="1"/>
  <c r="E40" i="37" s="1"/>
  <c r="E46" i="37" s="1"/>
  <c r="E52" i="37" s="1"/>
  <c r="E58" i="37" s="1"/>
  <c r="E64" i="37" s="1"/>
  <c r="E70" i="37" s="1"/>
  <c r="E76" i="37" s="1"/>
  <c r="F16" i="37"/>
  <c r="F22" i="37" s="1"/>
  <c r="F28" i="37" s="1"/>
  <c r="F34" i="37" s="1"/>
  <c r="F40" i="37" s="1"/>
  <c r="F46" i="37" s="1"/>
  <c r="F52" i="37" s="1"/>
  <c r="F58" i="37" s="1"/>
  <c r="F64" i="37" s="1"/>
  <c r="F70" i="37" s="1"/>
  <c r="F76" i="37" s="1"/>
  <c r="F12" i="37"/>
  <c r="F18" i="37" s="1"/>
  <c r="F24" i="37" s="1"/>
  <c r="F30" i="37" s="1"/>
  <c r="F36" i="37" s="1"/>
  <c r="F42" i="37" s="1"/>
  <c r="F48" i="37" s="1"/>
  <c r="F54" i="37" s="1"/>
  <c r="F60" i="37" s="1"/>
  <c r="F66" i="37" s="1"/>
  <c r="F72" i="37" s="1"/>
  <c r="F35" i="62" l="1"/>
  <c r="F34" i="62"/>
  <c r="D53" i="36"/>
  <c r="D64" i="36" s="1"/>
  <c r="D75" i="36" s="1"/>
  <c r="D86" i="36" s="1"/>
  <c r="D97" i="36" s="1"/>
  <c r="D108" i="36" s="1"/>
  <c r="D119" i="36" s="1"/>
  <c r="D130" i="36" s="1"/>
  <c r="H42" i="36"/>
  <c r="F42" i="36"/>
  <c r="K63" i="36"/>
  <c r="H55" i="36"/>
  <c r="E55" i="36"/>
  <c r="F55" i="36"/>
  <c r="K55" i="36"/>
  <c r="K65" i="36"/>
  <c r="F53" i="36"/>
  <c r="H53" i="36"/>
  <c r="K51" i="36"/>
  <c r="T10" i="30"/>
  <c r="U10" i="30" s="1"/>
  <c r="T11" i="30"/>
  <c r="U11" i="30" s="1"/>
  <c r="T12" i="30"/>
  <c r="U12" i="30" s="1"/>
  <c r="T13" i="30"/>
  <c r="U13" i="30" s="1"/>
  <c r="T14" i="30"/>
  <c r="U14" i="30" s="1"/>
  <c r="F36" i="62" l="1"/>
  <c r="E53" i="36"/>
  <c r="K53" i="36"/>
  <c r="K74" i="36"/>
  <c r="K62" i="36"/>
  <c r="K76" i="36"/>
  <c r="H66" i="36"/>
  <c r="E66" i="36"/>
  <c r="F66" i="36"/>
  <c r="K66" i="36"/>
  <c r="H64" i="36"/>
  <c r="E64" i="36"/>
  <c r="K64" i="36"/>
  <c r="F64" i="36"/>
  <c r="E20" i="62" l="1"/>
  <c r="F38" i="62" s="1"/>
  <c r="H77" i="36"/>
  <c r="E77" i="36"/>
  <c r="F77" i="36"/>
  <c r="K77" i="36"/>
  <c r="K87" i="36"/>
  <c r="K73" i="36"/>
  <c r="K85" i="36"/>
  <c r="H75" i="36"/>
  <c r="E75" i="36"/>
  <c r="K75" i="36"/>
  <c r="F75" i="36"/>
  <c r="C37" i="45" l="1"/>
  <c r="G37" i="45" s="1"/>
  <c r="J29" i="34"/>
  <c r="C37" i="35" s="1"/>
  <c r="G37" i="35" s="1"/>
  <c r="W37" i="43"/>
  <c r="J29" i="66"/>
  <c r="K98" i="36"/>
  <c r="K96" i="36"/>
  <c r="H88" i="36"/>
  <c r="E88" i="36"/>
  <c r="F88" i="36"/>
  <c r="K88" i="36"/>
  <c r="K84" i="36"/>
  <c r="K86" i="36"/>
  <c r="F86" i="36"/>
  <c r="H86" i="36"/>
  <c r="E86" i="36"/>
  <c r="CO68" i="3"/>
  <c r="CO3" i="3" s="1"/>
  <c r="C49" i="67" s="1"/>
  <c r="CO69" i="3"/>
  <c r="CO70" i="3"/>
  <c r="CO71" i="3"/>
  <c r="CO72" i="3"/>
  <c r="CO73" i="3"/>
  <c r="CO74" i="3"/>
  <c r="CO75" i="3"/>
  <c r="CO76" i="3"/>
  <c r="CO77" i="3"/>
  <c r="CO78" i="3"/>
  <c r="CO79" i="3"/>
  <c r="CO80" i="3"/>
  <c r="CO81" i="3"/>
  <c r="CO82" i="3"/>
  <c r="CO83" i="3"/>
  <c r="CO84" i="3"/>
  <c r="CO85" i="3"/>
  <c r="CO86" i="3"/>
  <c r="CO87" i="3"/>
  <c r="CO88" i="3"/>
  <c r="CO89" i="3"/>
  <c r="CO90" i="3"/>
  <c r="CO91" i="3"/>
  <c r="CO92" i="3"/>
  <c r="CO93" i="3"/>
  <c r="CO94" i="3"/>
  <c r="CO95" i="3"/>
  <c r="CO96" i="3"/>
  <c r="CO97" i="3"/>
  <c r="CO98" i="3"/>
  <c r="CO99" i="3"/>
  <c r="CO100" i="3"/>
  <c r="CO101" i="3"/>
  <c r="CO102" i="3"/>
  <c r="CO103" i="3"/>
  <c r="CO104" i="3"/>
  <c r="CO105" i="3"/>
  <c r="CO106" i="3"/>
  <c r="C35" i="46" l="1"/>
  <c r="G36" i="46"/>
  <c r="C52" i="47" s="1"/>
  <c r="K95" i="36"/>
  <c r="K109" i="36"/>
  <c r="K107" i="36"/>
  <c r="F97" i="36"/>
  <c r="K97" i="36"/>
  <c r="E97" i="36"/>
  <c r="H97" i="36"/>
  <c r="H99" i="36"/>
  <c r="E99" i="36"/>
  <c r="F99" i="36"/>
  <c r="K99" i="36"/>
  <c r="AP105" i="3"/>
  <c r="K118" i="36" l="1"/>
  <c r="K106" i="36"/>
  <c r="K120" i="36"/>
  <c r="H110" i="36"/>
  <c r="F110" i="36"/>
  <c r="E110" i="36"/>
  <c r="K110" i="36"/>
  <c r="K108" i="36"/>
  <c r="H108" i="36"/>
  <c r="F108" i="36"/>
  <c r="E108" i="36"/>
  <c r="I6" i="41"/>
  <c r="M6" i="40"/>
  <c r="H121" i="36" l="1"/>
  <c r="E121" i="36"/>
  <c r="K121" i="36"/>
  <c r="F121" i="36"/>
  <c r="K131" i="36"/>
  <c r="K117" i="36"/>
  <c r="K129" i="36"/>
  <c r="H119" i="36"/>
  <c r="F119" i="36"/>
  <c r="E119" i="36"/>
  <c r="K119" i="36"/>
  <c r="I49" i="41"/>
  <c r="I61" i="41"/>
  <c r="I43" i="41"/>
  <c r="I31" i="41"/>
  <c r="I37" i="41"/>
  <c r="I13" i="41"/>
  <c r="I19" i="41"/>
  <c r="K128" i="36" l="1"/>
  <c r="H132" i="36"/>
  <c r="F132" i="36"/>
  <c r="E132" i="36"/>
  <c r="K132" i="36"/>
  <c r="K130" i="36"/>
  <c r="E130" i="36"/>
  <c r="H130" i="36"/>
  <c r="F130" i="36"/>
  <c r="T9" i="30"/>
  <c r="U9" i="30" s="1"/>
  <c r="M84" i="40" l="1"/>
  <c r="M85" i="40"/>
  <c r="M86" i="40"/>
  <c r="M87" i="40"/>
  <c r="M88" i="40"/>
  <c r="M83" i="40"/>
  <c r="M88" i="37"/>
  <c r="M84" i="37"/>
  <c r="M85" i="37"/>
  <c r="M86" i="37"/>
  <c r="M87" i="37"/>
  <c r="M83" i="37"/>
  <c r="S5" i="2" l="1"/>
  <c r="D6" i="2" s="1"/>
  <c r="G2" i="41" l="1"/>
  <c r="I2" i="37" l="1"/>
  <c r="X2" i="7"/>
  <c r="G2" i="33"/>
  <c r="G2" i="39"/>
  <c r="L2" i="5"/>
  <c r="U3" i="3"/>
  <c r="Z2" i="6"/>
  <c r="AR2" i="8"/>
  <c r="G2" i="36"/>
  <c r="N2" i="32"/>
  <c r="L2" i="4"/>
  <c r="G2" i="38"/>
  <c r="I2" i="40"/>
  <c r="S17" i="2"/>
  <c r="A36" i="66" s="1"/>
  <c r="V1" i="43" l="1"/>
  <c r="A10" i="35"/>
  <c r="A36" i="34"/>
  <c r="A9" i="35"/>
  <c r="A11" i="35"/>
  <c r="H1" i="45"/>
  <c r="E39" i="45"/>
  <c r="S9" i="30"/>
  <c r="W11" i="43" l="1"/>
  <c r="W12" i="43"/>
  <c r="K37" i="43"/>
  <c r="K35" i="43"/>
  <c r="K33" i="43"/>
  <c r="K29" i="43"/>
  <c r="K25" i="43"/>
  <c r="K23" i="43"/>
  <c r="K22" i="43"/>
  <c r="K24" i="43" s="1"/>
  <c r="K26" i="43" s="1"/>
  <c r="K31" i="43"/>
  <c r="K27" i="43"/>
  <c r="F37" i="43"/>
  <c r="F35" i="43"/>
  <c r="F33" i="43"/>
  <c r="F31" i="43"/>
  <c r="F29" i="43"/>
  <c r="F27" i="43"/>
  <c r="F25" i="43"/>
  <c r="F23" i="43"/>
  <c r="N8" i="43"/>
  <c r="O12" i="43"/>
  <c r="N11" i="43"/>
  <c r="N10" i="43"/>
  <c r="U1" i="43"/>
  <c r="C10" i="48"/>
  <c r="C14" i="48"/>
  <c r="F11" i="46"/>
  <c r="H1" i="46"/>
  <c r="E21" i="46" s="1"/>
  <c r="F7" i="46"/>
  <c r="F12" i="47"/>
  <c r="F12" i="46"/>
  <c r="F10" i="46"/>
  <c r="F10" i="47"/>
  <c r="F27" i="2"/>
  <c r="B15" i="45"/>
  <c r="H1" i="47" l="1"/>
  <c r="D1" i="48" s="1"/>
  <c r="E22" i="46"/>
  <c r="E26" i="46"/>
  <c r="E33" i="47" s="1"/>
  <c r="E36" i="46"/>
  <c r="E53" i="47" s="1"/>
  <c r="G53" i="47" s="1"/>
  <c r="E34" i="46"/>
  <c r="E49" i="47" s="1"/>
  <c r="E32" i="46"/>
  <c r="E45" i="47" s="1"/>
  <c r="E30" i="46"/>
  <c r="E41" i="47" s="1"/>
  <c r="E28" i="46"/>
  <c r="E37" i="47" s="1"/>
  <c r="E24" i="46"/>
  <c r="E29" i="47" s="1"/>
  <c r="B15" i="43"/>
  <c r="AF18" i="65"/>
  <c r="K28" i="43"/>
  <c r="K30" i="43" s="1"/>
  <c r="K32" i="43" s="1"/>
  <c r="K34" i="43" s="1"/>
  <c r="K36" i="43" s="1"/>
  <c r="K38" i="43" s="1"/>
  <c r="F39" i="43"/>
  <c r="K39" i="43"/>
  <c r="P37" i="43"/>
  <c r="P35" i="43"/>
  <c r="R9" i="30"/>
  <c r="Z7" i="53"/>
  <c r="P31" i="43"/>
  <c r="U31" i="43" s="1"/>
  <c r="P29" i="43"/>
  <c r="U29" i="43" s="1"/>
  <c r="P33" i="43"/>
  <c r="U33" i="43" s="1"/>
  <c r="C13" i="48"/>
  <c r="C15" i="48"/>
  <c r="P27" i="43"/>
  <c r="U27" i="43" s="1"/>
  <c r="P23" i="43"/>
  <c r="U23" i="43" s="1"/>
  <c r="P25" i="43"/>
  <c r="U25" i="43" s="1"/>
  <c r="Z1" i="5"/>
  <c r="J5" i="2"/>
  <c r="F23" i="2"/>
  <c r="E23" i="46" l="1"/>
  <c r="E31" i="46"/>
  <c r="E42" i="47" s="1"/>
  <c r="E22" i="47"/>
  <c r="E29" i="46"/>
  <c r="E38" i="47" s="1"/>
  <c r="E54" i="47" s="1"/>
  <c r="E27" i="46"/>
  <c r="E34" i="47" s="1"/>
  <c r="E37" i="46"/>
  <c r="E46" i="47" s="1"/>
  <c r="A23" i="48"/>
  <c r="E25" i="46"/>
  <c r="E25" i="47"/>
  <c r="E38" i="46"/>
  <c r="U35" i="43"/>
  <c r="P39" i="43"/>
  <c r="H19" i="43" s="1"/>
  <c r="AJ7" i="53"/>
  <c r="AM7" i="53" s="1"/>
  <c r="AG7" i="53"/>
  <c r="O7" i="53" s="1"/>
  <c r="S10" i="30"/>
  <c r="C10" i="8"/>
  <c r="D10" i="8"/>
  <c r="E10" i="8"/>
  <c r="F10" i="8"/>
  <c r="G10" i="8"/>
  <c r="C11" i="8"/>
  <c r="D11" i="8"/>
  <c r="E11" i="8"/>
  <c r="F11" i="8"/>
  <c r="G11" i="8"/>
  <c r="C12" i="8"/>
  <c r="D12" i="8"/>
  <c r="E12" i="8"/>
  <c r="F12" i="8"/>
  <c r="G12" i="8"/>
  <c r="C13" i="8"/>
  <c r="D13" i="8"/>
  <c r="E13" i="8"/>
  <c r="F13" i="8"/>
  <c r="G13" i="8"/>
  <c r="C14" i="8"/>
  <c r="D14" i="8"/>
  <c r="E14" i="8"/>
  <c r="F14" i="8"/>
  <c r="G14" i="8"/>
  <c r="C15" i="8"/>
  <c r="D15" i="8"/>
  <c r="E15" i="8"/>
  <c r="F15" i="8"/>
  <c r="G15" i="8"/>
  <c r="C16" i="8"/>
  <c r="D16" i="8"/>
  <c r="E16" i="8"/>
  <c r="F16" i="8"/>
  <c r="G16" i="8"/>
  <c r="C17" i="8"/>
  <c r="D17" i="8"/>
  <c r="E17" i="8"/>
  <c r="F17" i="8"/>
  <c r="G17" i="8"/>
  <c r="C18" i="8"/>
  <c r="D18" i="8"/>
  <c r="E18" i="8"/>
  <c r="F18" i="8"/>
  <c r="G18" i="8"/>
  <c r="C19" i="8"/>
  <c r="D19" i="8"/>
  <c r="E19" i="8"/>
  <c r="F19" i="8"/>
  <c r="G19" i="8"/>
  <c r="C20" i="8"/>
  <c r="D20" i="8"/>
  <c r="E20" i="8"/>
  <c r="F20" i="8"/>
  <c r="G20" i="8"/>
  <c r="B23" i="48" l="1"/>
  <c r="E57" i="47"/>
  <c r="E35" i="46"/>
  <c r="E50" i="47" s="1"/>
  <c r="E30" i="47"/>
  <c r="E26" i="47"/>
  <c r="E33" i="46"/>
  <c r="G27" i="2"/>
  <c r="U39" i="43"/>
  <c r="S11" i="30"/>
  <c r="Z8" i="53" l="1"/>
  <c r="AG18" i="65"/>
  <c r="H27" i="2"/>
  <c r="AH18" i="65" s="1"/>
  <c r="R10" i="30"/>
  <c r="S12" i="30"/>
  <c r="K11" i="5"/>
  <c r="K12" i="5"/>
  <c r="K13" i="5"/>
  <c r="K14" i="5"/>
  <c r="K15" i="5"/>
  <c r="K16" i="5"/>
  <c r="K17" i="5"/>
  <c r="K18" i="5"/>
  <c r="K19" i="5"/>
  <c r="K20" i="5"/>
  <c r="K21" i="5"/>
  <c r="S11" i="5"/>
  <c r="S12" i="5" s="1"/>
  <c r="S13" i="5" s="1"/>
  <c r="S14" i="5" s="1"/>
  <c r="S15" i="5" s="1"/>
  <c r="S16" i="5" s="1"/>
  <c r="S17" i="5" s="1"/>
  <c r="S18" i="5" s="1"/>
  <c r="S19" i="5" s="1"/>
  <c r="S20" i="5" s="1"/>
  <c r="S21" i="5" s="1"/>
  <c r="R11" i="30" l="1"/>
  <c r="Z9" i="53"/>
  <c r="I27" i="2"/>
  <c r="AI18" i="65" s="1"/>
  <c r="AG8" i="53"/>
  <c r="O8" i="53" s="1"/>
  <c r="AJ8" i="53"/>
  <c r="AM8" i="53" s="1"/>
  <c r="S13" i="30"/>
  <c r="R12" i="30" l="1"/>
  <c r="Z10" i="53"/>
  <c r="J27" i="2"/>
  <c r="AJ18" i="65" s="1"/>
  <c r="AJ9" i="53"/>
  <c r="AM9" i="53" s="1"/>
  <c r="AG9" i="53"/>
  <c r="O9" i="53" s="1"/>
  <c r="S14" i="30"/>
  <c r="I42" i="33"/>
  <c r="I41" i="33"/>
  <c r="I40" i="33"/>
  <c r="I39" i="33"/>
  <c r="I38" i="33"/>
  <c r="I37" i="33"/>
  <c r="I43" i="38"/>
  <c r="I42" i="38"/>
  <c r="I41" i="38"/>
  <c r="I40" i="38"/>
  <c r="I39" i="38"/>
  <c r="I38" i="38"/>
  <c r="I39" i="39"/>
  <c r="I40" i="39"/>
  <c r="I41" i="39"/>
  <c r="I42" i="39"/>
  <c r="I43" i="39"/>
  <c r="I38" i="39"/>
  <c r="G155" i="36"/>
  <c r="G156" i="36"/>
  <c r="G157" i="36"/>
  <c r="G158" i="36"/>
  <c r="G159" i="36"/>
  <c r="G154" i="36"/>
  <c r="G83" i="41"/>
  <c r="G84" i="41"/>
  <c r="G85" i="41"/>
  <c r="G86" i="41"/>
  <c r="G87" i="41"/>
  <c r="G82" i="41"/>
  <c r="R13" i="30" l="1"/>
  <c r="Z11" i="53"/>
  <c r="K27" i="2"/>
  <c r="AK18" i="65" s="1"/>
  <c r="AJ10" i="53"/>
  <c r="AM10" i="53" s="1"/>
  <c r="AG10" i="53"/>
  <c r="O10" i="53" s="1"/>
  <c r="S15" i="30"/>
  <c r="BE7" i="3"/>
  <c r="R14" i="30" l="1"/>
  <c r="Z12" i="53"/>
  <c r="AJ11" i="53"/>
  <c r="AM11" i="53" s="1"/>
  <c r="AG11" i="53"/>
  <c r="O11" i="53" s="1"/>
  <c r="L27" i="2"/>
  <c r="AL18" i="65" s="1"/>
  <c r="AF9" i="8"/>
  <c r="S16" i="30"/>
  <c r="BE8" i="3"/>
  <c r="M27" i="2" l="1"/>
  <c r="AM18" i="65" s="1"/>
  <c r="AJ12" i="53"/>
  <c r="AM12" i="53" s="1"/>
  <c r="AG12" i="53"/>
  <c r="O12" i="53" s="1"/>
  <c r="Z13" i="53"/>
  <c r="R15" i="30"/>
  <c r="J7" i="53"/>
  <c r="S17" i="30"/>
  <c r="AJ13" i="53" l="1"/>
  <c r="AM13" i="53" s="1"/>
  <c r="AG13" i="53"/>
  <c r="O13" i="53" s="1"/>
  <c r="Z14" i="53"/>
  <c r="R16" i="30"/>
  <c r="N27" i="2"/>
  <c r="AN18" i="65" s="1"/>
  <c r="S18" i="30"/>
  <c r="O6" i="37"/>
  <c r="AG14" i="53" l="1"/>
  <c r="O14" i="53" s="1"/>
  <c r="AJ14" i="53"/>
  <c r="AM14" i="53" s="1"/>
  <c r="R17" i="30"/>
  <c r="Z15" i="53"/>
  <c r="O27" i="2"/>
  <c r="AO18" i="65" s="1"/>
  <c r="S19" i="30"/>
  <c r="K9" i="41"/>
  <c r="I64" i="41"/>
  <c r="I63" i="41"/>
  <c r="I62" i="41"/>
  <c r="I59" i="41"/>
  <c r="I58" i="41"/>
  <c r="I57" i="41"/>
  <c r="I56" i="41"/>
  <c r="I54" i="41"/>
  <c r="I53" i="41"/>
  <c r="I52" i="41"/>
  <c r="I51" i="41"/>
  <c r="I48" i="41"/>
  <c r="I47" i="41"/>
  <c r="I46" i="41"/>
  <c r="I44" i="41"/>
  <c r="I42" i="41"/>
  <c r="I41" i="41"/>
  <c r="I39" i="41"/>
  <c r="I38" i="41"/>
  <c r="I36" i="41"/>
  <c r="I34" i="41"/>
  <c r="I33" i="41"/>
  <c r="I32" i="41"/>
  <c r="I29" i="41"/>
  <c r="I28" i="41"/>
  <c r="I27" i="41"/>
  <c r="I26" i="41"/>
  <c r="I24" i="41"/>
  <c r="I23" i="41"/>
  <c r="I22" i="41"/>
  <c r="I21" i="41"/>
  <c r="I18" i="41"/>
  <c r="I17" i="41"/>
  <c r="I16" i="41"/>
  <c r="I14" i="41"/>
  <c r="D14" i="41"/>
  <c r="D19" i="41" s="1"/>
  <c r="I12" i="41"/>
  <c r="D12" i="41"/>
  <c r="L11" i="41"/>
  <c r="L12" i="41" s="1"/>
  <c r="L13" i="41" s="1"/>
  <c r="L14" i="41" s="1"/>
  <c r="I11" i="41"/>
  <c r="D11" i="41"/>
  <c r="D16" i="41" s="1"/>
  <c r="D21" i="41" s="1"/>
  <c r="I9" i="41"/>
  <c r="K8" i="41"/>
  <c r="I8" i="41"/>
  <c r="L7" i="41"/>
  <c r="L8" i="41" s="1"/>
  <c r="L9" i="41" s="1"/>
  <c r="K7" i="41"/>
  <c r="I7" i="41"/>
  <c r="K6" i="41"/>
  <c r="M76" i="40"/>
  <c r="M75" i="40"/>
  <c r="M74" i="40"/>
  <c r="P73" i="40"/>
  <c r="P74" i="40" s="1"/>
  <c r="P75" i="40" s="1"/>
  <c r="P76" i="40" s="1"/>
  <c r="M73" i="40"/>
  <c r="M72" i="40"/>
  <c r="M70" i="40"/>
  <c r="M69" i="40"/>
  <c r="M68" i="40"/>
  <c r="P67" i="40"/>
  <c r="P68" i="40" s="1"/>
  <c r="P69" i="40" s="1"/>
  <c r="P70" i="40" s="1"/>
  <c r="M67" i="40"/>
  <c r="M66" i="40"/>
  <c r="M64" i="40"/>
  <c r="M63" i="40"/>
  <c r="M62" i="40"/>
  <c r="P61" i="40"/>
  <c r="P62" i="40" s="1"/>
  <c r="P63" i="40" s="1"/>
  <c r="P64" i="40" s="1"/>
  <c r="M61" i="40"/>
  <c r="M60" i="40"/>
  <c r="M58" i="40"/>
  <c r="M57" i="40"/>
  <c r="M56" i="40"/>
  <c r="P55" i="40"/>
  <c r="P56" i="40" s="1"/>
  <c r="P57" i="40" s="1"/>
  <c r="P58" i="40" s="1"/>
  <c r="M55" i="40"/>
  <c r="M54" i="40"/>
  <c r="M52" i="40"/>
  <c r="M51" i="40"/>
  <c r="M50" i="40"/>
  <c r="P49" i="40"/>
  <c r="P50" i="40" s="1"/>
  <c r="P51" i="40" s="1"/>
  <c r="P52" i="40" s="1"/>
  <c r="M49" i="40"/>
  <c r="M48" i="40"/>
  <c r="M46" i="40"/>
  <c r="M45" i="40"/>
  <c r="M44" i="40"/>
  <c r="P43" i="40"/>
  <c r="P44" i="40" s="1"/>
  <c r="P45" i="40" s="1"/>
  <c r="P46" i="40" s="1"/>
  <c r="M43" i="40"/>
  <c r="M42" i="40"/>
  <c r="M40" i="40"/>
  <c r="M39" i="40"/>
  <c r="M38" i="40"/>
  <c r="P37" i="40"/>
  <c r="P38" i="40" s="1"/>
  <c r="P39" i="40" s="1"/>
  <c r="P40" i="40" s="1"/>
  <c r="M37" i="40"/>
  <c r="M36" i="40"/>
  <c r="M34" i="40"/>
  <c r="M33" i="40"/>
  <c r="M32" i="40"/>
  <c r="P31" i="40"/>
  <c r="P32" i="40" s="1"/>
  <c r="P33" i="40" s="1"/>
  <c r="P34" i="40" s="1"/>
  <c r="M31" i="40"/>
  <c r="M30" i="40"/>
  <c r="M28" i="40"/>
  <c r="M27" i="40"/>
  <c r="M26" i="40"/>
  <c r="P25" i="40"/>
  <c r="P26" i="40" s="1"/>
  <c r="P27" i="40" s="1"/>
  <c r="P28" i="40" s="1"/>
  <c r="M25" i="40"/>
  <c r="M24" i="40"/>
  <c r="M22" i="40"/>
  <c r="M21" i="40"/>
  <c r="M20" i="40"/>
  <c r="P19" i="40"/>
  <c r="P20" i="40" s="1"/>
  <c r="P21" i="40" s="1"/>
  <c r="P22" i="40" s="1"/>
  <c r="M19" i="40"/>
  <c r="M18" i="40"/>
  <c r="M16" i="40"/>
  <c r="M15" i="40"/>
  <c r="M14" i="40"/>
  <c r="P13" i="40"/>
  <c r="P14" i="40" s="1"/>
  <c r="P15" i="40" s="1"/>
  <c r="P16" i="40" s="1"/>
  <c r="M13" i="40"/>
  <c r="M12" i="40"/>
  <c r="E18" i="40"/>
  <c r="E24" i="40" s="1"/>
  <c r="E30" i="40" s="1"/>
  <c r="E36" i="40" s="1"/>
  <c r="E42" i="40" s="1"/>
  <c r="E48" i="40" s="1"/>
  <c r="E54" i="40" s="1"/>
  <c r="E60" i="40" s="1"/>
  <c r="E66" i="40" s="1"/>
  <c r="E72" i="40" s="1"/>
  <c r="O10" i="40"/>
  <c r="M10" i="40"/>
  <c r="O9" i="40"/>
  <c r="M9" i="40"/>
  <c r="O8" i="40"/>
  <c r="M8" i="40"/>
  <c r="P7" i="40"/>
  <c r="P8" i="40" s="1"/>
  <c r="P9" i="40" s="1"/>
  <c r="P10" i="40" s="1"/>
  <c r="O7" i="40"/>
  <c r="M7" i="40"/>
  <c r="O6" i="40"/>
  <c r="I29" i="39"/>
  <c r="I28" i="39"/>
  <c r="I27" i="39"/>
  <c r="I26" i="39"/>
  <c r="I25" i="39"/>
  <c r="I24" i="39"/>
  <c r="I23" i="39"/>
  <c r="I22" i="39"/>
  <c r="I21" i="39"/>
  <c r="I20" i="39"/>
  <c r="I19" i="39"/>
  <c r="I18" i="39"/>
  <c r="I17" i="39"/>
  <c r="I16" i="39"/>
  <c r="I15" i="39"/>
  <c r="I14" i="39"/>
  <c r="I13" i="39"/>
  <c r="I12" i="39"/>
  <c r="I11" i="39"/>
  <c r="L10" i="39"/>
  <c r="I10" i="39"/>
  <c r="I9" i="39"/>
  <c r="D9" i="39"/>
  <c r="F9" i="39" s="1"/>
  <c r="L8" i="39"/>
  <c r="L9" i="39" s="1"/>
  <c r="I8" i="39"/>
  <c r="K8" i="39"/>
  <c r="L7" i="39"/>
  <c r="K7" i="39"/>
  <c r="I7" i="39"/>
  <c r="F7" i="39"/>
  <c r="E7" i="39"/>
  <c r="K6" i="39"/>
  <c r="I29" i="38"/>
  <c r="I28" i="38"/>
  <c r="I27" i="38"/>
  <c r="I26" i="38"/>
  <c r="I25" i="38"/>
  <c r="I24" i="38"/>
  <c r="I23" i="38"/>
  <c r="I22" i="38"/>
  <c r="I21" i="38"/>
  <c r="I20" i="38"/>
  <c r="I19" i="38"/>
  <c r="I18" i="38"/>
  <c r="I17" i="38"/>
  <c r="I16" i="38"/>
  <c r="I15" i="38"/>
  <c r="I14" i="38"/>
  <c r="I13" i="38"/>
  <c r="I12" i="38"/>
  <c r="I11" i="38"/>
  <c r="I10" i="38"/>
  <c r="I9" i="38"/>
  <c r="D9" i="38"/>
  <c r="L8" i="38"/>
  <c r="L10" i="38" s="1"/>
  <c r="L11" i="38" s="1"/>
  <c r="I8" i="38"/>
  <c r="D8" i="38"/>
  <c r="D10" i="38" s="1"/>
  <c r="L7" i="38"/>
  <c r="K7" i="38"/>
  <c r="I7" i="38"/>
  <c r="F7" i="38"/>
  <c r="E7" i="38"/>
  <c r="K6" i="38"/>
  <c r="R18" i="30" l="1"/>
  <c r="Z16" i="53"/>
  <c r="AJ15" i="53"/>
  <c r="AM15" i="53" s="1"/>
  <c r="AG15" i="53"/>
  <c r="O15" i="53" s="1"/>
  <c r="P27" i="2"/>
  <c r="AP18" i="65" s="1"/>
  <c r="H19" i="41"/>
  <c r="E19" i="41"/>
  <c r="F19" i="41"/>
  <c r="J19" i="41"/>
  <c r="K19" i="41"/>
  <c r="D10" i="39"/>
  <c r="K10" i="39" s="1"/>
  <c r="K11" i="41"/>
  <c r="L9" i="38"/>
  <c r="S20" i="30"/>
  <c r="O15" i="40"/>
  <c r="O14" i="40"/>
  <c r="O12" i="40"/>
  <c r="D17" i="41"/>
  <c r="D22" i="41" s="1"/>
  <c r="D27" i="41" s="1"/>
  <c r="L16" i="41"/>
  <c r="L21" i="41" s="1"/>
  <c r="L26" i="41" s="1"/>
  <c r="L31" i="41" s="1"/>
  <c r="D26" i="41"/>
  <c r="D31" i="41" s="1"/>
  <c r="K21" i="41"/>
  <c r="D24" i="41"/>
  <c r="K12" i="41"/>
  <c r="K16" i="41"/>
  <c r="D18" i="41"/>
  <c r="K14" i="41"/>
  <c r="O20" i="40"/>
  <c r="O21" i="40"/>
  <c r="O18" i="40"/>
  <c r="O13" i="40"/>
  <c r="O16" i="40"/>
  <c r="D11" i="39"/>
  <c r="K9" i="39"/>
  <c r="E9" i="39"/>
  <c r="L11" i="39"/>
  <c r="L12" i="39"/>
  <c r="D11" i="38"/>
  <c r="K9" i="38"/>
  <c r="F9" i="38"/>
  <c r="L12" i="38"/>
  <c r="E9" i="38"/>
  <c r="K10" i="38"/>
  <c r="D12" i="38"/>
  <c r="K8" i="38"/>
  <c r="AG16" i="53" l="1"/>
  <c r="O16" i="53" s="1"/>
  <c r="AJ16" i="53"/>
  <c r="AM16" i="53" s="1"/>
  <c r="R19" i="30"/>
  <c r="Z17" i="53"/>
  <c r="Q27" i="2"/>
  <c r="AQ18" i="65" s="1"/>
  <c r="L17" i="41"/>
  <c r="L18" i="41" s="1"/>
  <c r="L19" i="41" s="1"/>
  <c r="K31" i="41"/>
  <c r="D12" i="39"/>
  <c r="D14" i="39" s="1"/>
  <c r="K17" i="41"/>
  <c r="K22" i="41"/>
  <c r="L22" i="41"/>
  <c r="L23" i="41" s="1"/>
  <c r="L24" i="41" s="1"/>
  <c r="D23" i="41"/>
  <c r="K18" i="41"/>
  <c r="K26" i="41"/>
  <c r="D29" i="41"/>
  <c r="K24" i="41"/>
  <c r="K27" i="41"/>
  <c r="D32" i="41"/>
  <c r="D37" i="41" s="1"/>
  <c r="L27" i="41"/>
  <c r="L28" i="41" s="1"/>
  <c r="L29" i="41" s="1"/>
  <c r="O19" i="40"/>
  <c r="O22" i="40"/>
  <c r="O24" i="40"/>
  <c r="O27" i="40"/>
  <c r="O26" i="40"/>
  <c r="F11" i="39"/>
  <c r="D13" i="39"/>
  <c r="K11" i="39"/>
  <c r="E11" i="39"/>
  <c r="L14" i="39"/>
  <c r="L13" i="39"/>
  <c r="D13" i="38"/>
  <c r="K11" i="38"/>
  <c r="E11" i="38"/>
  <c r="F11" i="38"/>
  <c r="L13" i="38"/>
  <c r="L14" i="38"/>
  <c r="K12" i="38"/>
  <c r="D14" i="38"/>
  <c r="Z18" i="53" l="1"/>
  <c r="R20" i="30"/>
  <c r="AG17" i="53"/>
  <c r="O17" i="53" s="1"/>
  <c r="AJ17" i="53"/>
  <c r="AM17" i="53" s="1"/>
  <c r="K12" i="39"/>
  <c r="K37" i="41"/>
  <c r="L36" i="41"/>
  <c r="L37" i="41" s="1"/>
  <c r="L38" i="41" s="1"/>
  <c r="L39" i="41" s="1"/>
  <c r="L32" i="41"/>
  <c r="L33" i="41" s="1"/>
  <c r="L34" i="41" s="1"/>
  <c r="K32" i="41"/>
  <c r="D34" i="41"/>
  <c r="K29" i="41"/>
  <c r="D36" i="41"/>
  <c r="D28" i="41"/>
  <c r="K23" i="41"/>
  <c r="O30" i="40"/>
  <c r="O28" i="40"/>
  <c r="O25" i="40"/>
  <c r="O32" i="40"/>
  <c r="O33" i="40"/>
  <c r="E13" i="39"/>
  <c r="D15" i="39"/>
  <c r="K13" i="39"/>
  <c r="F13" i="39"/>
  <c r="D16" i="39"/>
  <c r="K14" i="39"/>
  <c r="L16" i="39"/>
  <c r="L15" i="39"/>
  <c r="D16" i="38"/>
  <c r="K14" i="38"/>
  <c r="L16" i="38"/>
  <c r="L15" i="38"/>
  <c r="E13" i="38"/>
  <c r="D15" i="38"/>
  <c r="K13" i="38"/>
  <c r="F13" i="38"/>
  <c r="AG18" i="53" l="1"/>
  <c r="O18" i="53" s="1"/>
  <c r="AJ18" i="53"/>
  <c r="AM18" i="53" s="1"/>
  <c r="D33" i="41"/>
  <c r="K28" i="41"/>
  <c r="L41" i="41"/>
  <c r="K36" i="41"/>
  <c r="D41" i="41"/>
  <c r="K34" i="41"/>
  <c r="D39" i="41"/>
  <c r="D42" i="41"/>
  <c r="O38" i="40"/>
  <c r="O39" i="40"/>
  <c r="O34" i="40"/>
  <c r="O36" i="40"/>
  <c r="O31" i="40"/>
  <c r="L18" i="39"/>
  <c r="L17" i="39"/>
  <c r="F15" i="39"/>
  <c r="D17" i="39"/>
  <c r="K15" i="39"/>
  <c r="E15" i="39"/>
  <c r="D18" i="39"/>
  <c r="K16" i="39"/>
  <c r="F15" i="38"/>
  <c r="E15" i="38"/>
  <c r="K15" i="38"/>
  <c r="D17" i="38"/>
  <c r="L18" i="38"/>
  <c r="L17" i="38"/>
  <c r="D18" i="38"/>
  <c r="K16" i="38"/>
  <c r="L42" i="41" l="1"/>
  <c r="L43" i="41" s="1"/>
  <c r="L44" i="41" s="1"/>
  <c r="L46" i="41"/>
  <c r="D38" i="41"/>
  <c r="D43" i="41" s="1"/>
  <c r="K33" i="41"/>
  <c r="D47" i="41"/>
  <c r="K42" i="41"/>
  <c r="K39" i="41"/>
  <c r="D44" i="41"/>
  <c r="D49" i="41" s="1"/>
  <c r="K41" i="41"/>
  <c r="D46" i="41"/>
  <c r="O44" i="40"/>
  <c r="O45" i="40"/>
  <c r="O42" i="40"/>
  <c r="O37" i="40"/>
  <c r="O40" i="40"/>
  <c r="D19" i="39"/>
  <c r="K17" i="39"/>
  <c r="E17" i="39"/>
  <c r="F17" i="39"/>
  <c r="D20" i="39"/>
  <c r="K18" i="39"/>
  <c r="L19" i="39"/>
  <c r="L20" i="39"/>
  <c r="D19" i="38"/>
  <c r="K17" i="38"/>
  <c r="F17" i="38"/>
  <c r="E17" i="38"/>
  <c r="D20" i="38"/>
  <c r="K18" i="38"/>
  <c r="L19" i="38"/>
  <c r="L20" i="38"/>
  <c r="K6" i="33"/>
  <c r="K7" i="33"/>
  <c r="K43" i="41" l="1"/>
  <c r="H43" i="41"/>
  <c r="J43" i="41"/>
  <c r="E43" i="41"/>
  <c r="F43" i="41"/>
  <c r="H49" i="41"/>
  <c r="E49" i="41"/>
  <c r="F49" i="41"/>
  <c r="J49" i="41"/>
  <c r="K49" i="41"/>
  <c r="D51" i="41"/>
  <c r="K46" i="41"/>
  <c r="D52" i="41"/>
  <c r="K47" i="41"/>
  <c r="K44" i="41"/>
  <c r="L47" i="41"/>
  <c r="L48" i="41" s="1"/>
  <c r="L49" i="41" s="1"/>
  <c r="L51" i="41"/>
  <c r="K38" i="41"/>
  <c r="O43" i="40"/>
  <c r="O48" i="40"/>
  <c r="O50" i="40"/>
  <c r="O46" i="40"/>
  <c r="O51" i="40"/>
  <c r="D22" i="39"/>
  <c r="K20" i="39"/>
  <c r="L22" i="39"/>
  <c r="L21" i="39"/>
  <c r="F19" i="39"/>
  <c r="D21" i="39"/>
  <c r="K19" i="39"/>
  <c r="E19" i="39"/>
  <c r="K20" i="38"/>
  <c r="D22" i="38"/>
  <c r="L21" i="38"/>
  <c r="L22" i="38"/>
  <c r="D21" i="38"/>
  <c r="K19" i="38"/>
  <c r="E19" i="38"/>
  <c r="F19" i="38"/>
  <c r="L52" i="41" l="1"/>
  <c r="L53" i="41" s="1"/>
  <c r="L54" i="41" s="1"/>
  <c r="L56" i="41"/>
  <c r="L61" i="41" s="1"/>
  <c r="D54" i="41"/>
  <c r="D57" i="41"/>
  <c r="K52" i="41"/>
  <c r="K51" i="41"/>
  <c r="D56" i="41"/>
  <c r="D61" i="41" s="1"/>
  <c r="D48" i="41"/>
  <c r="O52" i="40"/>
  <c r="O56" i="40"/>
  <c r="O54" i="40"/>
  <c r="O57" i="40"/>
  <c r="O49" i="40"/>
  <c r="E21" i="39"/>
  <c r="D23" i="39"/>
  <c r="K21" i="39"/>
  <c r="F21" i="39"/>
  <c r="L24" i="39"/>
  <c r="L23" i="39"/>
  <c r="D24" i="39"/>
  <c r="K22" i="39"/>
  <c r="D24" i="38"/>
  <c r="K22" i="38"/>
  <c r="E21" i="38"/>
  <c r="D23" i="38"/>
  <c r="K21" i="38"/>
  <c r="F21" i="38"/>
  <c r="L24" i="38"/>
  <c r="L23" i="38"/>
  <c r="G9" i="37"/>
  <c r="H9" i="37"/>
  <c r="I9" i="37"/>
  <c r="AB9" i="37" s="1"/>
  <c r="J9" i="37"/>
  <c r="AC9" i="37" s="1"/>
  <c r="K9" i="37"/>
  <c r="AD9" i="37" s="1"/>
  <c r="L9" i="37"/>
  <c r="M9" i="37"/>
  <c r="O9" i="37"/>
  <c r="G10" i="37"/>
  <c r="H10" i="37"/>
  <c r="I10" i="37"/>
  <c r="AB10" i="37" s="1"/>
  <c r="J10" i="37"/>
  <c r="AC10" i="37" s="1"/>
  <c r="K10" i="37"/>
  <c r="AD10" i="37" s="1"/>
  <c r="L10" i="37"/>
  <c r="M10" i="37"/>
  <c r="O10" i="37"/>
  <c r="M8" i="37"/>
  <c r="O8" i="37"/>
  <c r="M76" i="37"/>
  <c r="M75" i="37"/>
  <c r="M74" i="37"/>
  <c r="P73" i="37"/>
  <c r="P74" i="37" s="1"/>
  <c r="P75" i="37" s="1"/>
  <c r="P76" i="37" s="1"/>
  <c r="M73" i="37"/>
  <c r="M72" i="37"/>
  <c r="M70" i="37"/>
  <c r="M69" i="37"/>
  <c r="M68" i="37"/>
  <c r="P67" i="37"/>
  <c r="P68" i="37" s="1"/>
  <c r="P69" i="37" s="1"/>
  <c r="P70" i="37" s="1"/>
  <c r="M67" i="37"/>
  <c r="M66" i="37"/>
  <c r="M64" i="37"/>
  <c r="M63" i="37"/>
  <c r="M62" i="37"/>
  <c r="P61" i="37"/>
  <c r="P62" i="37" s="1"/>
  <c r="P63" i="37" s="1"/>
  <c r="P64" i="37" s="1"/>
  <c r="M61" i="37"/>
  <c r="M60" i="37"/>
  <c r="M58" i="37"/>
  <c r="M57" i="37"/>
  <c r="M56" i="37"/>
  <c r="P55" i="37"/>
  <c r="P56" i="37" s="1"/>
  <c r="P57" i="37" s="1"/>
  <c r="P58" i="37" s="1"/>
  <c r="M55" i="37"/>
  <c r="M54" i="37"/>
  <c r="M52" i="37"/>
  <c r="M51" i="37"/>
  <c r="M50" i="37"/>
  <c r="P49" i="37"/>
  <c r="P50" i="37" s="1"/>
  <c r="P51" i="37" s="1"/>
  <c r="P52" i="37" s="1"/>
  <c r="M49" i="37"/>
  <c r="M48" i="37"/>
  <c r="M46" i="37"/>
  <c r="M45" i="37"/>
  <c r="M44" i="37"/>
  <c r="P43" i="37"/>
  <c r="P44" i="37" s="1"/>
  <c r="P45" i="37" s="1"/>
  <c r="P46" i="37" s="1"/>
  <c r="M43" i="37"/>
  <c r="M42" i="37"/>
  <c r="M40" i="37"/>
  <c r="M39" i="37"/>
  <c r="M38" i="37"/>
  <c r="P37" i="37"/>
  <c r="P38" i="37" s="1"/>
  <c r="P39" i="37" s="1"/>
  <c r="P40" i="37" s="1"/>
  <c r="M37" i="37"/>
  <c r="M36" i="37"/>
  <c r="M34" i="37"/>
  <c r="M33" i="37"/>
  <c r="M32" i="37"/>
  <c r="P31" i="37"/>
  <c r="P32" i="37" s="1"/>
  <c r="P33" i="37" s="1"/>
  <c r="P34" i="37" s="1"/>
  <c r="M31" i="37"/>
  <c r="M30" i="37"/>
  <c r="M28" i="37"/>
  <c r="M27" i="37"/>
  <c r="M26" i="37"/>
  <c r="P25" i="37"/>
  <c r="P26" i="37" s="1"/>
  <c r="P27" i="37" s="1"/>
  <c r="P28" i="37" s="1"/>
  <c r="M25" i="37"/>
  <c r="M24" i="37"/>
  <c r="M22" i="37"/>
  <c r="M21" i="37"/>
  <c r="M20" i="37"/>
  <c r="P19" i="37"/>
  <c r="P20" i="37" s="1"/>
  <c r="P21" i="37" s="1"/>
  <c r="P22" i="37" s="1"/>
  <c r="M19" i="37"/>
  <c r="M18" i="37"/>
  <c r="M16" i="37"/>
  <c r="M15" i="37"/>
  <c r="L15" i="37"/>
  <c r="M14" i="37"/>
  <c r="P13" i="37"/>
  <c r="P14" i="37" s="1"/>
  <c r="P15" i="37" s="1"/>
  <c r="P16" i="37" s="1"/>
  <c r="M13" i="37"/>
  <c r="M12" i="37"/>
  <c r="E12" i="37"/>
  <c r="P7" i="37"/>
  <c r="P8" i="37" s="1"/>
  <c r="P9" i="37" s="1"/>
  <c r="P10" i="37" s="1"/>
  <c r="O7" i="37"/>
  <c r="M7" i="37"/>
  <c r="K61" i="41" l="1"/>
  <c r="E18" i="37"/>
  <c r="E24" i="37" s="1"/>
  <c r="E30" i="37" s="1"/>
  <c r="E36" i="37" s="1"/>
  <c r="E42" i="37" s="1"/>
  <c r="E48" i="37" s="1"/>
  <c r="E54" i="37" s="1"/>
  <c r="E60" i="37" s="1"/>
  <c r="E66" i="37" s="1"/>
  <c r="E72" i="37" s="1"/>
  <c r="K48" i="41"/>
  <c r="D53" i="41"/>
  <c r="K56" i="41"/>
  <c r="D62" i="41"/>
  <c r="K57" i="41"/>
  <c r="K54" i="41"/>
  <c r="D59" i="41"/>
  <c r="L57" i="41"/>
  <c r="L58" i="41" s="1"/>
  <c r="L59" i="41" s="1"/>
  <c r="L62" i="41"/>
  <c r="L63" i="41" s="1"/>
  <c r="L64" i="41" s="1"/>
  <c r="O60" i="40"/>
  <c r="O62" i="40"/>
  <c r="O55" i="40"/>
  <c r="O63" i="40"/>
  <c r="O58" i="40"/>
  <c r="F23" i="39"/>
  <c r="D25" i="39"/>
  <c r="K23" i="39"/>
  <c r="E23" i="39"/>
  <c r="D26" i="39"/>
  <c r="K24" i="39"/>
  <c r="L26" i="39"/>
  <c r="L25" i="39"/>
  <c r="L26" i="38"/>
  <c r="L25" i="38"/>
  <c r="F23" i="38"/>
  <c r="E23" i="38"/>
  <c r="K23" i="38"/>
  <c r="D25" i="38"/>
  <c r="D26" i="38"/>
  <c r="K24" i="38"/>
  <c r="H15" i="37"/>
  <c r="I15" i="37"/>
  <c r="AB15" i="37" s="1"/>
  <c r="O14" i="37"/>
  <c r="O12" i="37"/>
  <c r="O16" i="37"/>
  <c r="O19" i="37"/>
  <c r="O13" i="37"/>
  <c r="O20" i="37"/>
  <c r="J15" i="37"/>
  <c r="AC15" i="37" s="1"/>
  <c r="G15" i="37"/>
  <c r="K15" i="37"/>
  <c r="AD15" i="37" s="1"/>
  <c r="O15" i="37"/>
  <c r="I8" i="36"/>
  <c r="K8" i="36"/>
  <c r="I9" i="36"/>
  <c r="K9" i="36"/>
  <c r="I10" i="36"/>
  <c r="K10" i="36"/>
  <c r="I11" i="36"/>
  <c r="K11" i="36"/>
  <c r="I12" i="36"/>
  <c r="K12" i="36"/>
  <c r="K53" i="41" l="1"/>
  <c r="D58" i="41"/>
  <c r="K59" i="41"/>
  <c r="D64" i="41"/>
  <c r="K62" i="41"/>
  <c r="O61" i="40"/>
  <c r="O66" i="40"/>
  <c r="O64" i="40"/>
  <c r="O68" i="40"/>
  <c r="O69" i="40"/>
  <c r="D27" i="39"/>
  <c r="K25" i="39"/>
  <c r="E25" i="39"/>
  <c r="F25" i="39"/>
  <c r="L27" i="39"/>
  <c r="L28" i="39"/>
  <c r="L29" i="39" s="1"/>
  <c r="D28" i="39"/>
  <c r="K26" i="39"/>
  <c r="D28" i="38"/>
  <c r="K26" i="38"/>
  <c r="D27" i="38"/>
  <c r="K25" i="38"/>
  <c r="F25" i="38"/>
  <c r="E25" i="38"/>
  <c r="L27" i="38"/>
  <c r="L28" i="38"/>
  <c r="L29" i="38" s="1"/>
  <c r="O22" i="37"/>
  <c r="O18" i="37"/>
  <c r="O28" i="37"/>
  <c r="O21" i="37"/>
  <c r="K21" i="37"/>
  <c r="AD21" i="37" s="1"/>
  <c r="G21" i="37"/>
  <c r="J21" i="37"/>
  <c r="AC21" i="37" s="1"/>
  <c r="H21" i="37"/>
  <c r="L21" i="37"/>
  <c r="I21" i="37"/>
  <c r="AB21" i="37" s="1"/>
  <c r="O26" i="37"/>
  <c r="O25" i="37"/>
  <c r="I136" i="36"/>
  <c r="I135" i="36"/>
  <c r="I134" i="36"/>
  <c r="I133" i="36"/>
  <c r="I127" i="36"/>
  <c r="I125" i="36"/>
  <c r="I124" i="36"/>
  <c r="I123" i="36"/>
  <c r="I122" i="36"/>
  <c r="I116" i="36"/>
  <c r="I114" i="36"/>
  <c r="I113" i="36"/>
  <c r="I112" i="36"/>
  <c r="I111" i="36"/>
  <c r="I105" i="36"/>
  <c r="I103" i="36"/>
  <c r="I102" i="36"/>
  <c r="I101" i="36"/>
  <c r="I100" i="36"/>
  <c r="I94" i="36"/>
  <c r="I92" i="36"/>
  <c r="I91" i="36"/>
  <c r="I90" i="36"/>
  <c r="I89" i="36"/>
  <c r="I83" i="36"/>
  <c r="I81" i="36"/>
  <c r="I80" i="36"/>
  <c r="I79" i="36"/>
  <c r="I78" i="36"/>
  <c r="I72" i="36"/>
  <c r="I70" i="36"/>
  <c r="I69" i="36"/>
  <c r="I68" i="36"/>
  <c r="I67" i="36"/>
  <c r="I61" i="36"/>
  <c r="I59" i="36"/>
  <c r="I58" i="36"/>
  <c r="I57" i="36"/>
  <c r="I56" i="36"/>
  <c r="I50" i="36"/>
  <c r="I48" i="36"/>
  <c r="I47" i="36"/>
  <c r="I46" i="36"/>
  <c r="I45" i="36"/>
  <c r="I39" i="36"/>
  <c r="I37" i="36"/>
  <c r="I36" i="36"/>
  <c r="I35" i="36"/>
  <c r="I34" i="36"/>
  <c r="I28" i="36"/>
  <c r="I26" i="36"/>
  <c r="D26" i="36"/>
  <c r="D37" i="36" s="1"/>
  <c r="D48" i="36" s="1"/>
  <c r="D59" i="36" s="1"/>
  <c r="D70" i="36" s="1"/>
  <c r="D81" i="36" s="1"/>
  <c r="D92" i="36" s="1"/>
  <c r="D103" i="36" s="1"/>
  <c r="D114" i="36" s="1"/>
  <c r="D125" i="36" s="1"/>
  <c r="D136" i="36" s="1"/>
  <c r="I25" i="36"/>
  <c r="D25" i="36"/>
  <c r="D36" i="36" s="1"/>
  <c r="D47" i="36" s="1"/>
  <c r="D58" i="36" s="1"/>
  <c r="D69" i="36" s="1"/>
  <c r="D80" i="36" s="1"/>
  <c r="D91" i="36" s="1"/>
  <c r="D102" i="36" s="1"/>
  <c r="D113" i="36" s="1"/>
  <c r="D124" i="36" s="1"/>
  <c r="D135" i="36" s="1"/>
  <c r="I24" i="36"/>
  <c r="I18" i="36"/>
  <c r="L17" i="36"/>
  <c r="I17" i="36"/>
  <c r="D17" i="36"/>
  <c r="D28" i="36" s="1"/>
  <c r="K15" i="36"/>
  <c r="I15" i="36"/>
  <c r="K14" i="36"/>
  <c r="I14" i="36"/>
  <c r="K13" i="36"/>
  <c r="I13" i="36"/>
  <c r="L7" i="36"/>
  <c r="K7" i="36"/>
  <c r="I7" i="36"/>
  <c r="K6" i="36"/>
  <c r="L28" i="36" l="1"/>
  <c r="L29" i="36" s="1"/>
  <c r="L30" i="36" s="1"/>
  <c r="L31" i="36" s="1"/>
  <c r="L32" i="36" s="1"/>
  <c r="L33" i="36" s="1"/>
  <c r="L34" i="36" s="1"/>
  <c r="L35" i="36" s="1"/>
  <c r="L36" i="36" s="1"/>
  <c r="L37" i="36" s="1"/>
  <c r="L18" i="36"/>
  <c r="L19" i="36" s="1"/>
  <c r="L20" i="36" s="1"/>
  <c r="L21" i="36" s="1"/>
  <c r="L22" i="36" s="1"/>
  <c r="L23" i="36" s="1"/>
  <c r="L24" i="36" s="1"/>
  <c r="L25" i="36" s="1"/>
  <c r="L13" i="36"/>
  <c r="L14" i="36" s="1"/>
  <c r="L15" i="36" s="1"/>
  <c r="L8" i="36"/>
  <c r="L9" i="36" s="1"/>
  <c r="L10" i="36" s="1"/>
  <c r="L11" i="36" s="1"/>
  <c r="L12" i="36" s="1"/>
  <c r="K64" i="41"/>
  <c r="K58" i="41"/>
  <c r="D63" i="41"/>
  <c r="O70" i="40"/>
  <c r="O67" i="40"/>
  <c r="O75" i="40"/>
  <c r="O74" i="40"/>
  <c r="O72" i="40"/>
  <c r="K28" i="39"/>
  <c r="D29" i="39"/>
  <c r="F27" i="39"/>
  <c r="K27" i="39"/>
  <c r="E27" i="39"/>
  <c r="D29" i="38"/>
  <c r="K27" i="38"/>
  <c r="E27" i="38"/>
  <c r="F27" i="38"/>
  <c r="K28" i="38"/>
  <c r="O24" i="37"/>
  <c r="O32" i="37"/>
  <c r="O27" i="37"/>
  <c r="K27" i="37"/>
  <c r="AD27" i="37" s="1"/>
  <c r="G27" i="37"/>
  <c r="J27" i="37"/>
  <c r="AC27" i="37" s="1"/>
  <c r="L27" i="37"/>
  <c r="H27" i="37"/>
  <c r="I27" i="37"/>
  <c r="AB27" i="37" s="1"/>
  <c r="O31" i="37"/>
  <c r="O34" i="37"/>
  <c r="K17" i="36"/>
  <c r="K25" i="36"/>
  <c r="K24" i="36"/>
  <c r="K34" i="36"/>
  <c r="K35" i="36"/>
  <c r="K36" i="36"/>
  <c r="K28" i="36"/>
  <c r="D39" i="36"/>
  <c r="L39" i="36"/>
  <c r="L40" i="36" s="1"/>
  <c r="L41" i="36" s="1"/>
  <c r="L42" i="36" s="1"/>
  <c r="L43" i="36" s="1"/>
  <c r="L44" i="36" s="1"/>
  <c r="L45" i="36" s="1"/>
  <c r="L46" i="36" s="1"/>
  <c r="L47" i="36" s="1"/>
  <c r="L48" i="36" s="1"/>
  <c r="K18" i="36"/>
  <c r="K26" i="36"/>
  <c r="A2" i="3"/>
  <c r="BI11" i="3"/>
  <c r="BI8" i="3"/>
  <c r="L26" i="36" l="1"/>
  <c r="K63" i="41"/>
  <c r="O73" i="40"/>
  <c r="O76" i="40"/>
  <c r="E29" i="39"/>
  <c r="K29" i="39"/>
  <c r="F29" i="39"/>
  <c r="E29" i="38"/>
  <c r="K29" i="38"/>
  <c r="F29" i="38"/>
  <c r="O40" i="37"/>
  <c r="O33" i="37"/>
  <c r="K33" i="37"/>
  <c r="AD33" i="37" s="1"/>
  <c r="G33" i="37"/>
  <c r="J33" i="37"/>
  <c r="AC33" i="37" s="1"/>
  <c r="H33" i="37"/>
  <c r="L33" i="37"/>
  <c r="I33" i="37"/>
  <c r="AB33" i="37" s="1"/>
  <c r="O30" i="37"/>
  <c r="O37" i="37"/>
  <c r="O38" i="37"/>
  <c r="L50" i="36"/>
  <c r="K39" i="36"/>
  <c r="D50" i="36"/>
  <c r="K45" i="36"/>
  <c r="K37" i="36"/>
  <c r="K47" i="36"/>
  <c r="K46" i="36"/>
  <c r="L51" i="36" l="1"/>
  <c r="L52" i="36" s="1"/>
  <c r="L55" i="36" s="1"/>
  <c r="L56" i="36" s="1"/>
  <c r="L57" i="36" s="1"/>
  <c r="L58" i="36" s="1"/>
  <c r="L59" i="36" s="1"/>
  <c r="L53" i="36"/>
  <c r="L54" i="36" s="1"/>
  <c r="O44" i="37"/>
  <c r="O36" i="37"/>
  <c r="O43" i="37"/>
  <c r="O46" i="37"/>
  <c r="O39" i="37"/>
  <c r="K39" i="37"/>
  <c r="AD39" i="37" s="1"/>
  <c r="G39" i="37"/>
  <c r="J39" i="37"/>
  <c r="AC39" i="37" s="1"/>
  <c r="L39" i="37"/>
  <c r="I39" i="37"/>
  <c r="AB39" i="37" s="1"/>
  <c r="H39" i="37"/>
  <c r="K48" i="36"/>
  <c r="K57" i="36"/>
  <c r="K56" i="36"/>
  <c r="K50" i="36"/>
  <c r="D61" i="36"/>
  <c r="K58" i="36"/>
  <c r="L61" i="36"/>
  <c r="L62" i="36" s="1"/>
  <c r="L63" i="36" s="1"/>
  <c r="L64" i="36" s="1"/>
  <c r="L65" i="36" s="1"/>
  <c r="L66" i="36" s="1"/>
  <c r="L67" i="36" s="1"/>
  <c r="L68" i="36" s="1"/>
  <c r="L69" i="36" s="1"/>
  <c r="L70" i="36" s="1"/>
  <c r="Y68" i="3"/>
  <c r="Y69" i="3"/>
  <c r="Y70" i="3"/>
  <c r="Y71" i="3"/>
  <c r="Y72" i="3"/>
  <c r="Y73" i="3"/>
  <c r="Y74" i="3"/>
  <c r="Y75" i="3"/>
  <c r="Y76" i="3"/>
  <c r="Y77" i="3"/>
  <c r="Y78" i="3"/>
  <c r="Y79" i="3"/>
  <c r="Y80" i="3"/>
  <c r="Y81" i="3"/>
  <c r="Y82" i="3"/>
  <c r="Y83" i="3"/>
  <c r="Y84" i="3"/>
  <c r="Y85" i="3"/>
  <c r="Y86" i="3"/>
  <c r="Y87" i="3"/>
  <c r="Y88" i="3"/>
  <c r="Y89" i="3"/>
  <c r="Y90" i="3"/>
  <c r="Y91" i="3"/>
  <c r="Y92" i="3"/>
  <c r="Y93" i="3"/>
  <c r="Y94" i="3"/>
  <c r="Y95" i="3"/>
  <c r="Y96" i="3"/>
  <c r="Y97" i="3"/>
  <c r="Y98" i="3"/>
  <c r="Y99" i="3"/>
  <c r="Y100" i="3"/>
  <c r="Y101" i="3"/>
  <c r="Y102" i="3"/>
  <c r="Y103" i="3"/>
  <c r="Y104" i="3"/>
  <c r="Y105" i="3"/>
  <c r="Y106" i="3"/>
  <c r="Z8" i="3"/>
  <c r="Z9" i="3"/>
  <c r="Z10" i="3"/>
  <c r="Z11" i="3"/>
  <c r="Z12" i="3"/>
  <c r="Z13" i="3"/>
  <c r="Z14" i="3"/>
  <c r="Z15" i="3"/>
  <c r="Z16" i="3"/>
  <c r="Z17" i="3"/>
  <c r="Z18" i="3"/>
  <c r="Z19" i="3"/>
  <c r="Z20" i="3"/>
  <c r="Z21" i="3"/>
  <c r="Z23" i="3"/>
  <c r="Z24" i="3"/>
  <c r="Z25" i="3"/>
  <c r="Z26" i="3"/>
  <c r="Z27" i="3"/>
  <c r="Z28" i="3"/>
  <c r="Z29" i="3"/>
  <c r="Z30" i="3"/>
  <c r="Z31" i="3"/>
  <c r="Z32" i="3"/>
  <c r="Z33" i="3"/>
  <c r="Z34" i="3"/>
  <c r="Z35" i="3"/>
  <c r="Z36" i="3"/>
  <c r="Z37" i="3"/>
  <c r="Z38" i="3"/>
  <c r="Z39" i="3"/>
  <c r="Z40" i="3"/>
  <c r="Z41" i="3"/>
  <c r="Z42" i="3"/>
  <c r="Z43" i="3"/>
  <c r="Z44" i="3"/>
  <c r="Z45" i="3"/>
  <c r="Z46" i="3"/>
  <c r="Z47" i="3"/>
  <c r="Z48" i="3"/>
  <c r="Z49" i="3"/>
  <c r="Z50" i="3"/>
  <c r="Z51" i="3"/>
  <c r="Z52" i="3"/>
  <c r="Z53" i="3"/>
  <c r="Z54" i="3"/>
  <c r="Z55" i="3"/>
  <c r="Z56" i="3"/>
  <c r="Z57" i="3"/>
  <c r="Z58" i="3"/>
  <c r="Z59" i="3"/>
  <c r="Z60" i="3"/>
  <c r="Z61" i="3"/>
  <c r="Z62" i="3"/>
  <c r="Z63" i="3"/>
  <c r="Z64" i="3"/>
  <c r="Z65" i="3"/>
  <c r="Z66" i="3"/>
  <c r="Z67" i="3"/>
  <c r="Z68" i="3"/>
  <c r="Z69" i="3"/>
  <c r="Z70" i="3"/>
  <c r="Z71" i="3"/>
  <c r="Z72" i="3"/>
  <c r="Z73" i="3"/>
  <c r="Z74" i="3"/>
  <c r="Z75" i="3"/>
  <c r="Z76" i="3"/>
  <c r="Z77" i="3"/>
  <c r="Z78" i="3"/>
  <c r="Z79" i="3"/>
  <c r="Z80" i="3"/>
  <c r="Z81" i="3"/>
  <c r="Z82" i="3"/>
  <c r="Z83" i="3"/>
  <c r="Z84" i="3"/>
  <c r="Z85" i="3"/>
  <c r="Z86" i="3"/>
  <c r="Z87" i="3"/>
  <c r="Z88" i="3"/>
  <c r="Z89" i="3"/>
  <c r="Z90" i="3"/>
  <c r="Z91" i="3"/>
  <c r="Z92" i="3"/>
  <c r="Z93" i="3"/>
  <c r="Z94" i="3"/>
  <c r="Z95" i="3"/>
  <c r="Z96" i="3"/>
  <c r="Z97" i="3"/>
  <c r="Z98" i="3"/>
  <c r="Z99" i="3"/>
  <c r="Z100" i="3"/>
  <c r="Z101" i="3"/>
  <c r="Z102" i="3"/>
  <c r="Z103" i="3"/>
  <c r="Z104" i="3"/>
  <c r="Z105" i="3"/>
  <c r="Z106" i="3"/>
  <c r="AA107" i="3"/>
  <c r="Z7" i="3"/>
  <c r="O49" i="37" l="1"/>
  <c r="O52" i="37"/>
  <c r="O50" i="37"/>
  <c r="L45" i="37"/>
  <c r="H45" i="37"/>
  <c r="O45" i="37"/>
  <c r="K45" i="37"/>
  <c r="AD45" i="37" s="1"/>
  <c r="G45" i="37"/>
  <c r="J45" i="37"/>
  <c r="AC45" i="37" s="1"/>
  <c r="I45" i="37"/>
  <c r="AB45" i="37" s="1"/>
  <c r="O42" i="37"/>
  <c r="L72" i="36"/>
  <c r="L73" i="36" s="1"/>
  <c r="L74" i="36" s="1"/>
  <c r="L75" i="36" s="1"/>
  <c r="L76" i="36" s="1"/>
  <c r="L77" i="36" s="1"/>
  <c r="L78" i="36" s="1"/>
  <c r="L79" i="36" s="1"/>
  <c r="L80" i="36" s="1"/>
  <c r="L81" i="36" s="1"/>
  <c r="D72" i="36"/>
  <c r="K61" i="36"/>
  <c r="K67" i="36"/>
  <c r="K68" i="36"/>
  <c r="K69" i="36"/>
  <c r="K59" i="36"/>
  <c r="I28" i="33"/>
  <c r="I26" i="33"/>
  <c r="I24" i="33"/>
  <c r="I22" i="33"/>
  <c r="I20" i="33"/>
  <c r="I18" i="33"/>
  <c r="I16" i="33"/>
  <c r="I14" i="33"/>
  <c r="I12" i="33"/>
  <c r="I10" i="33"/>
  <c r="L8" i="33"/>
  <c r="I8" i="33"/>
  <c r="K8" i="33"/>
  <c r="L7" i="33"/>
  <c r="O48" i="37" l="1"/>
  <c r="O56" i="37"/>
  <c r="O58" i="37"/>
  <c r="L51" i="37"/>
  <c r="H51" i="37"/>
  <c r="O51" i="37"/>
  <c r="K51" i="37"/>
  <c r="AD51" i="37" s="1"/>
  <c r="G51" i="37"/>
  <c r="J51" i="37"/>
  <c r="AC51" i="37" s="1"/>
  <c r="I51" i="37"/>
  <c r="AB51" i="37" s="1"/>
  <c r="O55" i="37"/>
  <c r="K80" i="36"/>
  <c r="K70" i="36"/>
  <c r="K79" i="36"/>
  <c r="D83" i="36"/>
  <c r="K72" i="36"/>
  <c r="K78" i="36"/>
  <c r="L83" i="36"/>
  <c r="L84" i="36" s="1"/>
  <c r="L85" i="36" s="1"/>
  <c r="L86" i="36" s="1"/>
  <c r="L87" i="36" s="1"/>
  <c r="L88" i="36" s="1"/>
  <c r="L89" i="36" s="1"/>
  <c r="L90" i="36" s="1"/>
  <c r="L91" i="36" s="1"/>
  <c r="L92" i="36" s="1"/>
  <c r="K11" i="33"/>
  <c r="K9" i="33"/>
  <c r="K10" i="33"/>
  <c r="L10" i="33"/>
  <c r="L9" i="33"/>
  <c r="O62" i="37" l="1"/>
  <c r="O54" i="37"/>
  <c r="O61" i="37"/>
  <c r="O57" i="37"/>
  <c r="J57" i="37"/>
  <c r="AC57" i="37" s="1"/>
  <c r="K57" i="37"/>
  <c r="AD57" i="37" s="1"/>
  <c r="I57" i="37"/>
  <c r="AB57" i="37" s="1"/>
  <c r="L57" i="37"/>
  <c r="H57" i="37"/>
  <c r="G57" i="37"/>
  <c r="O64" i="37"/>
  <c r="K13" i="33"/>
  <c r="K90" i="36"/>
  <c r="K91" i="36"/>
  <c r="L94" i="36"/>
  <c r="L95" i="36" s="1"/>
  <c r="L96" i="36" s="1"/>
  <c r="L97" i="36" s="1"/>
  <c r="L98" i="36" s="1"/>
  <c r="L99" i="36" s="1"/>
  <c r="L100" i="36" s="1"/>
  <c r="L101" i="36" s="1"/>
  <c r="L102" i="36" s="1"/>
  <c r="L103" i="36" s="1"/>
  <c r="K89" i="36"/>
  <c r="D94" i="36"/>
  <c r="K83" i="36"/>
  <c r="K81" i="36"/>
  <c r="L12" i="33"/>
  <c r="L11" i="33"/>
  <c r="K12" i="33"/>
  <c r="AS8" i="30"/>
  <c r="AI8" i="30"/>
  <c r="AF1" i="30"/>
  <c r="AG1" i="30" s="1"/>
  <c r="Q9" i="8"/>
  <c r="P9" i="8"/>
  <c r="O9" i="8"/>
  <c r="N9" i="8"/>
  <c r="M9" i="8"/>
  <c r="C9" i="8"/>
  <c r="G9" i="8"/>
  <c r="F9" i="8"/>
  <c r="E9" i="8"/>
  <c r="D9" i="8"/>
  <c r="BF21" i="3"/>
  <c r="BG21" i="3" s="1"/>
  <c r="AJ8" i="30" l="1"/>
  <c r="O70" i="37"/>
  <c r="O60" i="37"/>
  <c r="O63" i="37"/>
  <c r="K63" i="37"/>
  <c r="AD63" i="37" s="1"/>
  <c r="G63" i="37"/>
  <c r="J63" i="37"/>
  <c r="AC63" i="37" s="1"/>
  <c r="L63" i="37"/>
  <c r="I63" i="37"/>
  <c r="AB63" i="37" s="1"/>
  <c r="H63" i="37"/>
  <c r="O67" i="37"/>
  <c r="O68" i="37"/>
  <c r="K15" i="33"/>
  <c r="K100" i="36"/>
  <c r="K102" i="36"/>
  <c r="K92" i="36"/>
  <c r="D105" i="36"/>
  <c r="K94" i="36"/>
  <c r="L105" i="36"/>
  <c r="L106" i="36" s="1"/>
  <c r="L107" i="36" s="1"/>
  <c r="L108" i="36" s="1"/>
  <c r="L109" i="36" s="1"/>
  <c r="L110" i="36" s="1"/>
  <c r="L111" i="36" s="1"/>
  <c r="L112" i="36" s="1"/>
  <c r="L113" i="36" s="1"/>
  <c r="L114" i="36" s="1"/>
  <c r="K101" i="36"/>
  <c r="AQ1" i="30"/>
  <c r="AT1" i="30" s="1"/>
  <c r="AU1" i="30" s="1"/>
  <c r="AS1" i="30" s="1"/>
  <c r="K14" i="33"/>
  <c r="L14" i="33"/>
  <c r="L13" i="33"/>
  <c r="AS72" i="3"/>
  <c r="AK8" i="30" l="1"/>
  <c r="O73" i="37"/>
  <c r="O74" i="37"/>
  <c r="O66" i="37"/>
  <c r="O76" i="37"/>
  <c r="O69" i="37"/>
  <c r="K69" i="37"/>
  <c r="AD69" i="37" s="1"/>
  <c r="G69" i="37"/>
  <c r="J69" i="37"/>
  <c r="AC69" i="37" s="1"/>
  <c r="I69" i="37"/>
  <c r="AB69" i="37" s="1"/>
  <c r="H69" i="37"/>
  <c r="L69" i="37"/>
  <c r="K17" i="33"/>
  <c r="K112" i="36"/>
  <c r="L116" i="36"/>
  <c r="L117" i="36" s="1"/>
  <c r="L118" i="36" s="1"/>
  <c r="L119" i="36" s="1"/>
  <c r="L120" i="36" s="1"/>
  <c r="L121" i="36" s="1"/>
  <c r="L122" i="36" s="1"/>
  <c r="L123" i="36" s="1"/>
  <c r="L124" i="36" s="1"/>
  <c r="L125" i="36" s="1"/>
  <c r="D116" i="36"/>
  <c r="K105" i="36"/>
  <c r="K113" i="36"/>
  <c r="K103" i="36"/>
  <c r="K111" i="36"/>
  <c r="K16" i="33"/>
  <c r="L16" i="33"/>
  <c r="L15" i="33"/>
  <c r="BE9" i="3"/>
  <c r="BE10" i="3"/>
  <c r="BE11" i="3"/>
  <c r="BE12" i="3"/>
  <c r="BE13" i="3"/>
  <c r="BE14" i="3"/>
  <c r="BE15" i="3"/>
  <c r="BE16" i="3"/>
  <c r="BE17" i="3"/>
  <c r="BE18" i="3"/>
  <c r="BE19" i="3"/>
  <c r="BE20" i="3"/>
  <c r="BE21" i="3"/>
  <c r="BE22" i="3"/>
  <c r="BE23" i="3"/>
  <c r="BE24" i="3"/>
  <c r="BE25" i="3"/>
  <c r="BE26" i="3"/>
  <c r="BE27" i="3"/>
  <c r="BE28" i="3"/>
  <c r="BE29" i="3"/>
  <c r="BE30" i="3"/>
  <c r="BE31" i="3"/>
  <c r="BE32" i="3"/>
  <c r="BE33" i="3"/>
  <c r="BE34" i="3"/>
  <c r="BE35" i="3"/>
  <c r="BE36" i="3"/>
  <c r="BE37" i="3"/>
  <c r="BE38" i="3"/>
  <c r="BE39" i="3"/>
  <c r="BE40" i="3"/>
  <c r="BE41" i="3"/>
  <c r="BE42" i="3"/>
  <c r="BE43" i="3"/>
  <c r="BE44" i="3"/>
  <c r="BE45" i="3"/>
  <c r="BE46" i="3"/>
  <c r="BE47" i="3"/>
  <c r="BE48" i="3"/>
  <c r="BE49" i="3"/>
  <c r="BE50" i="3"/>
  <c r="BE51" i="3"/>
  <c r="BE52" i="3"/>
  <c r="BE53" i="3"/>
  <c r="BE54" i="3"/>
  <c r="BE55" i="3"/>
  <c r="BE56" i="3"/>
  <c r="BE57" i="3"/>
  <c r="BE58" i="3"/>
  <c r="BE59" i="3"/>
  <c r="BE60" i="3"/>
  <c r="BE61" i="3"/>
  <c r="BE62" i="3"/>
  <c r="BE63" i="3"/>
  <c r="BE64" i="3"/>
  <c r="BE65" i="3"/>
  <c r="BE66" i="3"/>
  <c r="BE67" i="3"/>
  <c r="BE68" i="3"/>
  <c r="BE69" i="3"/>
  <c r="BE70" i="3"/>
  <c r="BE71" i="3"/>
  <c r="BE72" i="3"/>
  <c r="BE73" i="3"/>
  <c r="BE74" i="3"/>
  <c r="BE75" i="3"/>
  <c r="BE76" i="3"/>
  <c r="BE77" i="3"/>
  <c r="BE78" i="3"/>
  <c r="BE79" i="3"/>
  <c r="BE80" i="3"/>
  <c r="BE81" i="3"/>
  <c r="BE82" i="3"/>
  <c r="BE83" i="3"/>
  <c r="BE84" i="3"/>
  <c r="BE85" i="3"/>
  <c r="BE86" i="3"/>
  <c r="BE87" i="3"/>
  <c r="BE88" i="3"/>
  <c r="BE89" i="3"/>
  <c r="BE90" i="3"/>
  <c r="BE91" i="3"/>
  <c r="BE92" i="3"/>
  <c r="BE93" i="3"/>
  <c r="BE94" i="3"/>
  <c r="BE95" i="3"/>
  <c r="BE96" i="3"/>
  <c r="BE97" i="3"/>
  <c r="BE98" i="3"/>
  <c r="BE99" i="3"/>
  <c r="BE100" i="3"/>
  <c r="BE101" i="3"/>
  <c r="BE102" i="3"/>
  <c r="BE103" i="3"/>
  <c r="BE104" i="3"/>
  <c r="BE105" i="3"/>
  <c r="BE106" i="3"/>
  <c r="AL8" i="30" l="1"/>
  <c r="O72" i="37"/>
  <c r="O75" i="37"/>
  <c r="K75" i="37"/>
  <c r="AD75" i="37" s="1"/>
  <c r="G75" i="37"/>
  <c r="J75" i="37"/>
  <c r="AC75" i="37" s="1"/>
  <c r="L75" i="37"/>
  <c r="I75" i="37"/>
  <c r="AB75" i="37" s="1"/>
  <c r="H75" i="37"/>
  <c r="K19" i="33"/>
  <c r="K122" i="36"/>
  <c r="K123" i="36"/>
  <c r="K114" i="36"/>
  <c r="K124" i="36"/>
  <c r="D127" i="36"/>
  <c r="K116" i="36"/>
  <c r="L127" i="36"/>
  <c r="L128" i="36" s="1"/>
  <c r="L129" i="36" s="1"/>
  <c r="L130" i="36" s="1"/>
  <c r="L131" i="36" s="1"/>
  <c r="L132" i="36" s="1"/>
  <c r="L133" i="36" s="1"/>
  <c r="L134" i="36" s="1"/>
  <c r="L135" i="36" s="1"/>
  <c r="L136" i="36" s="1"/>
  <c r="L18" i="33"/>
  <c r="L17" i="33"/>
  <c r="K18" i="33"/>
  <c r="K21" i="33" l="1"/>
  <c r="AM8" i="30"/>
  <c r="K133" i="36"/>
  <c r="K127" i="36"/>
  <c r="K135" i="36"/>
  <c r="K125" i="36"/>
  <c r="K134" i="36"/>
  <c r="K20" i="33"/>
  <c r="L20" i="33"/>
  <c r="L19" i="33"/>
  <c r="K23" i="33" l="1"/>
  <c r="AN8" i="30"/>
  <c r="K136" i="36"/>
  <c r="K25" i="33"/>
  <c r="K22" i="33"/>
  <c r="L22" i="33"/>
  <c r="L21" i="33"/>
  <c r="AO8" i="30" l="1"/>
  <c r="K27" i="33"/>
  <c r="L24" i="33"/>
  <c r="L23" i="33"/>
  <c r="K24" i="33"/>
  <c r="AP8" i="30" l="1"/>
  <c r="K29" i="33"/>
  <c r="K26" i="33"/>
  <c r="L26" i="33"/>
  <c r="L25" i="33"/>
  <c r="AQ8" i="30" l="1"/>
  <c r="K28" i="33"/>
  <c r="L28" i="33"/>
  <c r="L29" i="33" s="1"/>
  <c r="L27" i="33"/>
  <c r="T4" i="5" l="1"/>
  <c r="U4" i="5"/>
  <c r="U3" i="5"/>
  <c r="U2" i="5"/>
  <c r="T3" i="5"/>
  <c r="X2" i="5" l="1"/>
  <c r="W2" i="5"/>
  <c r="O10" i="5" s="1"/>
  <c r="AN11" i="6"/>
  <c r="T2" i="5"/>
  <c r="AO11" i="6"/>
  <c r="Z9" i="6" s="1"/>
  <c r="P10" i="5"/>
  <c r="P11" i="5" s="1"/>
  <c r="P12" i="5" s="1"/>
  <c r="P13" i="5" s="1"/>
  <c r="P14" i="5" s="1"/>
  <c r="P15" i="5" s="1"/>
  <c r="P16" i="5" s="1"/>
  <c r="P17" i="5" s="1"/>
  <c r="P18" i="5" s="1"/>
  <c r="P19" i="5" s="1"/>
  <c r="P20" i="5" s="1"/>
  <c r="P21" i="5" s="1"/>
  <c r="Q4" i="5"/>
  <c r="Y9" i="6" l="1"/>
  <c r="Z10" i="6"/>
  <c r="Z18" i="6"/>
  <c r="Z12" i="6"/>
  <c r="Z20" i="6"/>
  <c r="Z11" i="6"/>
  <c r="Z14" i="6"/>
  <c r="Z13" i="6"/>
  <c r="Z15" i="6"/>
  <c r="Z16" i="6"/>
  <c r="Z17" i="6"/>
  <c r="Z19" i="6"/>
  <c r="Y11" i="6"/>
  <c r="Y19" i="6"/>
  <c r="Y16" i="6"/>
  <c r="Y13" i="6"/>
  <c r="Y10" i="6"/>
  <c r="Y18" i="6"/>
  <c r="Y15" i="6"/>
  <c r="Y20" i="6"/>
  <c r="Y14" i="6"/>
  <c r="Y12" i="6"/>
  <c r="Y17" i="6"/>
  <c r="Q10" i="5" l="1"/>
  <c r="R10" i="5" s="1"/>
  <c r="R11" i="5" l="1"/>
  <c r="R12" i="5" s="1"/>
  <c r="R13" i="5" s="1"/>
  <c r="R14" i="5" s="1"/>
  <c r="R15" i="5" s="1"/>
  <c r="R16" i="5" s="1"/>
  <c r="R17" i="5" s="1"/>
  <c r="R18" i="5" s="1"/>
  <c r="R19" i="5" s="1"/>
  <c r="R20" i="5" s="1"/>
  <c r="R21" i="5" s="1"/>
  <c r="Q11" i="5"/>
  <c r="Q12" i="5" s="1"/>
  <c r="AF12" i="8"/>
  <c r="AF17" i="8"/>
  <c r="AF20" i="8"/>
  <c r="AF16" i="8"/>
  <c r="AF14" i="8"/>
  <c r="AF15" i="8"/>
  <c r="AF13" i="8"/>
  <c r="AF10" i="8"/>
  <c r="AF11" i="8"/>
  <c r="AF18" i="8"/>
  <c r="AF19" i="8"/>
  <c r="J10" i="53" l="1"/>
  <c r="J13" i="53"/>
  <c r="J12" i="53"/>
  <c r="J8" i="53"/>
  <c r="J14" i="53"/>
  <c r="J16" i="53"/>
  <c r="J15" i="53"/>
  <c r="J9" i="53"/>
  <c r="J17" i="53"/>
  <c r="J11" i="53"/>
  <c r="J18" i="53"/>
  <c r="Q13" i="5"/>
  <c r="Q14" i="5" l="1"/>
  <c r="Q15" i="5" l="1"/>
  <c r="Q16" i="5" l="1"/>
  <c r="Q17" i="5" l="1"/>
  <c r="Q18" i="5" l="1"/>
  <c r="Q19" i="5" l="1"/>
  <c r="Q20" i="5" l="1"/>
  <c r="Q21" i="5" l="1"/>
  <c r="BA106" i="3" l="1"/>
  <c r="AZ106" i="3"/>
  <c r="AY106" i="3"/>
  <c r="AX106" i="3"/>
  <c r="AW106" i="3"/>
  <c r="AV106" i="3"/>
  <c r="AU106" i="3"/>
  <c r="AT106" i="3"/>
  <c r="AS106" i="3"/>
  <c r="AR106" i="3"/>
  <c r="AQ106" i="3"/>
  <c r="AP106" i="3"/>
  <c r="BA105" i="3"/>
  <c r="AZ105" i="3"/>
  <c r="AY105" i="3"/>
  <c r="AX105" i="3"/>
  <c r="AW105" i="3"/>
  <c r="AV105" i="3"/>
  <c r="AU105" i="3"/>
  <c r="AT105" i="3"/>
  <c r="AS105" i="3"/>
  <c r="AR105" i="3"/>
  <c r="AQ105" i="3"/>
  <c r="BA104" i="3"/>
  <c r="AZ104" i="3"/>
  <c r="AY104" i="3"/>
  <c r="AX104" i="3"/>
  <c r="AW104" i="3"/>
  <c r="AV104" i="3"/>
  <c r="AU104" i="3"/>
  <c r="AT104" i="3"/>
  <c r="AS104" i="3"/>
  <c r="AR104" i="3"/>
  <c r="AQ104" i="3"/>
  <c r="AP104" i="3"/>
  <c r="BA103" i="3"/>
  <c r="AZ103" i="3"/>
  <c r="AY103" i="3"/>
  <c r="AX103" i="3"/>
  <c r="AW103" i="3"/>
  <c r="AV103" i="3"/>
  <c r="AU103" i="3"/>
  <c r="AT103" i="3"/>
  <c r="AS103" i="3"/>
  <c r="AR103" i="3"/>
  <c r="AQ103" i="3"/>
  <c r="AP103" i="3"/>
  <c r="BA102" i="3"/>
  <c r="AZ102" i="3"/>
  <c r="AY102" i="3"/>
  <c r="AX102" i="3"/>
  <c r="AW102" i="3"/>
  <c r="AV102" i="3"/>
  <c r="AU102" i="3"/>
  <c r="AT102" i="3"/>
  <c r="AS102" i="3"/>
  <c r="AR102" i="3"/>
  <c r="AQ102" i="3"/>
  <c r="AP102" i="3"/>
  <c r="BA101" i="3"/>
  <c r="AZ101" i="3"/>
  <c r="AY101" i="3"/>
  <c r="AX101" i="3"/>
  <c r="AW101" i="3"/>
  <c r="AV101" i="3"/>
  <c r="AU101" i="3"/>
  <c r="AT101" i="3"/>
  <c r="AS101" i="3"/>
  <c r="AR101" i="3"/>
  <c r="AQ101" i="3"/>
  <c r="AP101" i="3"/>
  <c r="BA100" i="3"/>
  <c r="AZ100" i="3"/>
  <c r="AY100" i="3"/>
  <c r="AX100" i="3"/>
  <c r="AW100" i="3"/>
  <c r="AV100" i="3"/>
  <c r="AU100" i="3"/>
  <c r="AT100" i="3"/>
  <c r="AS100" i="3"/>
  <c r="AR100" i="3"/>
  <c r="AQ100" i="3"/>
  <c r="AP100" i="3"/>
  <c r="BA99" i="3"/>
  <c r="AZ99" i="3"/>
  <c r="AY99" i="3"/>
  <c r="AX99" i="3"/>
  <c r="AW99" i="3"/>
  <c r="AV99" i="3"/>
  <c r="AU99" i="3"/>
  <c r="AT99" i="3"/>
  <c r="AS99" i="3"/>
  <c r="AR99" i="3"/>
  <c r="AQ99" i="3"/>
  <c r="AP99" i="3"/>
  <c r="BA98" i="3"/>
  <c r="AZ98" i="3"/>
  <c r="AY98" i="3"/>
  <c r="AX98" i="3"/>
  <c r="AW98" i="3"/>
  <c r="AV98" i="3"/>
  <c r="AU98" i="3"/>
  <c r="AT98" i="3"/>
  <c r="AS98" i="3"/>
  <c r="AR98" i="3"/>
  <c r="AQ98" i="3"/>
  <c r="AP98" i="3"/>
  <c r="BA97" i="3"/>
  <c r="AZ97" i="3"/>
  <c r="AY97" i="3"/>
  <c r="AX97" i="3"/>
  <c r="AW97" i="3"/>
  <c r="AV97" i="3"/>
  <c r="AU97" i="3"/>
  <c r="AT97" i="3"/>
  <c r="AS97" i="3"/>
  <c r="AR97" i="3"/>
  <c r="AQ97" i="3"/>
  <c r="AP97" i="3"/>
  <c r="BA96" i="3"/>
  <c r="AZ96" i="3"/>
  <c r="AY96" i="3"/>
  <c r="AX96" i="3"/>
  <c r="AW96" i="3"/>
  <c r="AV96" i="3"/>
  <c r="AU96" i="3"/>
  <c r="AT96" i="3"/>
  <c r="AS96" i="3"/>
  <c r="AR96" i="3"/>
  <c r="AQ96" i="3"/>
  <c r="AP96" i="3"/>
  <c r="BA95" i="3"/>
  <c r="AZ95" i="3"/>
  <c r="AY95" i="3"/>
  <c r="AX95" i="3"/>
  <c r="AW95" i="3"/>
  <c r="AV95" i="3"/>
  <c r="AU95" i="3"/>
  <c r="AT95" i="3"/>
  <c r="AS95" i="3"/>
  <c r="AR95" i="3"/>
  <c r="AQ95" i="3"/>
  <c r="AP95" i="3"/>
  <c r="BA94" i="3"/>
  <c r="AZ94" i="3"/>
  <c r="AY94" i="3"/>
  <c r="AX94" i="3"/>
  <c r="AW94" i="3"/>
  <c r="AV94" i="3"/>
  <c r="AU94" i="3"/>
  <c r="AT94" i="3"/>
  <c r="AS94" i="3"/>
  <c r="AR94" i="3"/>
  <c r="AQ94" i="3"/>
  <c r="AP94" i="3"/>
  <c r="BA93" i="3"/>
  <c r="AZ93" i="3"/>
  <c r="AY93" i="3"/>
  <c r="AX93" i="3"/>
  <c r="AW93" i="3"/>
  <c r="AV93" i="3"/>
  <c r="AU93" i="3"/>
  <c r="AT93" i="3"/>
  <c r="AS93" i="3"/>
  <c r="AR93" i="3"/>
  <c r="AQ93" i="3"/>
  <c r="AP93" i="3"/>
  <c r="BA92" i="3"/>
  <c r="AZ92" i="3"/>
  <c r="AY92" i="3"/>
  <c r="AX92" i="3"/>
  <c r="AW92" i="3"/>
  <c r="AV92" i="3"/>
  <c r="AU92" i="3"/>
  <c r="AT92" i="3"/>
  <c r="AS92" i="3"/>
  <c r="AR92" i="3"/>
  <c r="AQ92" i="3"/>
  <c r="AP92" i="3"/>
  <c r="BA91" i="3"/>
  <c r="AZ91" i="3"/>
  <c r="AY91" i="3"/>
  <c r="AX91" i="3"/>
  <c r="AW91" i="3"/>
  <c r="AV91" i="3"/>
  <c r="AU91" i="3"/>
  <c r="AT91" i="3"/>
  <c r="AS91" i="3"/>
  <c r="AR91" i="3"/>
  <c r="AQ91" i="3"/>
  <c r="AP91" i="3"/>
  <c r="BA90" i="3"/>
  <c r="AZ90" i="3"/>
  <c r="AY90" i="3"/>
  <c r="AX90" i="3"/>
  <c r="AW90" i="3"/>
  <c r="AV90" i="3"/>
  <c r="AU90" i="3"/>
  <c r="AT90" i="3"/>
  <c r="AS90" i="3"/>
  <c r="AR90" i="3"/>
  <c r="AQ90" i="3"/>
  <c r="AP90" i="3"/>
  <c r="BA89" i="3"/>
  <c r="AZ89" i="3"/>
  <c r="AY89" i="3"/>
  <c r="AX89" i="3"/>
  <c r="AW89" i="3"/>
  <c r="AV89" i="3"/>
  <c r="AU89" i="3"/>
  <c r="AT89" i="3"/>
  <c r="AS89" i="3"/>
  <c r="AR89" i="3"/>
  <c r="AQ89" i="3"/>
  <c r="AP89" i="3"/>
  <c r="BA88" i="3"/>
  <c r="AZ88" i="3"/>
  <c r="AY88" i="3"/>
  <c r="AX88" i="3"/>
  <c r="AW88" i="3"/>
  <c r="AV88" i="3"/>
  <c r="AU88" i="3"/>
  <c r="AT88" i="3"/>
  <c r="AS88" i="3"/>
  <c r="AR88" i="3"/>
  <c r="AQ88" i="3"/>
  <c r="AP88" i="3"/>
  <c r="BA87" i="3"/>
  <c r="AZ87" i="3"/>
  <c r="AY87" i="3"/>
  <c r="AX87" i="3"/>
  <c r="AW87" i="3"/>
  <c r="AV87" i="3"/>
  <c r="AU87" i="3"/>
  <c r="AT87" i="3"/>
  <c r="AS87" i="3"/>
  <c r="AR87" i="3"/>
  <c r="AQ87" i="3"/>
  <c r="AP87" i="3"/>
  <c r="BA86" i="3"/>
  <c r="AZ86" i="3"/>
  <c r="AY86" i="3"/>
  <c r="AX86" i="3"/>
  <c r="AW86" i="3"/>
  <c r="AV86" i="3"/>
  <c r="AU86" i="3"/>
  <c r="AT86" i="3"/>
  <c r="AS86" i="3"/>
  <c r="AR86" i="3"/>
  <c r="AQ86" i="3"/>
  <c r="AP86" i="3"/>
  <c r="BA85" i="3"/>
  <c r="AZ85" i="3"/>
  <c r="AY85" i="3"/>
  <c r="AX85" i="3"/>
  <c r="AW85" i="3"/>
  <c r="AV85" i="3"/>
  <c r="AU85" i="3"/>
  <c r="AT85" i="3"/>
  <c r="AS85" i="3"/>
  <c r="AR85" i="3"/>
  <c r="AQ85" i="3"/>
  <c r="AP85" i="3"/>
  <c r="BA84" i="3"/>
  <c r="AZ84" i="3"/>
  <c r="AY84" i="3"/>
  <c r="AX84" i="3"/>
  <c r="AW84" i="3"/>
  <c r="AV84" i="3"/>
  <c r="AU84" i="3"/>
  <c r="AT84" i="3"/>
  <c r="AS84" i="3"/>
  <c r="AR84" i="3"/>
  <c r="AQ84" i="3"/>
  <c r="AP84" i="3"/>
  <c r="BA83" i="3"/>
  <c r="AZ83" i="3"/>
  <c r="AY83" i="3"/>
  <c r="AX83" i="3"/>
  <c r="AW83" i="3"/>
  <c r="AV83" i="3"/>
  <c r="AU83" i="3"/>
  <c r="AT83" i="3"/>
  <c r="AS83" i="3"/>
  <c r="AR83" i="3"/>
  <c r="AQ83" i="3"/>
  <c r="AP83" i="3"/>
  <c r="BA82" i="3"/>
  <c r="AZ82" i="3"/>
  <c r="AY82" i="3"/>
  <c r="AX82" i="3"/>
  <c r="AW82" i="3"/>
  <c r="AV82" i="3"/>
  <c r="AU82" i="3"/>
  <c r="AT82" i="3"/>
  <c r="AS82" i="3"/>
  <c r="AR82" i="3"/>
  <c r="AQ82" i="3"/>
  <c r="AP82" i="3"/>
  <c r="BA81" i="3"/>
  <c r="AZ81" i="3"/>
  <c r="AY81" i="3"/>
  <c r="AX81" i="3"/>
  <c r="AW81" i="3"/>
  <c r="AV81" i="3"/>
  <c r="AU81" i="3"/>
  <c r="AT81" i="3"/>
  <c r="AS81" i="3"/>
  <c r="AR81" i="3"/>
  <c r="AQ81" i="3"/>
  <c r="AP81" i="3"/>
  <c r="BA80" i="3"/>
  <c r="AZ80" i="3"/>
  <c r="AY80" i="3"/>
  <c r="AX80" i="3"/>
  <c r="AW80" i="3"/>
  <c r="AV80" i="3"/>
  <c r="AU80" i="3"/>
  <c r="AT80" i="3"/>
  <c r="AS80" i="3"/>
  <c r="AR80" i="3"/>
  <c r="AQ80" i="3"/>
  <c r="AP80" i="3"/>
  <c r="BA79" i="3"/>
  <c r="AZ79" i="3"/>
  <c r="AY79" i="3"/>
  <c r="AX79" i="3"/>
  <c r="AW79" i="3"/>
  <c r="AV79" i="3"/>
  <c r="AU79" i="3"/>
  <c r="AT79" i="3"/>
  <c r="AS79" i="3"/>
  <c r="AR79" i="3"/>
  <c r="AQ79" i="3"/>
  <c r="AP79" i="3"/>
  <c r="BA78" i="3"/>
  <c r="AZ78" i="3"/>
  <c r="AY78" i="3"/>
  <c r="AX78" i="3"/>
  <c r="AW78" i="3"/>
  <c r="AV78" i="3"/>
  <c r="AU78" i="3"/>
  <c r="AT78" i="3"/>
  <c r="AS78" i="3"/>
  <c r="AR78" i="3"/>
  <c r="AQ78" i="3"/>
  <c r="AP78" i="3"/>
  <c r="BA77" i="3"/>
  <c r="AZ77" i="3"/>
  <c r="AY77" i="3"/>
  <c r="AX77" i="3"/>
  <c r="AW77" i="3"/>
  <c r="AV77" i="3"/>
  <c r="AU77" i="3"/>
  <c r="AT77" i="3"/>
  <c r="AS77" i="3"/>
  <c r="AR77" i="3"/>
  <c r="AQ77" i="3"/>
  <c r="AP77" i="3"/>
  <c r="BA76" i="3"/>
  <c r="AZ76" i="3"/>
  <c r="AY76" i="3"/>
  <c r="AX76" i="3"/>
  <c r="AW76" i="3"/>
  <c r="AV76" i="3"/>
  <c r="AU76" i="3"/>
  <c r="AT76" i="3"/>
  <c r="AS76" i="3"/>
  <c r="AR76" i="3"/>
  <c r="AQ76" i="3"/>
  <c r="AP76" i="3"/>
  <c r="BA75" i="3"/>
  <c r="AZ75" i="3"/>
  <c r="AY75" i="3"/>
  <c r="AX75" i="3"/>
  <c r="AW75" i="3"/>
  <c r="AV75" i="3"/>
  <c r="AU75" i="3"/>
  <c r="AT75" i="3"/>
  <c r="AS75" i="3"/>
  <c r="AR75" i="3"/>
  <c r="AQ75" i="3"/>
  <c r="AP75" i="3"/>
  <c r="BA74" i="3"/>
  <c r="AZ74" i="3"/>
  <c r="AY74" i="3"/>
  <c r="AX74" i="3"/>
  <c r="AW74" i="3"/>
  <c r="AV74" i="3"/>
  <c r="AU74" i="3"/>
  <c r="AT74" i="3"/>
  <c r="AS74" i="3"/>
  <c r="AR74" i="3"/>
  <c r="AQ74" i="3"/>
  <c r="AP74" i="3"/>
  <c r="BA73" i="3"/>
  <c r="AZ73" i="3"/>
  <c r="AY73" i="3"/>
  <c r="AX73" i="3"/>
  <c r="AW73" i="3"/>
  <c r="AV73" i="3"/>
  <c r="AU73" i="3"/>
  <c r="AT73" i="3"/>
  <c r="AS73" i="3"/>
  <c r="AR73" i="3"/>
  <c r="AQ73" i="3"/>
  <c r="AP73" i="3"/>
  <c r="BA72" i="3"/>
  <c r="AZ72" i="3"/>
  <c r="AY72" i="3"/>
  <c r="AX72" i="3"/>
  <c r="AW72" i="3"/>
  <c r="AV72" i="3"/>
  <c r="AU72" i="3"/>
  <c r="AT72" i="3"/>
  <c r="AR72" i="3"/>
  <c r="AQ72" i="3"/>
  <c r="AP72" i="3"/>
  <c r="BA71" i="3"/>
  <c r="AZ71" i="3"/>
  <c r="AY71" i="3"/>
  <c r="AX71" i="3"/>
  <c r="AW71" i="3"/>
  <c r="AV71" i="3"/>
  <c r="AU71" i="3"/>
  <c r="AT71" i="3"/>
  <c r="AS71" i="3"/>
  <c r="AR71" i="3"/>
  <c r="AQ71" i="3"/>
  <c r="AP71" i="3"/>
  <c r="BA70" i="3"/>
  <c r="AZ70" i="3"/>
  <c r="AY70" i="3"/>
  <c r="AX70" i="3"/>
  <c r="AW70" i="3"/>
  <c r="AV70" i="3"/>
  <c r="AU70" i="3"/>
  <c r="AT70" i="3"/>
  <c r="AS70" i="3"/>
  <c r="AR70" i="3"/>
  <c r="AQ70" i="3"/>
  <c r="AP70" i="3"/>
  <c r="BA69" i="3"/>
  <c r="AZ69" i="3"/>
  <c r="AY69" i="3"/>
  <c r="AX69" i="3"/>
  <c r="AW69" i="3"/>
  <c r="AV69" i="3"/>
  <c r="AU69" i="3"/>
  <c r="AT69" i="3"/>
  <c r="AS69" i="3"/>
  <c r="AR69" i="3"/>
  <c r="AQ69" i="3"/>
  <c r="AP69" i="3"/>
  <c r="BA68" i="3"/>
  <c r="AZ68" i="3"/>
  <c r="AY68" i="3"/>
  <c r="AX68" i="3"/>
  <c r="AW68" i="3"/>
  <c r="AV68" i="3"/>
  <c r="AU68" i="3"/>
  <c r="AT68" i="3"/>
  <c r="AS68" i="3"/>
  <c r="AR68" i="3"/>
  <c r="AQ68" i="3"/>
  <c r="AP68" i="3"/>
  <c r="BA67" i="3"/>
  <c r="AZ67" i="3"/>
  <c r="AY67" i="3"/>
  <c r="AX67" i="3"/>
  <c r="AW67" i="3"/>
  <c r="AV67" i="3"/>
  <c r="AU67" i="3"/>
  <c r="AT67" i="3"/>
  <c r="AS67" i="3"/>
  <c r="AR67" i="3"/>
  <c r="AQ67" i="3"/>
  <c r="AP67" i="3"/>
  <c r="BA66" i="3"/>
  <c r="AZ66" i="3"/>
  <c r="AY66" i="3"/>
  <c r="AX66" i="3"/>
  <c r="AW66" i="3"/>
  <c r="AV66" i="3"/>
  <c r="AU66" i="3"/>
  <c r="AT66" i="3"/>
  <c r="AS66" i="3"/>
  <c r="AR66" i="3"/>
  <c r="AQ66" i="3"/>
  <c r="AP66" i="3"/>
  <c r="BA65" i="3"/>
  <c r="AZ65" i="3"/>
  <c r="AY65" i="3"/>
  <c r="AX65" i="3"/>
  <c r="AW65" i="3"/>
  <c r="AV65" i="3"/>
  <c r="AU65" i="3"/>
  <c r="AT65" i="3"/>
  <c r="AS65" i="3"/>
  <c r="AR65" i="3"/>
  <c r="AQ65" i="3"/>
  <c r="AP65" i="3"/>
  <c r="BA64" i="3"/>
  <c r="AZ64" i="3"/>
  <c r="AY64" i="3"/>
  <c r="AX64" i="3"/>
  <c r="AW64" i="3"/>
  <c r="AV64" i="3"/>
  <c r="AU64" i="3"/>
  <c r="AT64" i="3"/>
  <c r="AS64" i="3"/>
  <c r="AR64" i="3"/>
  <c r="AQ64" i="3"/>
  <c r="AP64" i="3"/>
  <c r="BA63" i="3"/>
  <c r="AZ63" i="3"/>
  <c r="AY63" i="3"/>
  <c r="AX63" i="3"/>
  <c r="AW63" i="3"/>
  <c r="AV63" i="3"/>
  <c r="AU63" i="3"/>
  <c r="AT63" i="3"/>
  <c r="AS63" i="3"/>
  <c r="AR63" i="3"/>
  <c r="AQ63" i="3"/>
  <c r="AP63" i="3"/>
  <c r="BA62" i="3"/>
  <c r="AZ62" i="3"/>
  <c r="AY62" i="3"/>
  <c r="AX62" i="3"/>
  <c r="AW62" i="3"/>
  <c r="AV62" i="3"/>
  <c r="AU62" i="3"/>
  <c r="AT62" i="3"/>
  <c r="AS62" i="3"/>
  <c r="AR62" i="3"/>
  <c r="AQ62" i="3"/>
  <c r="AP62" i="3"/>
  <c r="BA61" i="3"/>
  <c r="AZ61" i="3"/>
  <c r="AY61" i="3"/>
  <c r="AX61" i="3"/>
  <c r="AW61" i="3"/>
  <c r="AV61" i="3"/>
  <c r="AU61" i="3"/>
  <c r="AT61" i="3"/>
  <c r="AS61" i="3"/>
  <c r="AR61" i="3"/>
  <c r="AQ61" i="3"/>
  <c r="AP61" i="3"/>
  <c r="BA60" i="3"/>
  <c r="AZ60" i="3"/>
  <c r="AY60" i="3"/>
  <c r="AX60" i="3"/>
  <c r="AW60" i="3"/>
  <c r="AV60" i="3"/>
  <c r="AU60" i="3"/>
  <c r="AT60" i="3"/>
  <c r="AS60" i="3"/>
  <c r="AR60" i="3"/>
  <c r="AQ60" i="3"/>
  <c r="AP60" i="3"/>
  <c r="BA59" i="3"/>
  <c r="AZ59" i="3"/>
  <c r="AY59" i="3"/>
  <c r="AX59" i="3"/>
  <c r="AW59" i="3"/>
  <c r="AV59" i="3"/>
  <c r="AU59" i="3"/>
  <c r="AT59" i="3"/>
  <c r="AS59" i="3"/>
  <c r="AR59" i="3"/>
  <c r="AQ59" i="3"/>
  <c r="AP59" i="3"/>
  <c r="BA58" i="3"/>
  <c r="AZ58" i="3"/>
  <c r="AY58" i="3"/>
  <c r="AX58" i="3"/>
  <c r="AW58" i="3"/>
  <c r="AV58" i="3"/>
  <c r="AU58" i="3"/>
  <c r="AT58" i="3"/>
  <c r="AS58" i="3"/>
  <c r="AR58" i="3"/>
  <c r="AQ58" i="3"/>
  <c r="AP58" i="3"/>
  <c r="BA57" i="3"/>
  <c r="AZ57" i="3"/>
  <c r="AY57" i="3"/>
  <c r="AX57" i="3"/>
  <c r="AW57" i="3"/>
  <c r="AV57" i="3"/>
  <c r="AU57" i="3"/>
  <c r="AT57" i="3"/>
  <c r="AS57" i="3"/>
  <c r="AR57" i="3"/>
  <c r="AQ57" i="3"/>
  <c r="AP57" i="3"/>
  <c r="BA56" i="3"/>
  <c r="AZ56" i="3"/>
  <c r="AY56" i="3"/>
  <c r="AX56" i="3"/>
  <c r="AW56" i="3"/>
  <c r="AV56" i="3"/>
  <c r="AU56" i="3"/>
  <c r="AT56" i="3"/>
  <c r="AS56" i="3"/>
  <c r="AR56" i="3"/>
  <c r="AQ56" i="3"/>
  <c r="AP56" i="3"/>
  <c r="BA55" i="3"/>
  <c r="AZ55" i="3"/>
  <c r="AY55" i="3"/>
  <c r="AX55" i="3"/>
  <c r="AW55" i="3"/>
  <c r="AV55" i="3"/>
  <c r="AU55" i="3"/>
  <c r="AT55" i="3"/>
  <c r="AS55" i="3"/>
  <c r="AR55" i="3"/>
  <c r="AQ55" i="3"/>
  <c r="AP55" i="3"/>
  <c r="BA54" i="3"/>
  <c r="AZ54" i="3"/>
  <c r="AY54" i="3"/>
  <c r="AX54" i="3"/>
  <c r="AW54" i="3"/>
  <c r="AV54" i="3"/>
  <c r="AU54" i="3"/>
  <c r="AT54" i="3"/>
  <c r="AS54" i="3"/>
  <c r="AR54" i="3"/>
  <c r="AQ54" i="3"/>
  <c r="AP54" i="3"/>
  <c r="BA53" i="3"/>
  <c r="AZ53" i="3"/>
  <c r="AY53" i="3"/>
  <c r="AX53" i="3"/>
  <c r="AW53" i="3"/>
  <c r="AV53" i="3"/>
  <c r="AU53" i="3"/>
  <c r="AT53" i="3"/>
  <c r="AS53" i="3"/>
  <c r="AR53" i="3"/>
  <c r="AQ53" i="3"/>
  <c r="AP53" i="3"/>
  <c r="BA52" i="3"/>
  <c r="AZ52" i="3"/>
  <c r="AY52" i="3"/>
  <c r="AX52" i="3"/>
  <c r="AW52" i="3"/>
  <c r="AV52" i="3"/>
  <c r="AU52" i="3"/>
  <c r="AT52" i="3"/>
  <c r="AS52" i="3"/>
  <c r="AR52" i="3"/>
  <c r="AQ52" i="3"/>
  <c r="AP52" i="3"/>
  <c r="BA51" i="3"/>
  <c r="AZ51" i="3"/>
  <c r="AY51" i="3"/>
  <c r="AX51" i="3"/>
  <c r="AW51" i="3"/>
  <c r="AV51" i="3"/>
  <c r="AU51" i="3"/>
  <c r="AT51" i="3"/>
  <c r="AS51" i="3"/>
  <c r="AR51" i="3"/>
  <c r="AQ51" i="3"/>
  <c r="AP51" i="3"/>
  <c r="BA50" i="3"/>
  <c r="AZ50" i="3"/>
  <c r="AY50" i="3"/>
  <c r="AX50" i="3"/>
  <c r="AW50" i="3"/>
  <c r="AV50" i="3"/>
  <c r="AU50" i="3"/>
  <c r="AT50" i="3"/>
  <c r="AS50" i="3"/>
  <c r="AR50" i="3"/>
  <c r="AQ50" i="3"/>
  <c r="AP50" i="3"/>
  <c r="BA49" i="3"/>
  <c r="AZ49" i="3"/>
  <c r="AY49" i="3"/>
  <c r="AX49" i="3"/>
  <c r="AW49" i="3"/>
  <c r="AV49" i="3"/>
  <c r="AU49" i="3"/>
  <c r="AT49" i="3"/>
  <c r="AS49" i="3"/>
  <c r="AR49" i="3"/>
  <c r="AQ49" i="3"/>
  <c r="AP49" i="3"/>
  <c r="BA48" i="3"/>
  <c r="AZ48" i="3"/>
  <c r="AY48" i="3"/>
  <c r="AX48" i="3"/>
  <c r="AW48" i="3"/>
  <c r="AV48" i="3"/>
  <c r="AU48" i="3"/>
  <c r="AT48" i="3"/>
  <c r="AS48" i="3"/>
  <c r="AR48" i="3"/>
  <c r="AQ48" i="3"/>
  <c r="AP48" i="3"/>
  <c r="BA47" i="3"/>
  <c r="AZ47" i="3"/>
  <c r="AY47" i="3"/>
  <c r="AX47" i="3"/>
  <c r="AW47" i="3"/>
  <c r="AV47" i="3"/>
  <c r="AU47" i="3"/>
  <c r="AT47" i="3"/>
  <c r="AS47" i="3"/>
  <c r="AR47" i="3"/>
  <c r="AQ47" i="3"/>
  <c r="AP47" i="3"/>
  <c r="BA46" i="3"/>
  <c r="AZ46" i="3"/>
  <c r="AY46" i="3"/>
  <c r="AX46" i="3"/>
  <c r="AW46" i="3"/>
  <c r="AV46" i="3"/>
  <c r="AU46" i="3"/>
  <c r="AT46" i="3"/>
  <c r="AS46" i="3"/>
  <c r="AR46" i="3"/>
  <c r="AQ46" i="3"/>
  <c r="AP46" i="3"/>
  <c r="BA45" i="3"/>
  <c r="AZ45" i="3"/>
  <c r="AY45" i="3"/>
  <c r="AX45" i="3"/>
  <c r="AW45" i="3"/>
  <c r="AV45" i="3"/>
  <c r="AU45" i="3"/>
  <c r="AT45" i="3"/>
  <c r="AS45" i="3"/>
  <c r="AR45" i="3"/>
  <c r="AQ45" i="3"/>
  <c r="AP45" i="3"/>
  <c r="BA44" i="3"/>
  <c r="AZ44" i="3"/>
  <c r="AY44" i="3"/>
  <c r="AX44" i="3"/>
  <c r="AW44" i="3"/>
  <c r="AV44" i="3"/>
  <c r="AU44" i="3"/>
  <c r="AT44" i="3"/>
  <c r="AS44" i="3"/>
  <c r="AR44" i="3"/>
  <c r="AQ44" i="3"/>
  <c r="AP44" i="3"/>
  <c r="BA43" i="3"/>
  <c r="AZ43" i="3"/>
  <c r="AY43" i="3"/>
  <c r="AX43" i="3"/>
  <c r="AW43" i="3"/>
  <c r="AV43" i="3"/>
  <c r="AU43" i="3"/>
  <c r="AT43" i="3"/>
  <c r="AS43" i="3"/>
  <c r="AR43" i="3"/>
  <c r="AQ43" i="3"/>
  <c r="AP43" i="3"/>
  <c r="BA42" i="3"/>
  <c r="AZ42" i="3"/>
  <c r="AY42" i="3"/>
  <c r="AX42" i="3"/>
  <c r="AW42" i="3"/>
  <c r="AV42" i="3"/>
  <c r="AU42" i="3"/>
  <c r="AT42" i="3"/>
  <c r="AS42" i="3"/>
  <c r="AR42" i="3"/>
  <c r="AQ42" i="3"/>
  <c r="AP42" i="3"/>
  <c r="BA33" i="3"/>
  <c r="AZ33" i="3"/>
  <c r="AY33" i="3"/>
  <c r="AX33" i="3"/>
  <c r="AW33" i="3"/>
  <c r="AV33" i="3"/>
  <c r="AU33" i="3"/>
  <c r="AT33" i="3"/>
  <c r="AS33" i="3"/>
  <c r="AR33" i="3"/>
  <c r="AQ33" i="3"/>
  <c r="AP33" i="3"/>
  <c r="BA32" i="3"/>
  <c r="AZ32" i="3"/>
  <c r="AY32" i="3"/>
  <c r="AX32" i="3"/>
  <c r="AW32" i="3"/>
  <c r="AV32" i="3"/>
  <c r="AU32" i="3"/>
  <c r="AT32" i="3"/>
  <c r="AS32" i="3"/>
  <c r="AR32" i="3"/>
  <c r="AQ32" i="3"/>
  <c r="AP32" i="3"/>
  <c r="BA31" i="3"/>
  <c r="AZ31" i="3"/>
  <c r="AY31" i="3"/>
  <c r="AX31" i="3"/>
  <c r="AW31" i="3"/>
  <c r="AV31" i="3"/>
  <c r="AU31" i="3"/>
  <c r="AT31" i="3"/>
  <c r="AS31" i="3"/>
  <c r="AR31" i="3"/>
  <c r="AQ31" i="3"/>
  <c r="AP31" i="3"/>
  <c r="BB31" i="3" l="1"/>
  <c r="AA31" i="3" s="1"/>
  <c r="Y31" i="3" s="1"/>
  <c r="BB32" i="3"/>
  <c r="AA32" i="3" s="1"/>
  <c r="Y32" i="3" s="1"/>
  <c r="BB33" i="3"/>
  <c r="AA33" i="3" s="1"/>
  <c r="Y33" i="3" s="1"/>
  <c r="BB42" i="3"/>
  <c r="AA42" i="3" s="1"/>
  <c r="Y42" i="3" s="1"/>
  <c r="BB43" i="3"/>
  <c r="AA43" i="3" s="1"/>
  <c r="Y43" i="3" s="1"/>
  <c r="BB44" i="3"/>
  <c r="AA44" i="3" s="1"/>
  <c r="Y44" i="3" s="1"/>
  <c r="BB45" i="3"/>
  <c r="AA45" i="3" s="1"/>
  <c r="Y45" i="3" s="1"/>
  <c r="BB46" i="3"/>
  <c r="AA46" i="3" s="1"/>
  <c r="Y46" i="3" s="1"/>
  <c r="BB47" i="3"/>
  <c r="AA47" i="3" s="1"/>
  <c r="Y47" i="3" s="1"/>
  <c r="BB48" i="3"/>
  <c r="AA48" i="3" s="1"/>
  <c r="Y48" i="3" s="1"/>
  <c r="BB49" i="3"/>
  <c r="AA49" i="3" s="1"/>
  <c r="Y49" i="3" s="1"/>
  <c r="BB50" i="3"/>
  <c r="AA50" i="3" s="1"/>
  <c r="Y50" i="3" s="1"/>
  <c r="BB51" i="3"/>
  <c r="AA51" i="3" s="1"/>
  <c r="Y51" i="3" s="1"/>
  <c r="BB52" i="3"/>
  <c r="AA52" i="3" s="1"/>
  <c r="Y52" i="3" s="1"/>
  <c r="BB53" i="3"/>
  <c r="AA53" i="3" s="1"/>
  <c r="Y53" i="3" s="1"/>
  <c r="BB54" i="3"/>
  <c r="AA54" i="3" s="1"/>
  <c r="Y54" i="3" s="1"/>
  <c r="BB55" i="3"/>
  <c r="AA55" i="3" s="1"/>
  <c r="Y55" i="3" s="1"/>
  <c r="BB56" i="3"/>
  <c r="AA56" i="3" s="1"/>
  <c r="Y56" i="3" s="1"/>
  <c r="BB57" i="3"/>
  <c r="AA57" i="3" s="1"/>
  <c r="Y57" i="3" s="1"/>
  <c r="BB58" i="3"/>
  <c r="AA58" i="3" s="1"/>
  <c r="Y58" i="3" s="1"/>
  <c r="BB59" i="3"/>
  <c r="AA59" i="3" s="1"/>
  <c r="Y59" i="3" s="1"/>
  <c r="BB60" i="3"/>
  <c r="AA60" i="3" s="1"/>
  <c r="Y60" i="3" s="1"/>
  <c r="BB61" i="3"/>
  <c r="AA61" i="3" s="1"/>
  <c r="Y61" i="3" s="1"/>
  <c r="BB62" i="3"/>
  <c r="AA62" i="3" s="1"/>
  <c r="Y62" i="3" s="1"/>
  <c r="BB63" i="3"/>
  <c r="AA63" i="3" s="1"/>
  <c r="Y63" i="3" s="1"/>
  <c r="BB64" i="3"/>
  <c r="AA64" i="3" s="1"/>
  <c r="Y64" i="3" s="1"/>
  <c r="BB65" i="3"/>
  <c r="AA65" i="3" s="1"/>
  <c r="Y65" i="3" s="1"/>
  <c r="BB66" i="3"/>
  <c r="AA66" i="3" s="1"/>
  <c r="Y66" i="3" s="1"/>
  <c r="BB67" i="3"/>
  <c r="AA67" i="3" s="1"/>
  <c r="Y67" i="3" s="1"/>
  <c r="BB68" i="3"/>
  <c r="AA68" i="3" s="1"/>
  <c r="BB69" i="3"/>
  <c r="AA69" i="3" s="1"/>
  <c r="BB70" i="3"/>
  <c r="AA70" i="3" s="1"/>
  <c r="BB71" i="3"/>
  <c r="AA71" i="3" s="1"/>
  <c r="BB72" i="3"/>
  <c r="AA72" i="3" s="1"/>
  <c r="BB73" i="3"/>
  <c r="AA73" i="3" s="1"/>
  <c r="BB74" i="3"/>
  <c r="AA74" i="3" s="1"/>
  <c r="BB75" i="3"/>
  <c r="AA75" i="3" s="1"/>
  <c r="BB76" i="3"/>
  <c r="AA76" i="3" s="1"/>
  <c r="BB77" i="3"/>
  <c r="AA77" i="3" s="1"/>
  <c r="BB78" i="3"/>
  <c r="AA78" i="3" s="1"/>
  <c r="BB79" i="3"/>
  <c r="AA79" i="3" s="1"/>
  <c r="BB80" i="3"/>
  <c r="AA80" i="3" s="1"/>
  <c r="BB81" i="3"/>
  <c r="AA81" i="3" s="1"/>
  <c r="BB82" i="3"/>
  <c r="AA82" i="3" s="1"/>
  <c r="BB83" i="3"/>
  <c r="AA83" i="3" s="1"/>
  <c r="BB84" i="3"/>
  <c r="AA84" i="3" s="1"/>
  <c r="BB85" i="3"/>
  <c r="AA85" i="3" s="1"/>
  <c r="BB86" i="3"/>
  <c r="AA86" i="3" s="1"/>
  <c r="BB87" i="3"/>
  <c r="AA87" i="3" s="1"/>
  <c r="BB88" i="3"/>
  <c r="AA88" i="3" s="1"/>
  <c r="BB89" i="3"/>
  <c r="AA89" i="3" s="1"/>
  <c r="BB90" i="3"/>
  <c r="AA90" i="3" s="1"/>
  <c r="BB91" i="3"/>
  <c r="AA91" i="3" s="1"/>
  <c r="BB92" i="3"/>
  <c r="AA92" i="3" s="1"/>
  <c r="BB93" i="3"/>
  <c r="AA93" i="3" s="1"/>
  <c r="BB94" i="3"/>
  <c r="AA94" i="3" s="1"/>
  <c r="BB95" i="3"/>
  <c r="AA95" i="3" s="1"/>
  <c r="BB96" i="3"/>
  <c r="AA96" i="3" s="1"/>
  <c r="BB97" i="3"/>
  <c r="AA97" i="3" s="1"/>
  <c r="BB98" i="3"/>
  <c r="AA98" i="3" s="1"/>
  <c r="BB99" i="3"/>
  <c r="AA99" i="3" s="1"/>
  <c r="BB100" i="3"/>
  <c r="AA100" i="3" s="1"/>
  <c r="BB101" i="3"/>
  <c r="AA101" i="3" s="1"/>
  <c r="BB102" i="3"/>
  <c r="AA102" i="3" s="1"/>
  <c r="BB103" i="3"/>
  <c r="AA103" i="3" s="1"/>
  <c r="BB104" i="3"/>
  <c r="AA104" i="3" s="1"/>
  <c r="BB105" i="3"/>
  <c r="AA105" i="3" s="1"/>
  <c r="BB106" i="3"/>
  <c r="AA106" i="3" s="1"/>
  <c r="N21" i="5" l="1"/>
  <c r="M21" i="5"/>
  <c r="L21" i="5"/>
  <c r="J21" i="5"/>
  <c r="I21" i="5"/>
  <c r="N20" i="5"/>
  <c r="M20" i="5"/>
  <c r="L20" i="5"/>
  <c r="J20" i="5"/>
  <c r="I20" i="5"/>
  <c r="N19" i="5"/>
  <c r="M19" i="5"/>
  <c r="L19" i="5"/>
  <c r="J19" i="5"/>
  <c r="I19" i="5"/>
  <c r="N18" i="5"/>
  <c r="M18" i="5"/>
  <c r="L18" i="5"/>
  <c r="J18" i="5"/>
  <c r="I18" i="5"/>
  <c r="N17" i="5"/>
  <c r="M17" i="5"/>
  <c r="L17" i="5"/>
  <c r="J17" i="5"/>
  <c r="I17" i="5"/>
  <c r="N16" i="5"/>
  <c r="M16" i="5"/>
  <c r="L16" i="5"/>
  <c r="J16" i="5"/>
  <c r="I16" i="5"/>
  <c r="N15" i="5"/>
  <c r="M15" i="5"/>
  <c r="L15" i="5"/>
  <c r="J15" i="5"/>
  <c r="I15" i="5"/>
  <c r="N14" i="5"/>
  <c r="M14" i="5"/>
  <c r="L14" i="5"/>
  <c r="J14" i="5"/>
  <c r="I14" i="5"/>
  <c r="N13" i="5"/>
  <c r="M13" i="5"/>
  <c r="L13" i="5"/>
  <c r="J13" i="5"/>
  <c r="I13" i="5"/>
  <c r="N12" i="5"/>
  <c r="M12" i="5"/>
  <c r="L12" i="5"/>
  <c r="J12" i="5"/>
  <c r="I12" i="5"/>
  <c r="N11" i="5"/>
  <c r="M11" i="5"/>
  <c r="L11" i="5"/>
  <c r="J11" i="5"/>
  <c r="I11" i="5"/>
  <c r="M10" i="5"/>
  <c r="L10" i="5"/>
  <c r="J10" i="5"/>
  <c r="I10" i="5"/>
  <c r="AE106" i="4"/>
  <c r="B106" i="4"/>
  <c r="F106" i="4" s="1"/>
  <c r="AE105" i="4"/>
  <c r="B105" i="4"/>
  <c r="F105" i="4" s="1"/>
  <c r="AE104" i="4"/>
  <c r="B104" i="4"/>
  <c r="F104" i="4" s="1"/>
  <c r="AE103" i="4"/>
  <c r="B103" i="4"/>
  <c r="F103" i="4" s="1"/>
  <c r="AE102" i="4"/>
  <c r="B102" i="4"/>
  <c r="F102" i="4" s="1"/>
  <c r="AE101" i="4"/>
  <c r="B101" i="4"/>
  <c r="F101" i="4" s="1"/>
  <c r="AE100" i="4"/>
  <c r="B100" i="4"/>
  <c r="F100" i="4" s="1"/>
  <c r="AE99" i="4"/>
  <c r="B99" i="4"/>
  <c r="F99" i="4" s="1"/>
  <c r="AE98" i="4"/>
  <c r="B98" i="4"/>
  <c r="AE97" i="4"/>
  <c r="B97" i="4"/>
  <c r="AE96" i="4"/>
  <c r="B96" i="4"/>
  <c r="AE95" i="4"/>
  <c r="B95" i="4"/>
  <c r="AE94" i="4"/>
  <c r="B94" i="4"/>
  <c r="AE93" i="4"/>
  <c r="B93" i="4"/>
  <c r="AE92" i="4"/>
  <c r="B92" i="4"/>
  <c r="AE91" i="4"/>
  <c r="B91" i="4"/>
  <c r="AE90" i="4"/>
  <c r="B90" i="4"/>
  <c r="AE89" i="4"/>
  <c r="B89" i="4"/>
  <c r="AE88" i="4"/>
  <c r="B88" i="4"/>
  <c r="AE87" i="4"/>
  <c r="B87" i="4"/>
  <c r="AE86" i="4"/>
  <c r="B86" i="4"/>
  <c r="AE85" i="4"/>
  <c r="B85" i="4"/>
  <c r="AE84" i="4"/>
  <c r="B84" i="4"/>
  <c r="AE83" i="4"/>
  <c r="B83" i="4"/>
  <c r="AE82" i="4"/>
  <c r="B82" i="4"/>
  <c r="AE81" i="4"/>
  <c r="B81" i="4"/>
  <c r="AE80" i="4"/>
  <c r="B80" i="4"/>
  <c r="AE79" i="4"/>
  <c r="B79" i="4"/>
  <c r="AE78" i="4"/>
  <c r="B78" i="4"/>
  <c r="AE77" i="4"/>
  <c r="B77" i="4"/>
  <c r="AE76" i="4"/>
  <c r="B76" i="4"/>
  <c r="AE75" i="4"/>
  <c r="B75" i="4"/>
  <c r="AE74" i="4"/>
  <c r="B74" i="4"/>
  <c r="AE73" i="4"/>
  <c r="B73" i="4"/>
  <c r="AE72" i="4"/>
  <c r="B72" i="4"/>
  <c r="AE71" i="4"/>
  <c r="B71" i="4"/>
  <c r="AE70" i="4"/>
  <c r="B70" i="4"/>
  <c r="AE69" i="4"/>
  <c r="B69" i="4"/>
  <c r="AE68" i="4"/>
  <c r="B68" i="4"/>
  <c r="AE67" i="4"/>
  <c r="B67" i="4"/>
  <c r="AE66" i="4"/>
  <c r="B66" i="4"/>
  <c r="AE65" i="4"/>
  <c r="B65" i="4"/>
  <c r="AE64" i="4"/>
  <c r="B64" i="4"/>
  <c r="AE63" i="4"/>
  <c r="B63" i="4"/>
  <c r="AE62" i="4"/>
  <c r="B62" i="4"/>
  <c r="AE61" i="4"/>
  <c r="B61" i="4"/>
  <c r="AE60" i="4"/>
  <c r="B60" i="4"/>
  <c r="AE59" i="4"/>
  <c r="B59" i="4"/>
  <c r="AE58" i="4"/>
  <c r="B58" i="4"/>
  <c r="AE57" i="4"/>
  <c r="B57" i="4"/>
  <c r="AE56" i="4"/>
  <c r="B56" i="4"/>
  <c r="AE55" i="4"/>
  <c r="B55" i="4"/>
  <c r="AE54" i="4"/>
  <c r="B54" i="4"/>
  <c r="AE53" i="4"/>
  <c r="B53" i="4"/>
  <c r="AE52" i="4"/>
  <c r="B52" i="4"/>
  <c r="AE51" i="4"/>
  <c r="B51" i="4"/>
  <c r="AE50" i="4"/>
  <c r="B50" i="4"/>
  <c r="AE49" i="4"/>
  <c r="B49" i="4"/>
  <c r="AE48" i="4"/>
  <c r="B48" i="4"/>
  <c r="AE47" i="4"/>
  <c r="B47" i="4"/>
  <c r="AE46" i="4"/>
  <c r="B46" i="4"/>
  <c r="AE45" i="4"/>
  <c r="B45" i="4"/>
  <c r="AE44" i="4"/>
  <c r="B44" i="4"/>
  <c r="AE43" i="4"/>
  <c r="B43" i="4"/>
  <c r="AE42" i="4"/>
  <c r="B42" i="4"/>
  <c r="AE41" i="4"/>
  <c r="AE40" i="4"/>
  <c r="AE39" i="4"/>
  <c r="AE38" i="4"/>
  <c r="AE37" i="4"/>
  <c r="AE36" i="4"/>
  <c r="AE35" i="4"/>
  <c r="AE34" i="4"/>
  <c r="AE33" i="4"/>
  <c r="AE32" i="4"/>
  <c r="AE31" i="4"/>
  <c r="AE30" i="4"/>
  <c r="AE29" i="4"/>
  <c r="AE28" i="4"/>
  <c r="AE27" i="4"/>
  <c r="AE26" i="4"/>
  <c r="AE25" i="4"/>
  <c r="AE24" i="4"/>
  <c r="AE23" i="4"/>
  <c r="AE22" i="4"/>
  <c r="AE21" i="4"/>
  <c r="AE20" i="4"/>
  <c r="AE19" i="4"/>
  <c r="AE18" i="4"/>
  <c r="AE17" i="4"/>
  <c r="AE16" i="4"/>
  <c r="AE15" i="4"/>
  <c r="AE14" i="4"/>
  <c r="AE13" i="4"/>
  <c r="AE12" i="4"/>
  <c r="AE11" i="4"/>
  <c r="AE10" i="4"/>
  <c r="AE9" i="4"/>
  <c r="AE8" i="4"/>
  <c r="AH7" i="4"/>
  <c r="AE7" i="4"/>
  <c r="AH8" i="4"/>
  <c r="BI106" i="3"/>
  <c r="BF106" i="3"/>
  <c r="BG106" i="3" s="1"/>
  <c r="BI105" i="3"/>
  <c r="BF105" i="3"/>
  <c r="BG105" i="3" s="1"/>
  <c r="BI104" i="3"/>
  <c r="BF104" i="3"/>
  <c r="BI103" i="3"/>
  <c r="BF103" i="3"/>
  <c r="BI102" i="3"/>
  <c r="BF102" i="3"/>
  <c r="BI101" i="3"/>
  <c r="BF101" i="3"/>
  <c r="BG101" i="3" s="1"/>
  <c r="BI100" i="3"/>
  <c r="BF100" i="3"/>
  <c r="BG100" i="3" s="1"/>
  <c r="BI99" i="3"/>
  <c r="BF99" i="3"/>
  <c r="BI98" i="3"/>
  <c r="BF98" i="3"/>
  <c r="BG98" i="3" s="1"/>
  <c r="BI97" i="3"/>
  <c r="BF97" i="3"/>
  <c r="BG97" i="3" s="1"/>
  <c r="BI96" i="3"/>
  <c r="BF96" i="3"/>
  <c r="BI95" i="3"/>
  <c r="BF95" i="3"/>
  <c r="BI94" i="3"/>
  <c r="BF94" i="3"/>
  <c r="BI93" i="3"/>
  <c r="BF93" i="3"/>
  <c r="BG93" i="3" s="1"/>
  <c r="BI92" i="3"/>
  <c r="BF92" i="3"/>
  <c r="BG92" i="3" s="1"/>
  <c r="BI91" i="3"/>
  <c r="BF91" i="3"/>
  <c r="BG91" i="3" s="1"/>
  <c r="BH91" i="3" s="1"/>
  <c r="BI90" i="3"/>
  <c r="BF90" i="3"/>
  <c r="BG90" i="3" s="1"/>
  <c r="BI89" i="3"/>
  <c r="BF89" i="3"/>
  <c r="BG89" i="3" s="1"/>
  <c r="BI88" i="3"/>
  <c r="BF88" i="3"/>
  <c r="BI87" i="3"/>
  <c r="BF87" i="3"/>
  <c r="BG87" i="3" s="1"/>
  <c r="BH87" i="3" s="1"/>
  <c r="BI86" i="3"/>
  <c r="BF86" i="3"/>
  <c r="BI85" i="3"/>
  <c r="BF85" i="3"/>
  <c r="BG85" i="3" s="1"/>
  <c r="BI84" i="3"/>
  <c r="BF84" i="3"/>
  <c r="BG84" i="3" s="1"/>
  <c r="BI83" i="3"/>
  <c r="BF83" i="3"/>
  <c r="BG83" i="3" s="1"/>
  <c r="BH83" i="3" s="1"/>
  <c r="BI82" i="3"/>
  <c r="BF82" i="3"/>
  <c r="BG82" i="3" s="1"/>
  <c r="BI81" i="3"/>
  <c r="BF81" i="3"/>
  <c r="BG81" i="3" s="1"/>
  <c r="BI80" i="3"/>
  <c r="BF80" i="3"/>
  <c r="BI79" i="3"/>
  <c r="BF79" i="3"/>
  <c r="BI78" i="3"/>
  <c r="BF78" i="3"/>
  <c r="BI77" i="3"/>
  <c r="BF77" i="3"/>
  <c r="BG77" i="3" s="1"/>
  <c r="BI76" i="3"/>
  <c r="BF76" i="3"/>
  <c r="BG76" i="3" s="1"/>
  <c r="BI75" i="3"/>
  <c r="BF75" i="3"/>
  <c r="BG75" i="3" s="1"/>
  <c r="BH75" i="3" s="1"/>
  <c r="BI74" i="3"/>
  <c r="BF74" i="3"/>
  <c r="BG74" i="3" s="1"/>
  <c r="BI73" i="3"/>
  <c r="BF73" i="3"/>
  <c r="BG73" i="3" s="1"/>
  <c r="BI72" i="3"/>
  <c r="BF72" i="3"/>
  <c r="BI71" i="3"/>
  <c r="BF71" i="3"/>
  <c r="BG71" i="3" s="1"/>
  <c r="BH71" i="3" s="1"/>
  <c r="BI70" i="3"/>
  <c r="BF70" i="3"/>
  <c r="BI69" i="3"/>
  <c r="BF69" i="3"/>
  <c r="BI68" i="3"/>
  <c r="BF68" i="3"/>
  <c r="BG68" i="3" s="1"/>
  <c r="BI67" i="3"/>
  <c r="BF67" i="3"/>
  <c r="BG67" i="3" s="1"/>
  <c r="BH67" i="3" s="1"/>
  <c r="BI66" i="3"/>
  <c r="BF66" i="3"/>
  <c r="BG66" i="3" s="1"/>
  <c r="BI65" i="3"/>
  <c r="BF65" i="3"/>
  <c r="BG65" i="3" s="1"/>
  <c r="BI64" i="3"/>
  <c r="BF64" i="3"/>
  <c r="BI63" i="3"/>
  <c r="BF63" i="3"/>
  <c r="BG63" i="3" s="1"/>
  <c r="BI62" i="3"/>
  <c r="BF62" i="3"/>
  <c r="BG62" i="3" s="1"/>
  <c r="BI61" i="3"/>
  <c r="BF61" i="3"/>
  <c r="BG61" i="3" s="1"/>
  <c r="BI60" i="3"/>
  <c r="BF60" i="3"/>
  <c r="BG60" i="3" s="1"/>
  <c r="BI59" i="3"/>
  <c r="BF59" i="3"/>
  <c r="BG59" i="3" s="1"/>
  <c r="BI58" i="3"/>
  <c r="BF58" i="3"/>
  <c r="BI57" i="3"/>
  <c r="BF57" i="3"/>
  <c r="BI56" i="3"/>
  <c r="BF56" i="3"/>
  <c r="BI55" i="3"/>
  <c r="BF55" i="3"/>
  <c r="BG55" i="3" s="1"/>
  <c r="BI54" i="3"/>
  <c r="BF54" i="3"/>
  <c r="BI53" i="3"/>
  <c r="BF53" i="3"/>
  <c r="BG53" i="3" s="1"/>
  <c r="BH53" i="3" s="1"/>
  <c r="BI52" i="3"/>
  <c r="BF52" i="3"/>
  <c r="BG52" i="3" s="1"/>
  <c r="BH52" i="3" s="1"/>
  <c r="BI51" i="3"/>
  <c r="BF51" i="3"/>
  <c r="BI50" i="3"/>
  <c r="BF50" i="3"/>
  <c r="BI49" i="3"/>
  <c r="BF49" i="3"/>
  <c r="BG49" i="3" s="1"/>
  <c r="BH49" i="3" s="1"/>
  <c r="BI48" i="3"/>
  <c r="BF48" i="3"/>
  <c r="BG48" i="3" s="1"/>
  <c r="BH48" i="3" s="1"/>
  <c r="BI47" i="3"/>
  <c r="BF47" i="3"/>
  <c r="BI46" i="3"/>
  <c r="BF46" i="3"/>
  <c r="BI45" i="3"/>
  <c r="BF45" i="3"/>
  <c r="BG45" i="3" s="1"/>
  <c r="BH45" i="3" s="1"/>
  <c r="BI44" i="3"/>
  <c r="BF44" i="3"/>
  <c r="BG44" i="3" s="1"/>
  <c r="BH44" i="3" s="1"/>
  <c r="BI43" i="3"/>
  <c r="BF43" i="3"/>
  <c r="BI42" i="3"/>
  <c r="BF42" i="3"/>
  <c r="BI41" i="3"/>
  <c r="BF41" i="3"/>
  <c r="BG41" i="3" s="1"/>
  <c r="BH41" i="3" s="1"/>
  <c r="BI40" i="3"/>
  <c r="BF40" i="3"/>
  <c r="BG40" i="3" s="1"/>
  <c r="BH40" i="3" s="1"/>
  <c r="BI39" i="3"/>
  <c r="BF39" i="3"/>
  <c r="BI38" i="3"/>
  <c r="BF38" i="3"/>
  <c r="BI37" i="3"/>
  <c r="BF37" i="3"/>
  <c r="BG37" i="3" s="1"/>
  <c r="BH37" i="3" s="1"/>
  <c r="BI36" i="3"/>
  <c r="BF36" i="3"/>
  <c r="BG36" i="3" s="1"/>
  <c r="BH36" i="3" s="1"/>
  <c r="BI35" i="3"/>
  <c r="BF35" i="3"/>
  <c r="BI34" i="3"/>
  <c r="BF34" i="3"/>
  <c r="BI33" i="3"/>
  <c r="BF33" i="3"/>
  <c r="BG33" i="3" s="1"/>
  <c r="BH33" i="3" s="1"/>
  <c r="B33" i="4"/>
  <c r="BI32" i="3"/>
  <c r="BF32" i="3"/>
  <c r="BG32" i="3" s="1"/>
  <c r="BH32" i="3" s="1"/>
  <c r="B32" i="4"/>
  <c r="BI31" i="3"/>
  <c r="BF31" i="3"/>
  <c r="B31" i="4"/>
  <c r="BI30" i="3"/>
  <c r="BF30" i="3"/>
  <c r="BI29" i="3"/>
  <c r="BF29" i="3"/>
  <c r="BG29" i="3" s="1"/>
  <c r="BH29" i="3" s="1"/>
  <c r="BI28" i="3"/>
  <c r="BF28" i="3"/>
  <c r="BG28" i="3" s="1"/>
  <c r="BH28" i="3" s="1"/>
  <c r="BI27" i="3"/>
  <c r="BF27" i="3"/>
  <c r="BI26" i="3"/>
  <c r="BF26" i="3"/>
  <c r="BI25" i="3"/>
  <c r="BF25" i="3"/>
  <c r="BG25" i="3" s="1"/>
  <c r="BH25" i="3" s="1"/>
  <c r="BI24" i="3"/>
  <c r="BF24" i="3"/>
  <c r="BG24" i="3" s="1"/>
  <c r="BH24" i="3" s="1"/>
  <c r="BI23" i="3"/>
  <c r="BF23" i="3"/>
  <c r="BI22" i="3"/>
  <c r="BF22" i="3"/>
  <c r="BI21" i="3"/>
  <c r="BH21" i="3"/>
  <c r="BI20" i="3"/>
  <c r="BF20" i="3"/>
  <c r="BG20" i="3" s="1"/>
  <c r="BH20" i="3" s="1"/>
  <c r="BI19" i="3"/>
  <c r="BF19" i="3"/>
  <c r="BG19" i="3" s="1"/>
  <c r="BI18" i="3"/>
  <c r="BF18" i="3"/>
  <c r="BI17" i="3"/>
  <c r="BF17" i="3"/>
  <c r="BG17" i="3" s="1"/>
  <c r="BH17" i="3" s="1"/>
  <c r="BI16" i="3"/>
  <c r="BF16" i="3"/>
  <c r="BG16" i="3" s="1"/>
  <c r="BH16" i="3" s="1"/>
  <c r="BI15" i="3"/>
  <c r="BF15" i="3"/>
  <c r="BI14" i="3"/>
  <c r="BF14" i="3"/>
  <c r="BI13" i="3"/>
  <c r="BF13" i="3"/>
  <c r="BG13" i="3" s="1"/>
  <c r="BH13" i="3" s="1"/>
  <c r="BI12" i="3"/>
  <c r="BF12" i="3"/>
  <c r="BG12" i="3" s="1"/>
  <c r="BH12" i="3" s="1"/>
  <c r="BF11" i="3"/>
  <c r="BI10" i="3"/>
  <c r="BF10" i="3"/>
  <c r="BI9" i="3"/>
  <c r="BF9" i="3"/>
  <c r="BG9" i="3" s="1"/>
  <c r="BH9" i="3" s="1"/>
  <c r="BF8" i="3"/>
  <c r="BG8" i="3" s="1"/>
  <c r="BH8" i="3" s="1"/>
  <c r="BI7" i="3"/>
  <c r="BF7" i="3"/>
  <c r="AG8" i="2"/>
  <c r="AG9" i="2" s="1"/>
  <c r="AH7" i="2"/>
  <c r="AH8" i="2" s="1"/>
  <c r="AH9" i="2" s="1"/>
  <c r="AI10" i="5" l="1"/>
  <c r="AH10" i="5"/>
  <c r="AG10" i="5"/>
  <c r="T10" i="5"/>
  <c r="I53" i="4"/>
  <c r="J53" i="4"/>
  <c r="V53" i="4" s="1"/>
  <c r="K53" i="4"/>
  <c r="L53" i="4"/>
  <c r="M53" i="4"/>
  <c r="N53" i="4"/>
  <c r="P53" i="4"/>
  <c r="Q53" i="4"/>
  <c r="G53" i="4"/>
  <c r="H53" i="4"/>
  <c r="O53" i="4"/>
  <c r="H59" i="4"/>
  <c r="J59" i="4"/>
  <c r="V59" i="4" s="1"/>
  <c r="K59" i="4"/>
  <c r="I59" i="4"/>
  <c r="M59" i="4"/>
  <c r="N59" i="4"/>
  <c r="P59" i="4"/>
  <c r="H65" i="4"/>
  <c r="M65" i="4"/>
  <c r="N65" i="4"/>
  <c r="O65" i="4"/>
  <c r="J65" i="4"/>
  <c r="G65" i="4"/>
  <c r="O47" i="4"/>
  <c r="P47" i="4"/>
  <c r="Q47" i="4"/>
  <c r="G47" i="4"/>
  <c r="H47" i="4"/>
  <c r="J47" i="4"/>
  <c r="K47" i="4"/>
  <c r="L47" i="4"/>
  <c r="I47" i="4"/>
  <c r="M47" i="4"/>
  <c r="N47" i="4"/>
  <c r="G31" i="4"/>
  <c r="K31" i="4"/>
  <c r="J31" i="4"/>
  <c r="L31" i="4"/>
  <c r="N48" i="4"/>
  <c r="O48" i="4"/>
  <c r="P48" i="4"/>
  <c r="Q48" i="4"/>
  <c r="G48" i="4"/>
  <c r="I48" i="4"/>
  <c r="J48" i="4"/>
  <c r="K48" i="4"/>
  <c r="L48" i="4"/>
  <c r="M48" i="4"/>
  <c r="H48" i="4"/>
  <c r="H54" i="4"/>
  <c r="I54" i="4"/>
  <c r="J54" i="4"/>
  <c r="K54" i="4"/>
  <c r="L54" i="4"/>
  <c r="M54" i="4"/>
  <c r="O54" i="4"/>
  <c r="P54" i="4"/>
  <c r="Q54" i="4"/>
  <c r="G54" i="4"/>
  <c r="N54" i="4"/>
  <c r="L60" i="4"/>
  <c r="G60" i="4"/>
  <c r="I60" i="4"/>
  <c r="J60" i="4"/>
  <c r="K60" i="4"/>
  <c r="H60" i="4"/>
  <c r="H42" i="4"/>
  <c r="I42" i="4"/>
  <c r="L42" i="4"/>
  <c r="K42" i="4"/>
  <c r="M42" i="4"/>
  <c r="P42" i="4"/>
  <c r="O42" i="4"/>
  <c r="Q42" i="4"/>
  <c r="N42" i="4"/>
  <c r="G43" i="4"/>
  <c r="J43" i="4"/>
  <c r="K43" i="4"/>
  <c r="L43" i="4"/>
  <c r="N43" i="4"/>
  <c r="M49" i="4"/>
  <c r="N49" i="4"/>
  <c r="O49" i="4"/>
  <c r="P49" i="4"/>
  <c r="Q49" i="4"/>
  <c r="H49" i="4"/>
  <c r="I49" i="4"/>
  <c r="J49" i="4"/>
  <c r="G49" i="4"/>
  <c r="K49" i="4"/>
  <c r="L49" i="4"/>
  <c r="G55" i="4"/>
  <c r="H55" i="4"/>
  <c r="I55" i="4"/>
  <c r="K55" i="4"/>
  <c r="J55" i="4"/>
  <c r="L55" i="4"/>
  <c r="N55" i="4"/>
  <c r="O55" i="4"/>
  <c r="P55" i="4"/>
  <c r="Q55" i="4"/>
  <c r="M55" i="4"/>
  <c r="M61" i="4"/>
  <c r="O61" i="4"/>
  <c r="P61" i="4"/>
  <c r="H61" i="4"/>
  <c r="I61" i="4"/>
  <c r="J61" i="4"/>
  <c r="V61" i="4" s="1"/>
  <c r="N61" i="4"/>
  <c r="Q61" i="4"/>
  <c r="L61" i="4"/>
  <c r="G61" i="4"/>
  <c r="K61" i="4"/>
  <c r="O32" i="4"/>
  <c r="G32" i="4"/>
  <c r="I32" i="4"/>
  <c r="J32" i="4"/>
  <c r="K32" i="4"/>
  <c r="N32" i="4"/>
  <c r="M32" i="4"/>
  <c r="L32" i="4"/>
  <c r="Q32" i="4"/>
  <c r="O44" i="4"/>
  <c r="I44" i="4"/>
  <c r="J44" i="4"/>
  <c r="K44" i="4"/>
  <c r="Q44" i="4"/>
  <c r="M44" i="4"/>
  <c r="I50" i="4"/>
  <c r="L50" i="4"/>
  <c r="M50" i="4"/>
  <c r="N50" i="4"/>
  <c r="P50" i="4"/>
  <c r="O50" i="4"/>
  <c r="Q50" i="4"/>
  <c r="G50" i="4"/>
  <c r="H50" i="4"/>
  <c r="J50" i="4"/>
  <c r="K50" i="4"/>
  <c r="G56" i="4"/>
  <c r="H56" i="4"/>
  <c r="I56" i="4"/>
  <c r="J56" i="4"/>
  <c r="K56" i="4"/>
  <c r="M56" i="4"/>
  <c r="N56" i="4"/>
  <c r="O56" i="4"/>
  <c r="L56" i="4"/>
  <c r="P56" i="4"/>
  <c r="Q56" i="4"/>
  <c r="K62" i="4"/>
  <c r="G62" i="4"/>
  <c r="I62" i="4"/>
  <c r="H62" i="4"/>
  <c r="J62" i="4"/>
  <c r="P62" i="4"/>
  <c r="AB62" i="4" s="1"/>
  <c r="Q62" i="4"/>
  <c r="Q45" i="4"/>
  <c r="G45" i="4"/>
  <c r="I45" i="4"/>
  <c r="H45" i="4"/>
  <c r="J45" i="4"/>
  <c r="L45" i="4"/>
  <c r="M45" i="4"/>
  <c r="N45" i="4"/>
  <c r="K45" i="4"/>
  <c r="O45" i="4"/>
  <c r="P45" i="4"/>
  <c r="K51" i="4"/>
  <c r="L51" i="4"/>
  <c r="M51" i="4"/>
  <c r="N51" i="4"/>
  <c r="O51" i="4"/>
  <c r="P51" i="4"/>
  <c r="G51" i="4"/>
  <c r="H51" i="4"/>
  <c r="Q51" i="4"/>
  <c r="J51" i="4"/>
  <c r="I51" i="4"/>
  <c r="O57" i="4"/>
  <c r="AA57" i="4" s="1"/>
  <c r="Q57" i="4"/>
  <c r="J57" i="4"/>
  <c r="L57" i="4"/>
  <c r="M57" i="4"/>
  <c r="N57" i="4"/>
  <c r="K57" i="4"/>
  <c r="J63" i="4"/>
  <c r="L33" i="4"/>
  <c r="P46" i="4"/>
  <c r="Q46" i="4"/>
  <c r="G46" i="4"/>
  <c r="H46" i="4"/>
  <c r="T46" i="4" s="1"/>
  <c r="I46" i="4"/>
  <c r="K46" i="4"/>
  <c r="L46" i="4"/>
  <c r="M46" i="4"/>
  <c r="J46" i="4"/>
  <c r="N46" i="4"/>
  <c r="O46" i="4"/>
  <c r="J52" i="4"/>
  <c r="K52" i="4"/>
  <c r="L52" i="4"/>
  <c r="N52" i="4"/>
  <c r="M52" i="4"/>
  <c r="O52" i="4"/>
  <c r="Q52" i="4"/>
  <c r="G52" i="4"/>
  <c r="H52" i="4"/>
  <c r="I52" i="4"/>
  <c r="P52" i="4"/>
  <c r="O58" i="4"/>
  <c r="Q58" i="4"/>
  <c r="K58" i="4"/>
  <c r="L58" i="4"/>
  <c r="M58" i="4"/>
  <c r="J58" i="4"/>
  <c r="V58" i="4" s="1"/>
  <c r="N58" i="4"/>
  <c r="M64" i="4"/>
  <c r="P64" i="4"/>
  <c r="H64" i="4"/>
  <c r="I64" i="4"/>
  <c r="K64" i="4"/>
  <c r="N64" i="4"/>
  <c r="O64" i="4"/>
  <c r="I71" i="4"/>
  <c r="J71" i="4"/>
  <c r="K71" i="4"/>
  <c r="L71" i="4"/>
  <c r="M71" i="4"/>
  <c r="N71" i="4"/>
  <c r="G71" i="4"/>
  <c r="H71" i="4"/>
  <c r="O71" i="4"/>
  <c r="P71" i="4"/>
  <c r="Q71" i="4"/>
  <c r="I77" i="4"/>
  <c r="J77" i="4"/>
  <c r="K77" i="4"/>
  <c r="L77" i="4"/>
  <c r="M77" i="4"/>
  <c r="N77" i="4"/>
  <c r="G77" i="4"/>
  <c r="H77" i="4"/>
  <c r="O77" i="4"/>
  <c r="P77" i="4"/>
  <c r="Q77" i="4"/>
  <c r="I83" i="4"/>
  <c r="J83" i="4"/>
  <c r="K83" i="4"/>
  <c r="L83" i="4"/>
  <c r="M83" i="4"/>
  <c r="N83" i="4"/>
  <c r="G83" i="4"/>
  <c r="H83" i="4"/>
  <c r="O83" i="4"/>
  <c r="P83" i="4"/>
  <c r="Q83" i="4"/>
  <c r="I89" i="4"/>
  <c r="J89" i="4"/>
  <c r="K89" i="4"/>
  <c r="L89" i="4"/>
  <c r="M89" i="4"/>
  <c r="N89" i="4"/>
  <c r="G89" i="4"/>
  <c r="H89" i="4"/>
  <c r="O89" i="4"/>
  <c r="P89" i="4"/>
  <c r="Q89" i="4"/>
  <c r="M95" i="4"/>
  <c r="N95" i="4"/>
  <c r="O95" i="4"/>
  <c r="P95" i="4"/>
  <c r="Q95" i="4"/>
  <c r="G95" i="4"/>
  <c r="H95" i="4"/>
  <c r="I95" i="4"/>
  <c r="J95" i="4"/>
  <c r="K95" i="4"/>
  <c r="L95" i="4"/>
  <c r="M101" i="4"/>
  <c r="N101" i="4"/>
  <c r="O101" i="4"/>
  <c r="P101" i="4"/>
  <c r="Q101" i="4"/>
  <c r="G101" i="4"/>
  <c r="H101" i="4"/>
  <c r="I101" i="4"/>
  <c r="J101" i="4"/>
  <c r="K101" i="4"/>
  <c r="L101" i="4"/>
  <c r="I72" i="4"/>
  <c r="J72" i="4"/>
  <c r="K72" i="4"/>
  <c r="L72" i="4"/>
  <c r="M72" i="4"/>
  <c r="N72" i="4"/>
  <c r="G72" i="4"/>
  <c r="H72" i="4"/>
  <c r="O72" i="4"/>
  <c r="P72" i="4"/>
  <c r="Q72" i="4"/>
  <c r="I78" i="4"/>
  <c r="J78" i="4"/>
  <c r="K78" i="4"/>
  <c r="L78" i="4"/>
  <c r="M78" i="4"/>
  <c r="N78" i="4"/>
  <c r="G78" i="4"/>
  <c r="H78" i="4"/>
  <c r="O78" i="4"/>
  <c r="P78" i="4"/>
  <c r="Q78" i="4"/>
  <c r="I84" i="4"/>
  <c r="J84" i="4"/>
  <c r="K84" i="4"/>
  <c r="L84" i="4"/>
  <c r="M84" i="4"/>
  <c r="N84" i="4"/>
  <c r="G84" i="4"/>
  <c r="H84" i="4"/>
  <c r="O84" i="4"/>
  <c r="P84" i="4"/>
  <c r="Q84" i="4"/>
  <c r="I90" i="4"/>
  <c r="J90" i="4"/>
  <c r="K90" i="4"/>
  <c r="L90" i="4"/>
  <c r="M90" i="4"/>
  <c r="N90" i="4"/>
  <c r="G90" i="4"/>
  <c r="H90" i="4"/>
  <c r="O90" i="4"/>
  <c r="P90" i="4"/>
  <c r="Q90" i="4"/>
  <c r="M96" i="4"/>
  <c r="N96" i="4"/>
  <c r="O96" i="4"/>
  <c r="P96" i="4"/>
  <c r="Q96" i="4"/>
  <c r="G96" i="4"/>
  <c r="H96" i="4"/>
  <c r="I96" i="4"/>
  <c r="J96" i="4"/>
  <c r="K96" i="4"/>
  <c r="L96" i="4"/>
  <c r="M102" i="4"/>
  <c r="N102" i="4"/>
  <c r="O102" i="4"/>
  <c r="P102" i="4"/>
  <c r="Q102" i="4"/>
  <c r="G102" i="4"/>
  <c r="H102" i="4"/>
  <c r="I102" i="4"/>
  <c r="J102" i="4"/>
  <c r="K102" i="4"/>
  <c r="L102" i="4"/>
  <c r="I73" i="4"/>
  <c r="J73" i="4"/>
  <c r="K73" i="4"/>
  <c r="L73" i="4"/>
  <c r="M73" i="4"/>
  <c r="N73" i="4"/>
  <c r="G73" i="4"/>
  <c r="H73" i="4"/>
  <c r="O73" i="4"/>
  <c r="P73" i="4"/>
  <c r="Q73" i="4"/>
  <c r="I79" i="4"/>
  <c r="J79" i="4"/>
  <c r="K79" i="4"/>
  <c r="L79" i="4"/>
  <c r="M79" i="4"/>
  <c r="N79" i="4"/>
  <c r="G79" i="4"/>
  <c r="H79" i="4"/>
  <c r="O79" i="4"/>
  <c r="P79" i="4"/>
  <c r="Q79" i="4"/>
  <c r="I85" i="4"/>
  <c r="J85" i="4"/>
  <c r="K85" i="4"/>
  <c r="L85" i="4"/>
  <c r="M85" i="4"/>
  <c r="N85" i="4"/>
  <c r="G85" i="4"/>
  <c r="H85" i="4"/>
  <c r="O85" i="4"/>
  <c r="P85" i="4"/>
  <c r="Q85" i="4"/>
  <c r="I91" i="4"/>
  <c r="J91" i="4"/>
  <c r="K91" i="4"/>
  <c r="L91" i="4"/>
  <c r="M91" i="4"/>
  <c r="N91" i="4"/>
  <c r="G91" i="4"/>
  <c r="H91" i="4"/>
  <c r="O91" i="4"/>
  <c r="P91" i="4"/>
  <c r="Q91" i="4"/>
  <c r="M97" i="4"/>
  <c r="N97" i="4"/>
  <c r="O97" i="4"/>
  <c r="P97" i="4"/>
  <c r="Q97" i="4"/>
  <c r="G97" i="4"/>
  <c r="H97" i="4"/>
  <c r="I97" i="4"/>
  <c r="J97" i="4"/>
  <c r="K97" i="4"/>
  <c r="L97" i="4"/>
  <c r="M103" i="4"/>
  <c r="N103" i="4"/>
  <c r="O103" i="4"/>
  <c r="P103" i="4"/>
  <c r="Q103" i="4"/>
  <c r="G103" i="4"/>
  <c r="H103" i="4"/>
  <c r="I103" i="4"/>
  <c r="J103" i="4"/>
  <c r="K103" i="4"/>
  <c r="L103" i="4"/>
  <c r="I68" i="4"/>
  <c r="J68" i="4"/>
  <c r="K68" i="4"/>
  <c r="L68" i="4"/>
  <c r="M68" i="4"/>
  <c r="N68" i="4"/>
  <c r="G68" i="4"/>
  <c r="H68" i="4"/>
  <c r="O68" i="4"/>
  <c r="P68" i="4"/>
  <c r="Q68" i="4"/>
  <c r="I74" i="4"/>
  <c r="J74" i="4"/>
  <c r="K74" i="4"/>
  <c r="L74" i="4"/>
  <c r="M74" i="4"/>
  <c r="N74" i="4"/>
  <c r="G74" i="4"/>
  <c r="H74" i="4"/>
  <c r="O74" i="4"/>
  <c r="P74" i="4"/>
  <c r="Q74" i="4"/>
  <c r="I80" i="4"/>
  <c r="J80" i="4"/>
  <c r="K80" i="4"/>
  <c r="L80" i="4"/>
  <c r="M80" i="4"/>
  <c r="N80" i="4"/>
  <c r="G80" i="4"/>
  <c r="H80" i="4"/>
  <c r="O80" i="4"/>
  <c r="P80" i="4"/>
  <c r="Q80" i="4"/>
  <c r="I86" i="4"/>
  <c r="J86" i="4"/>
  <c r="K86" i="4"/>
  <c r="L86" i="4"/>
  <c r="M86" i="4"/>
  <c r="N86" i="4"/>
  <c r="G86" i="4"/>
  <c r="H86" i="4"/>
  <c r="O86" i="4"/>
  <c r="P86" i="4"/>
  <c r="Q86" i="4"/>
  <c r="I92" i="4"/>
  <c r="J92" i="4"/>
  <c r="K92" i="4"/>
  <c r="L92" i="4"/>
  <c r="M92" i="4"/>
  <c r="N92" i="4"/>
  <c r="G92" i="4"/>
  <c r="H92" i="4"/>
  <c r="O92" i="4"/>
  <c r="P92" i="4"/>
  <c r="Q92" i="4"/>
  <c r="M98" i="4"/>
  <c r="N98" i="4"/>
  <c r="O98" i="4"/>
  <c r="P98" i="4"/>
  <c r="Q98" i="4"/>
  <c r="G98" i="4"/>
  <c r="H98" i="4"/>
  <c r="I98" i="4"/>
  <c r="J98" i="4"/>
  <c r="K98" i="4"/>
  <c r="L98" i="4"/>
  <c r="M104" i="4"/>
  <c r="N104" i="4"/>
  <c r="O104" i="4"/>
  <c r="P104" i="4"/>
  <c r="Q104" i="4"/>
  <c r="G104" i="4"/>
  <c r="H104" i="4"/>
  <c r="I104" i="4"/>
  <c r="J104" i="4"/>
  <c r="K104" i="4"/>
  <c r="L104" i="4"/>
  <c r="I69" i="4"/>
  <c r="J69" i="4"/>
  <c r="K69" i="4"/>
  <c r="L69" i="4"/>
  <c r="M69" i="4"/>
  <c r="N69" i="4"/>
  <c r="G69" i="4"/>
  <c r="H69" i="4"/>
  <c r="O69" i="4"/>
  <c r="P69" i="4"/>
  <c r="Q69" i="4"/>
  <c r="I75" i="4"/>
  <c r="J75" i="4"/>
  <c r="K75" i="4"/>
  <c r="L75" i="4"/>
  <c r="M75" i="4"/>
  <c r="N75" i="4"/>
  <c r="G75" i="4"/>
  <c r="H75" i="4"/>
  <c r="O75" i="4"/>
  <c r="P75" i="4"/>
  <c r="Q75" i="4"/>
  <c r="I81" i="4"/>
  <c r="J81" i="4"/>
  <c r="K81" i="4"/>
  <c r="L81" i="4"/>
  <c r="M81" i="4"/>
  <c r="N81" i="4"/>
  <c r="G81" i="4"/>
  <c r="H81" i="4"/>
  <c r="O81" i="4"/>
  <c r="P81" i="4"/>
  <c r="Q81" i="4"/>
  <c r="I87" i="4"/>
  <c r="J87" i="4"/>
  <c r="K87" i="4"/>
  <c r="L87" i="4"/>
  <c r="M87" i="4"/>
  <c r="N87" i="4"/>
  <c r="G87" i="4"/>
  <c r="H87" i="4"/>
  <c r="O87" i="4"/>
  <c r="P87" i="4"/>
  <c r="Q87" i="4"/>
  <c r="M93" i="4"/>
  <c r="N93" i="4"/>
  <c r="O93" i="4"/>
  <c r="P93" i="4"/>
  <c r="Q93" i="4"/>
  <c r="G93" i="4"/>
  <c r="H93" i="4"/>
  <c r="I93" i="4"/>
  <c r="J93" i="4"/>
  <c r="K93" i="4"/>
  <c r="L93" i="4"/>
  <c r="M99" i="4"/>
  <c r="N99" i="4"/>
  <c r="O99" i="4"/>
  <c r="P99" i="4"/>
  <c r="Q99" i="4"/>
  <c r="G99" i="4"/>
  <c r="H99" i="4"/>
  <c r="I99" i="4"/>
  <c r="J99" i="4"/>
  <c r="K99" i="4"/>
  <c r="L99" i="4"/>
  <c r="M105" i="4"/>
  <c r="N105" i="4"/>
  <c r="O105" i="4"/>
  <c r="P105" i="4"/>
  <c r="Q105" i="4"/>
  <c r="G105" i="4"/>
  <c r="H105" i="4"/>
  <c r="I105" i="4"/>
  <c r="J105" i="4"/>
  <c r="K105" i="4"/>
  <c r="L105" i="4"/>
  <c r="I70" i="4"/>
  <c r="J70" i="4"/>
  <c r="K70" i="4"/>
  <c r="L70" i="4"/>
  <c r="M70" i="4"/>
  <c r="N70" i="4"/>
  <c r="G70" i="4"/>
  <c r="H70" i="4"/>
  <c r="O70" i="4"/>
  <c r="P70" i="4"/>
  <c r="Q70" i="4"/>
  <c r="I76" i="4"/>
  <c r="J76" i="4"/>
  <c r="K76" i="4"/>
  <c r="L76" i="4"/>
  <c r="M76" i="4"/>
  <c r="N76" i="4"/>
  <c r="G76" i="4"/>
  <c r="H76" i="4"/>
  <c r="O76" i="4"/>
  <c r="P76" i="4"/>
  <c r="Q76" i="4"/>
  <c r="I82" i="4"/>
  <c r="J82" i="4"/>
  <c r="K82" i="4"/>
  <c r="L82" i="4"/>
  <c r="M82" i="4"/>
  <c r="N82" i="4"/>
  <c r="G82" i="4"/>
  <c r="H82" i="4"/>
  <c r="O82" i="4"/>
  <c r="P82" i="4"/>
  <c r="Q82" i="4"/>
  <c r="I88" i="4"/>
  <c r="J88" i="4"/>
  <c r="K88" i="4"/>
  <c r="L88" i="4"/>
  <c r="M88" i="4"/>
  <c r="N88" i="4"/>
  <c r="G88" i="4"/>
  <c r="H88" i="4"/>
  <c r="O88" i="4"/>
  <c r="P88" i="4"/>
  <c r="Q88" i="4"/>
  <c r="M94" i="4"/>
  <c r="N94" i="4"/>
  <c r="O94" i="4"/>
  <c r="P94" i="4"/>
  <c r="Q94" i="4"/>
  <c r="G94" i="4"/>
  <c r="H94" i="4"/>
  <c r="I94" i="4"/>
  <c r="J94" i="4"/>
  <c r="K94" i="4"/>
  <c r="L94" i="4"/>
  <c r="M100" i="4"/>
  <c r="N100" i="4"/>
  <c r="O100" i="4"/>
  <c r="P100" i="4"/>
  <c r="Q100" i="4"/>
  <c r="G100" i="4"/>
  <c r="H100" i="4"/>
  <c r="I100" i="4"/>
  <c r="J100" i="4"/>
  <c r="K100" i="4"/>
  <c r="L100" i="4"/>
  <c r="M106" i="4"/>
  <c r="N106" i="4"/>
  <c r="O106" i="4"/>
  <c r="P106" i="4"/>
  <c r="Q106" i="4"/>
  <c r="G106" i="4"/>
  <c r="H106" i="4"/>
  <c r="I106" i="4"/>
  <c r="J106" i="4"/>
  <c r="K106" i="4"/>
  <c r="L106" i="4"/>
  <c r="N66" i="4"/>
  <c r="I67" i="4"/>
  <c r="E99" i="4"/>
  <c r="E100" i="4"/>
  <c r="AC45" i="4"/>
  <c r="AG10" i="2"/>
  <c r="E101" i="4"/>
  <c r="E103" i="4"/>
  <c r="E105" i="4"/>
  <c r="E102" i="4"/>
  <c r="E104" i="4"/>
  <c r="E106" i="4"/>
  <c r="H10" i="6"/>
  <c r="B10" i="8"/>
  <c r="L10" i="7"/>
  <c r="B10" i="32"/>
  <c r="B9" i="8"/>
  <c r="B9" i="32"/>
  <c r="AH10" i="2"/>
  <c r="AH11" i="2" s="1"/>
  <c r="AH12" i="2" s="1"/>
  <c r="U10" i="5"/>
  <c r="O11" i="5"/>
  <c r="X77" i="4"/>
  <c r="Z87" i="4"/>
  <c r="Z78" i="4"/>
  <c r="AB88" i="4"/>
  <c r="AC90" i="4"/>
  <c r="W92" i="4"/>
  <c r="W65" i="4"/>
  <c r="V69" i="4"/>
  <c r="AB79" i="4"/>
  <c r="AB83" i="4"/>
  <c r="R91" i="4"/>
  <c r="R97" i="4"/>
  <c r="Z103" i="4"/>
  <c r="AA73" i="4"/>
  <c r="T64" i="4"/>
  <c r="AB68" i="4"/>
  <c r="V55" i="4"/>
  <c r="AA78" i="4"/>
  <c r="S61" i="4"/>
  <c r="Z71" i="4"/>
  <c r="V103" i="4"/>
  <c r="U62" i="4"/>
  <c r="AC72" i="4"/>
  <c r="T56" i="4"/>
  <c r="Y66" i="4"/>
  <c r="S72" i="4"/>
  <c r="AB76" i="4"/>
  <c r="AC80" i="4"/>
  <c r="U82" i="4"/>
  <c r="R86" i="4"/>
  <c r="V101" i="4"/>
  <c r="S32" i="4"/>
  <c r="R69" i="4"/>
  <c r="X72" i="4"/>
  <c r="AC76" i="4"/>
  <c r="U80" i="4"/>
  <c r="V82" i="4"/>
  <c r="U92" i="4"/>
  <c r="U76" i="4"/>
  <c r="AB80" i="4"/>
  <c r="S82" i="4"/>
  <c r="Y71" i="4"/>
  <c r="AA72" i="4"/>
  <c r="X80" i="4"/>
  <c r="C77" i="4"/>
  <c r="D77" i="4" s="1"/>
  <c r="C78" i="4"/>
  <c r="D78" i="4" s="1"/>
  <c r="C79" i="4"/>
  <c r="D79" i="4" s="1"/>
  <c r="C80" i="4"/>
  <c r="D80" i="4" s="1"/>
  <c r="C82" i="4"/>
  <c r="D82" i="4" s="1"/>
  <c r="C93" i="4"/>
  <c r="D93" i="4" s="1"/>
  <c r="C37" i="4"/>
  <c r="C38" i="4"/>
  <c r="C39" i="4"/>
  <c r="C40" i="4"/>
  <c r="C64" i="4"/>
  <c r="D64" i="4" s="1"/>
  <c r="C66" i="4"/>
  <c r="D66" i="4" s="1"/>
  <c r="C94" i="4"/>
  <c r="D94" i="4" s="1"/>
  <c r="C97" i="4"/>
  <c r="D97" i="4" s="1"/>
  <c r="C41" i="4"/>
  <c r="C43" i="4"/>
  <c r="D43" i="4" s="1"/>
  <c r="C45" i="4"/>
  <c r="D45" i="4" s="1"/>
  <c r="C47" i="4"/>
  <c r="D47" i="4" s="1"/>
  <c r="C51" i="4"/>
  <c r="D51" i="4" s="1"/>
  <c r="C83" i="4"/>
  <c r="D83" i="4" s="1"/>
  <c r="C99" i="4"/>
  <c r="D99" i="4" s="1"/>
  <c r="Y88" i="4"/>
  <c r="S93" i="4"/>
  <c r="V94" i="4"/>
  <c r="AC96" i="4"/>
  <c r="S96" i="4"/>
  <c r="T96" i="4"/>
  <c r="C96" i="4"/>
  <c r="D96" i="4" s="1"/>
  <c r="X81" i="4"/>
  <c r="C42" i="4"/>
  <c r="D42" i="4" s="1"/>
  <c r="C49" i="4"/>
  <c r="D49" i="4" s="1"/>
  <c r="C52" i="4"/>
  <c r="D52" i="4" s="1"/>
  <c r="C100" i="4"/>
  <c r="D100" i="4" s="1"/>
  <c r="Z55" i="4"/>
  <c r="AB55" i="4"/>
  <c r="C8" i="4"/>
  <c r="C10" i="4"/>
  <c r="C12" i="4"/>
  <c r="C14" i="4"/>
  <c r="C16" i="4"/>
  <c r="C18" i="4"/>
  <c r="C19" i="4"/>
  <c r="C54" i="4"/>
  <c r="D54" i="4" s="1"/>
  <c r="C58" i="4"/>
  <c r="D58" i="4" s="1"/>
  <c r="C60" i="4"/>
  <c r="D60" i="4" s="1"/>
  <c r="C70" i="4"/>
  <c r="D70" i="4" s="1"/>
  <c r="C72" i="4"/>
  <c r="D72" i="4" s="1"/>
  <c r="C74" i="4"/>
  <c r="C86" i="4"/>
  <c r="D86" i="4" s="1"/>
  <c r="C88" i="4"/>
  <c r="D88" i="4" s="1"/>
  <c r="C90" i="4"/>
  <c r="D90" i="4" s="1"/>
  <c r="C103" i="4"/>
  <c r="D103" i="4" s="1"/>
  <c r="C105" i="4"/>
  <c r="D105" i="4" s="1"/>
  <c r="C106" i="4"/>
  <c r="D106" i="4" s="1"/>
  <c r="T45" i="4"/>
  <c r="U48" i="4"/>
  <c r="R53" i="4"/>
  <c r="T55" i="4"/>
  <c r="V62" i="4"/>
  <c r="AA76" i="4"/>
  <c r="S76" i="4"/>
  <c r="W76" i="4"/>
  <c r="T87" i="4"/>
  <c r="T91" i="4"/>
  <c r="AB92" i="4"/>
  <c r="T92" i="4"/>
  <c r="AA92" i="4"/>
  <c r="V93" i="4"/>
  <c r="Z94" i="4"/>
  <c r="Y96" i="4"/>
  <c r="Y104" i="4"/>
  <c r="C95" i="4"/>
  <c r="D95" i="4" s="1"/>
  <c r="C98" i="4"/>
  <c r="D98" i="4" s="1"/>
  <c r="U88" i="4"/>
  <c r="V99" i="4"/>
  <c r="Z99" i="4"/>
  <c r="AB100" i="4"/>
  <c r="AA100" i="4"/>
  <c r="Z105" i="4"/>
  <c r="C44" i="4"/>
  <c r="D44" i="4" s="1"/>
  <c r="C46" i="4"/>
  <c r="D46" i="4" s="1"/>
  <c r="C48" i="4"/>
  <c r="D48" i="4" s="1"/>
  <c r="C50" i="4"/>
  <c r="D50" i="4" s="1"/>
  <c r="C68" i="4"/>
  <c r="D68" i="4" s="1"/>
  <c r="C84" i="4"/>
  <c r="D84" i="4" s="1"/>
  <c r="R81" i="4"/>
  <c r="C7" i="4"/>
  <c r="C9" i="4"/>
  <c r="C11" i="4"/>
  <c r="C13" i="4"/>
  <c r="C15" i="4"/>
  <c r="C17" i="4"/>
  <c r="C20" i="4"/>
  <c r="C53" i="4"/>
  <c r="D53" i="4" s="1"/>
  <c r="C55" i="4"/>
  <c r="D55" i="4" s="1"/>
  <c r="C56" i="4"/>
  <c r="D56" i="4" s="1"/>
  <c r="C69" i="4"/>
  <c r="D69" i="4" s="1"/>
  <c r="C71" i="4"/>
  <c r="D71" i="4" s="1"/>
  <c r="C73" i="4"/>
  <c r="D73" i="4" s="1"/>
  <c r="C85" i="4"/>
  <c r="D85" i="4" s="1"/>
  <c r="C87" i="4"/>
  <c r="D87" i="4" s="1"/>
  <c r="C89" i="4"/>
  <c r="D89" i="4" s="1"/>
  <c r="C101" i="4"/>
  <c r="D101" i="4" s="1"/>
  <c r="C102" i="4"/>
  <c r="D102" i="4" s="1"/>
  <c r="C104" i="4"/>
  <c r="D104" i="4" s="1"/>
  <c r="C21" i="4"/>
  <c r="C22" i="4"/>
  <c r="C23" i="4"/>
  <c r="C24" i="4"/>
  <c r="C25" i="4"/>
  <c r="C26" i="4"/>
  <c r="C27" i="4"/>
  <c r="C28" i="4"/>
  <c r="C29" i="4"/>
  <c r="C30" i="4"/>
  <c r="C31" i="4"/>
  <c r="D31" i="4" s="1"/>
  <c r="C32" i="4"/>
  <c r="D32" i="4" s="1"/>
  <c r="C33" i="4"/>
  <c r="D33" i="4" s="1"/>
  <c r="C34" i="4"/>
  <c r="C35" i="4"/>
  <c r="C36" i="4"/>
  <c r="C62" i="4"/>
  <c r="D62" i="4" s="1"/>
  <c r="C75" i="4"/>
  <c r="D75" i="4" s="1"/>
  <c r="C76" i="4"/>
  <c r="D76" i="4" s="1"/>
  <c r="C91" i="4"/>
  <c r="D91" i="4" s="1"/>
  <c r="C92" i="4"/>
  <c r="D92" i="4" s="1"/>
  <c r="V45" i="4"/>
  <c r="X53" i="4"/>
  <c r="W54" i="4"/>
  <c r="U55" i="4"/>
  <c r="AA64" i="4"/>
  <c r="AB65" i="4"/>
  <c r="T68" i="4"/>
  <c r="AB72" i="4"/>
  <c r="U72" i="4"/>
  <c r="W72" i="4"/>
  <c r="U75" i="4"/>
  <c r="X76" i="4"/>
  <c r="U78" i="4"/>
  <c r="AA80" i="4"/>
  <c r="S80" i="4"/>
  <c r="W80" i="4"/>
  <c r="Z82" i="4"/>
  <c r="AA82" i="4"/>
  <c r="Y87" i="4"/>
  <c r="AB96" i="4"/>
  <c r="X97" i="4"/>
  <c r="Y98" i="4"/>
  <c r="T100" i="4"/>
  <c r="V105" i="4"/>
  <c r="V57" i="4"/>
  <c r="BG64" i="3"/>
  <c r="BH64" i="3" s="1"/>
  <c r="BG94" i="3"/>
  <c r="BH94" i="3" s="1"/>
  <c r="BH68" i="3"/>
  <c r="V46" i="4"/>
  <c r="BG78" i="3"/>
  <c r="BH78" i="3" s="1"/>
  <c r="BG56" i="3"/>
  <c r="BH56" i="3" s="1"/>
  <c r="BG57" i="3"/>
  <c r="BH57" i="3" s="1"/>
  <c r="BG70" i="3"/>
  <c r="BH70" i="3" s="1"/>
  <c r="BG86" i="3"/>
  <c r="BH86" i="3" s="1"/>
  <c r="BG102" i="3"/>
  <c r="BH102" i="3" s="1"/>
  <c r="W44" i="4"/>
  <c r="AA44" i="4"/>
  <c r="U44" i="4"/>
  <c r="AC44" i="4"/>
  <c r="Y44" i="4"/>
  <c r="U46" i="4"/>
  <c r="W52" i="4"/>
  <c r="U52" i="4"/>
  <c r="T52" i="4"/>
  <c r="BH76" i="3"/>
  <c r="BH84" i="3"/>
  <c r="BH92" i="3"/>
  <c r="BH100" i="3"/>
  <c r="T48" i="4"/>
  <c r="AA56" i="4"/>
  <c r="U56" i="4"/>
  <c r="S56" i="4"/>
  <c r="Y56" i="4"/>
  <c r="AB64" i="4"/>
  <c r="W64" i="4"/>
  <c r="S64" i="4"/>
  <c r="Y64" i="4"/>
  <c r="V66" i="4"/>
  <c r="U66" i="4"/>
  <c r="AA68" i="4"/>
  <c r="U68" i="4"/>
  <c r="S68" i="4"/>
  <c r="Y68" i="4"/>
  <c r="Z70" i="4"/>
  <c r="V73" i="4"/>
  <c r="T73" i="4"/>
  <c r="AC74" i="4"/>
  <c r="V77" i="4"/>
  <c r="AA77" i="4"/>
  <c r="T77" i="4"/>
  <c r="S77" i="4"/>
  <c r="V85" i="4"/>
  <c r="AA89" i="4"/>
  <c r="Z89" i="4"/>
  <c r="T89" i="4"/>
  <c r="R95" i="4"/>
  <c r="AB95" i="4"/>
  <c r="AC104" i="4"/>
  <c r="X104" i="4"/>
  <c r="S104" i="4"/>
  <c r="W104" i="4"/>
  <c r="AB104" i="4"/>
  <c r="T104" i="4"/>
  <c r="AA104" i="4"/>
  <c r="U104" i="4"/>
  <c r="AA84" i="4"/>
  <c r="U84" i="4"/>
  <c r="AC84" i="4"/>
  <c r="W84" i="4"/>
  <c r="AB84" i="4"/>
  <c r="T84" i="4"/>
  <c r="AC70" i="4"/>
  <c r="AA85" i="4"/>
  <c r="AB85" i="4"/>
  <c r="S102" i="4"/>
  <c r="W48" i="4"/>
  <c r="W56" i="4"/>
  <c r="AC56" i="4"/>
  <c r="Z57" i="4"/>
  <c r="T59" i="4"/>
  <c r="U59" i="4"/>
  <c r="T61" i="4"/>
  <c r="U64" i="4"/>
  <c r="AC64" i="4"/>
  <c r="Z66" i="4"/>
  <c r="W68" i="4"/>
  <c r="AC68" i="4"/>
  <c r="X69" i="4"/>
  <c r="S70" i="4"/>
  <c r="T71" i="4"/>
  <c r="AB71" i="4"/>
  <c r="AB73" i="4"/>
  <c r="AC75" i="4"/>
  <c r="Z77" i="4"/>
  <c r="X84" i="4"/>
  <c r="V89" i="4"/>
  <c r="AA93" i="4"/>
  <c r="T93" i="4"/>
  <c r="Z93" i="4"/>
  <c r="X93" i="4"/>
  <c r="AC95" i="4"/>
  <c r="Y70" i="4"/>
  <c r="R70" i="4"/>
  <c r="S84" i="4"/>
  <c r="V90" i="4"/>
  <c r="R90" i="4"/>
  <c r="BG58" i="3"/>
  <c r="BH58" i="3" s="1"/>
  <c r="BH60" i="3"/>
  <c r="BH65" i="3"/>
  <c r="BH66" i="3"/>
  <c r="BG72" i="3"/>
  <c r="BH72" i="3" s="1"/>
  <c r="BH74" i="3"/>
  <c r="BG80" i="3"/>
  <c r="BH80" i="3" s="1"/>
  <c r="BH82" i="3"/>
  <c r="BG88" i="3"/>
  <c r="BH88" i="3" s="1"/>
  <c r="BH90" i="3"/>
  <c r="BG96" i="3"/>
  <c r="BH96" i="3" s="1"/>
  <c r="BH98" i="3"/>
  <c r="BG104" i="3"/>
  <c r="BH104" i="3" s="1"/>
  <c r="BH106" i="3"/>
  <c r="S45" i="4"/>
  <c r="S48" i="4"/>
  <c r="X56" i="4"/>
  <c r="X64" i="4"/>
  <c r="S66" i="4"/>
  <c r="AA66" i="4"/>
  <c r="X68" i="4"/>
  <c r="AB69" i="4"/>
  <c r="S69" i="4"/>
  <c r="AA69" i="4"/>
  <c r="U70" i="4"/>
  <c r="V71" i="4"/>
  <c r="U71" i="4"/>
  <c r="V74" i="4"/>
  <c r="S81" i="4"/>
  <c r="AB81" i="4"/>
  <c r="Z83" i="4"/>
  <c r="V83" i="4"/>
  <c r="U83" i="4"/>
  <c r="Y84" i="4"/>
  <c r="R85" i="4"/>
  <c r="AA98" i="4"/>
  <c r="U98" i="4"/>
  <c r="Z98" i="4"/>
  <c r="V98" i="4"/>
  <c r="S98" i="4"/>
  <c r="Y86" i="4"/>
  <c r="S86" i="4"/>
  <c r="AC100" i="4"/>
  <c r="X100" i="4"/>
  <c r="S100" i="4"/>
  <c r="W100" i="4"/>
  <c r="U100" i="4"/>
  <c r="AB103" i="4"/>
  <c r="U103" i="4"/>
  <c r="Y103" i="4"/>
  <c r="Y55" i="4"/>
  <c r="AC62" i="4"/>
  <c r="T72" i="4"/>
  <c r="Y72" i="4"/>
  <c r="T76" i="4"/>
  <c r="Y76" i="4"/>
  <c r="V78" i="4"/>
  <c r="T80" i="4"/>
  <c r="Y80" i="4"/>
  <c r="AC86" i="4"/>
  <c r="AB87" i="4"/>
  <c r="U87" i="4"/>
  <c r="V87" i="4"/>
  <c r="AC88" i="4"/>
  <c r="X88" i="4"/>
  <c r="S88" i="4"/>
  <c r="AA88" i="4"/>
  <c r="T88" i="4"/>
  <c r="W88" i="4"/>
  <c r="AA96" i="4"/>
  <c r="U96" i="4"/>
  <c r="X96" i="4"/>
  <c r="W96" i="4"/>
  <c r="Y100" i="4"/>
  <c r="T103" i="4"/>
  <c r="V106" i="4"/>
  <c r="Y82" i="4"/>
  <c r="AC91" i="4"/>
  <c r="AC92" i="4"/>
  <c r="X92" i="4"/>
  <c r="S92" i="4"/>
  <c r="Y92" i="4"/>
  <c r="U94" i="4"/>
  <c r="AA94" i="4"/>
  <c r="AB97" i="4"/>
  <c r="S97" i="4"/>
  <c r="U99" i="4"/>
  <c r="AB99" i="4"/>
  <c r="AA105" i="4"/>
  <c r="T105" i="4"/>
  <c r="C61" i="4"/>
  <c r="D61" i="4" s="1"/>
  <c r="BG11" i="3"/>
  <c r="BH11" i="3" s="1"/>
  <c r="BG15" i="3"/>
  <c r="BH15" i="3" s="1"/>
  <c r="BG23" i="3"/>
  <c r="BH23" i="3" s="1"/>
  <c r="BG27" i="3"/>
  <c r="BH27" i="3" s="1"/>
  <c r="BG31" i="3"/>
  <c r="BH31" i="3" s="1"/>
  <c r="BG35" i="3"/>
  <c r="BH35" i="3" s="1"/>
  <c r="BG39" i="3"/>
  <c r="BH39" i="3" s="1"/>
  <c r="BG43" i="3"/>
  <c r="BH43" i="3" s="1"/>
  <c r="BG47" i="3"/>
  <c r="BH47" i="3" s="1"/>
  <c r="BG51" i="3"/>
  <c r="BH51" i="3" s="1"/>
  <c r="BH55" i="3"/>
  <c r="C59" i="4"/>
  <c r="D59" i="4" s="1"/>
  <c r="BH63" i="3"/>
  <c r="C67" i="4"/>
  <c r="D67" i="4" s="1"/>
  <c r="BG69" i="3"/>
  <c r="BH69" i="3" s="1"/>
  <c r="BG7" i="3"/>
  <c r="BH7" i="3" s="1"/>
  <c r="BG10" i="3"/>
  <c r="BH10" i="3" s="1"/>
  <c r="BG14" i="3"/>
  <c r="BH14" i="3" s="1"/>
  <c r="BG18" i="3"/>
  <c r="BH18" i="3" s="1"/>
  <c r="BH19" i="3"/>
  <c r="BG22" i="3"/>
  <c r="BH22" i="3" s="1"/>
  <c r="BG26" i="3"/>
  <c r="BH26" i="3" s="1"/>
  <c r="BG30" i="3"/>
  <c r="BH30" i="3" s="1"/>
  <c r="BG34" i="3"/>
  <c r="BH34" i="3" s="1"/>
  <c r="BG38" i="3"/>
  <c r="BH38" i="3" s="1"/>
  <c r="BG42" i="3"/>
  <c r="BH42" i="3" s="1"/>
  <c r="BG46" i="3"/>
  <c r="BH46" i="3" s="1"/>
  <c r="BG50" i="3"/>
  <c r="BH50" i="3" s="1"/>
  <c r="BG54" i="3"/>
  <c r="BH54" i="3" s="1"/>
  <c r="C57" i="4"/>
  <c r="D57" i="4" s="1"/>
  <c r="BH61" i="3"/>
  <c r="C65" i="4"/>
  <c r="D65" i="4" s="1"/>
  <c r="BH59" i="3"/>
  <c r="BH62" i="3"/>
  <c r="C63" i="4"/>
  <c r="D63" i="4" s="1"/>
  <c r="BH73" i="3"/>
  <c r="BH77" i="3"/>
  <c r="BH81" i="3"/>
  <c r="BH85" i="3"/>
  <c r="BH89" i="3"/>
  <c r="BH93" i="3"/>
  <c r="BH97" i="3"/>
  <c r="BH101" i="3"/>
  <c r="BH105" i="3"/>
  <c r="L9" i="7"/>
  <c r="H9" i="6"/>
  <c r="C81" i="4"/>
  <c r="D81" i="4" s="1"/>
  <c r="BG79" i="3"/>
  <c r="BH79" i="3" s="1"/>
  <c r="BG95" i="3"/>
  <c r="BH95" i="3" s="1"/>
  <c r="BG99" i="3"/>
  <c r="BH99" i="3" s="1"/>
  <c r="BG103" i="3"/>
  <c r="BH103" i="3" s="1"/>
  <c r="H5" i="4"/>
  <c r="I5" i="4" s="1"/>
  <c r="J5" i="4" s="1"/>
  <c r="K5" i="4" s="1"/>
  <c r="L5" i="4" s="1"/>
  <c r="M5" i="4" s="1"/>
  <c r="N5" i="4" s="1"/>
  <c r="O5" i="4" s="1"/>
  <c r="AC53" i="4"/>
  <c r="Y53" i="4"/>
  <c r="U53" i="4"/>
  <c r="Z53" i="4"/>
  <c r="T53" i="4"/>
  <c r="AA53" i="4"/>
  <c r="S53" i="4"/>
  <c r="AB53" i="4"/>
  <c r="U67" i="4"/>
  <c r="AB74" i="4"/>
  <c r="X74" i="4"/>
  <c r="T74" i="4"/>
  <c r="D74" i="4"/>
  <c r="Z74" i="4"/>
  <c r="U74" i="4"/>
  <c r="Y74" i="4"/>
  <c r="R74" i="4"/>
  <c r="AA74" i="4"/>
  <c r="S74" i="4"/>
  <c r="AA75" i="4"/>
  <c r="W75" i="4"/>
  <c r="S75" i="4"/>
  <c r="AB75" i="4"/>
  <c r="V75" i="4"/>
  <c r="Y75" i="4"/>
  <c r="R75" i="4"/>
  <c r="Z75" i="4"/>
  <c r="T75" i="4"/>
  <c r="AC101" i="4"/>
  <c r="Y101" i="4"/>
  <c r="U101" i="4"/>
  <c r="Z101" i="4"/>
  <c r="T101" i="4"/>
  <c r="X101" i="4"/>
  <c r="S101" i="4"/>
  <c r="AA101" i="4"/>
  <c r="AB101" i="4"/>
  <c r="R101" i="4"/>
  <c r="W101" i="4"/>
  <c r="AB102" i="4"/>
  <c r="X102" i="4"/>
  <c r="T102" i="4"/>
  <c r="AA102" i="4"/>
  <c r="V102" i="4"/>
  <c r="Z102" i="4"/>
  <c r="U102" i="4"/>
  <c r="Y102" i="4"/>
  <c r="AC102" i="4"/>
  <c r="R102" i="4"/>
  <c r="W102" i="4"/>
  <c r="T54" i="4"/>
  <c r="V54" i="4"/>
  <c r="S54" i="4"/>
  <c r="U54" i="4"/>
  <c r="AC65" i="4"/>
  <c r="Y65" i="4"/>
  <c r="U65" i="4"/>
  <c r="AA65" i="4"/>
  <c r="V65" i="4"/>
  <c r="X65" i="4"/>
  <c r="R65" i="4"/>
  <c r="Z65" i="4"/>
  <c r="S65" i="4"/>
  <c r="AB106" i="4"/>
  <c r="X106" i="4"/>
  <c r="T106" i="4"/>
  <c r="Z106" i="4"/>
  <c r="U106" i="4"/>
  <c r="Y106" i="4"/>
  <c r="S106" i="4"/>
  <c r="AA106" i="4"/>
  <c r="AC106" i="4"/>
  <c r="R106" i="4"/>
  <c r="W106" i="4"/>
  <c r="S47" i="4"/>
  <c r="W53" i="4"/>
  <c r="R54" i="4"/>
  <c r="T65" i="4"/>
  <c r="W74" i="4"/>
  <c r="X75" i="4"/>
  <c r="AA79" i="4"/>
  <c r="W79" i="4"/>
  <c r="S79" i="4"/>
  <c r="Z79" i="4"/>
  <c r="U79" i="4"/>
  <c r="Y79" i="4"/>
  <c r="T79" i="4"/>
  <c r="AC79" i="4"/>
  <c r="R79" i="4"/>
  <c r="V79" i="4"/>
  <c r="X79" i="4"/>
  <c r="U45" i="4"/>
  <c r="R45" i="4"/>
  <c r="W45" i="4"/>
  <c r="S46" i="4"/>
  <c r="R51" i="4"/>
  <c r="AC57" i="4"/>
  <c r="Y57" i="4"/>
  <c r="X57" i="4"/>
  <c r="W57" i="4"/>
  <c r="R59" i="4"/>
  <c r="AC69" i="4"/>
  <c r="Y69" i="4"/>
  <c r="U69" i="4"/>
  <c r="Z69" i="4"/>
  <c r="T69" i="4"/>
  <c r="W69" i="4"/>
  <c r="AB70" i="4"/>
  <c r="X70" i="4"/>
  <c r="T70" i="4"/>
  <c r="AA70" i="4"/>
  <c r="V70" i="4"/>
  <c r="W70" i="4"/>
  <c r="R73" i="4"/>
  <c r="Z73" i="4"/>
  <c r="AC81" i="4"/>
  <c r="Y81" i="4"/>
  <c r="U81" i="4"/>
  <c r="AA81" i="4"/>
  <c r="V81" i="4"/>
  <c r="Z81" i="4"/>
  <c r="T81" i="4"/>
  <c r="W81" i="4"/>
  <c r="AA90" i="4"/>
  <c r="Y91" i="4"/>
  <c r="AA95" i="4"/>
  <c r="W95" i="4"/>
  <c r="S95" i="4"/>
  <c r="Z95" i="4"/>
  <c r="U95" i="4"/>
  <c r="Y95" i="4"/>
  <c r="T95" i="4"/>
  <c r="X95" i="4"/>
  <c r="R46" i="4"/>
  <c r="W46" i="4"/>
  <c r="W51" i="4"/>
  <c r="S51" i="4"/>
  <c r="T51" i="4"/>
  <c r="W58" i="4"/>
  <c r="W59" i="4"/>
  <c r="T62" i="4"/>
  <c r="S62" i="4"/>
  <c r="W62" i="4"/>
  <c r="AC73" i="4"/>
  <c r="Y73" i="4"/>
  <c r="U73" i="4"/>
  <c r="X73" i="4"/>
  <c r="S73" i="4"/>
  <c r="W73" i="4"/>
  <c r="AC85" i="4"/>
  <c r="Y85" i="4"/>
  <c r="U85" i="4"/>
  <c r="Z85" i="4"/>
  <c r="T85" i="4"/>
  <c r="X85" i="4"/>
  <c r="S85" i="4"/>
  <c r="W85" i="4"/>
  <c r="AB86" i="4"/>
  <c r="X86" i="4"/>
  <c r="T86" i="4"/>
  <c r="AA86" i="4"/>
  <c r="V86" i="4"/>
  <c r="Z86" i="4"/>
  <c r="U86" i="4"/>
  <c r="W86" i="4"/>
  <c r="AB90" i="4"/>
  <c r="X90" i="4"/>
  <c r="T90" i="4"/>
  <c r="Z90" i="4"/>
  <c r="U90" i="4"/>
  <c r="Y90" i="4"/>
  <c r="S90" i="4"/>
  <c r="W90" i="4"/>
  <c r="AA91" i="4"/>
  <c r="W91" i="4"/>
  <c r="S91" i="4"/>
  <c r="AB91" i="4"/>
  <c r="V91" i="4"/>
  <c r="Z91" i="4"/>
  <c r="U91" i="4"/>
  <c r="X91" i="4"/>
  <c r="V95" i="4"/>
  <c r="AC97" i="4"/>
  <c r="Y97" i="4"/>
  <c r="U97" i="4"/>
  <c r="AA97" i="4"/>
  <c r="V97" i="4"/>
  <c r="Z97" i="4"/>
  <c r="T97" i="4"/>
  <c r="W97" i="4"/>
  <c r="AB78" i="4"/>
  <c r="X78" i="4"/>
  <c r="T78" i="4"/>
  <c r="R78" i="4"/>
  <c r="W78" i="4"/>
  <c r="AC78" i="4"/>
  <c r="AA83" i="4"/>
  <c r="W83" i="4"/>
  <c r="S83" i="4"/>
  <c r="R83" i="4"/>
  <c r="X83" i="4"/>
  <c r="AC83" i="4"/>
  <c r="AC89" i="4"/>
  <c r="Y89" i="4"/>
  <c r="U89" i="4"/>
  <c r="R89" i="4"/>
  <c r="W89" i="4"/>
  <c r="AB89" i="4"/>
  <c r="AB94" i="4"/>
  <c r="X94" i="4"/>
  <c r="T94" i="4"/>
  <c r="R94" i="4"/>
  <c r="W94" i="4"/>
  <c r="AC94" i="4"/>
  <c r="AA99" i="4"/>
  <c r="W99" i="4"/>
  <c r="S99" i="4"/>
  <c r="R99" i="4"/>
  <c r="X99" i="4"/>
  <c r="AC99" i="4"/>
  <c r="AC105" i="4"/>
  <c r="Y105" i="4"/>
  <c r="U105" i="4"/>
  <c r="R105" i="4"/>
  <c r="W105" i="4"/>
  <c r="AB105" i="4"/>
  <c r="AA55" i="4"/>
  <c r="W55" i="4"/>
  <c r="S55" i="4"/>
  <c r="R55" i="4"/>
  <c r="X55" i="4"/>
  <c r="AC55" i="4"/>
  <c r="U61" i="4"/>
  <c r="W61" i="4"/>
  <c r="AB66" i="4"/>
  <c r="X66" i="4"/>
  <c r="T66" i="4"/>
  <c r="R66" i="4"/>
  <c r="W66" i="4"/>
  <c r="AC66" i="4"/>
  <c r="AA71" i="4"/>
  <c r="W71" i="4"/>
  <c r="S71" i="4"/>
  <c r="R71" i="4"/>
  <c r="X71" i="4"/>
  <c r="AC71" i="4"/>
  <c r="AC77" i="4"/>
  <c r="Y77" i="4"/>
  <c r="U77" i="4"/>
  <c r="R77" i="4"/>
  <c r="W77" i="4"/>
  <c r="AB77" i="4"/>
  <c r="S78" i="4"/>
  <c r="Y78" i="4"/>
  <c r="AB82" i="4"/>
  <c r="X82" i="4"/>
  <c r="T82" i="4"/>
  <c r="R82" i="4"/>
  <c r="W82" i="4"/>
  <c r="AC82" i="4"/>
  <c r="T83" i="4"/>
  <c r="Y83" i="4"/>
  <c r="AA87" i="4"/>
  <c r="W87" i="4"/>
  <c r="S87" i="4"/>
  <c r="R87" i="4"/>
  <c r="X87" i="4"/>
  <c r="AC87" i="4"/>
  <c r="S89" i="4"/>
  <c r="X89" i="4"/>
  <c r="AC93" i="4"/>
  <c r="Y93" i="4"/>
  <c r="U93" i="4"/>
  <c r="R93" i="4"/>
  <c r="W93" i="4"/>
  <c r="AB93" i="4"/>
  <c r="S94" i="4"/>
  <c r="Y94" i="4"/>
  <c r="AB98" i="4"/>
  <c r="X98" i="4"/>
  <c r="T98" i="4"/>
  <c r="R98" i="4"/>
  <c r="W98" i="4"/>
  <c r="AC98" i="4"/>
  <c r="T99" i="4"/>
  <c r="Y99" i="4"/>
  <c r="AA103" i="4"/>
  <c r="W103" i="4"/>
  <c r="S103" i="4"/>
  <c r="R103" i="4"/>
  <c r="X103" i="4"/>
  <c r="AC103" i="4"/>
  <c r="S105" i="4"/>
  <c r="X105" i="4"/>
  <c r="V44" i="4"/>
  <c r="R48" i="4"/>
  <c r="V48" i="4"/>
  <c r="R52" i="4"/>
  <c r="V52" i="4"/>
  <c r="R56" i="4"/>
  <c r="V56" i="4"/>
  <c r="Z56" i="4"/>
  <c r="R64" i="4"/>
  <c r="V64" i="4"/>
  <c r="Z64" i="4"/>
  <c r="R68" i="4"/>
  <c r="V68" i="4"/>
  <c r="Z68" i="4"/>
  <c r="R72" i="4"/>
  <c r="V72" i="4"/>
  <c r="Z72" i="4"/>
  <c r="R76" i="4"/>
  <c r="V76" i="4"/>
  <c r="Z76" i="4"/>
  <c r="R80" i="4"/>
  <c r="V80" i="4"/>
  <c r="Z80" i="4"/>
  <c r="R84" i="4"/>
  <c r="V84" i="4"/>
  <c r="Z84" i="4"/>
  <c r="R88" i="4"/>
  <c r="V88" i="4"/>
  <c r="Z88" i="4"/>
  <c r="R92" i="4"/>
  <c r="V92" i="4"/>
  <c r="Z92" i="4"/>
  <c r="R96" i="4"/>
  <c r="V96" i="4"/>
  <c r="Z96" i="4"/>
  <c r="R100" i="4"/>
  <c r="V100" i="4"/>
  <c r="Z100" i="4"/>
  <c r="R104" i="4"/>
  <c r="V104" i="4"/>
  <c r="Z104" i="4"/>
  <c r="M66" i="4" l="1"/>
  <c r="I63" i="4"/>
  <c r="Q67" i="4"/>
  <c r="L66" i="4"/>
  <c r="R58" i="4"/>
  <c r="P67" i="4"/>
  <c r="K66" i="4"/>
  <c r="Q63" i="4"/>
  <c r="R63" i="4"/>
  <c r="O67" i="4"/>
  <c r="J66" i="4"/>
  <c r="P63" i="4"/>
  <c r="R57" i="4"/>
  <c r="H67" i="4"/>
  <c r="T67" i="4" s="1"/>
  <c r="I66" i="4"/>
  <c r="O63" i="4"/>
  <c r="R62" i="4"/>
  <c r="V67" i="4"/>
  <c r="G67" i="4"/>
  <c r="S67" i="4" s="1"/>
  <c r="G64" i="4"/>
  <c r="I58" i="4"/>
  <c r="U58" i="4" s="1"/>
  <c r="H63" i="4"/>
  <c r="T63" i="4" s="1"/>
  <c r="H57" i="4"/>
  <c r="T57" i="4" s="1"/>
  <c r="O62" i="4"/>
  <c r="AA62" i="4" s="1"/>
  <c r="Q60" i="4"/>
  <c r="Q65" i="4"/>
  <c r="N67" i="4"/>
  <c r="Q66" i="4"/>
  <c r="Q64" i="4"/>
  <c r="H58" i="4"/>
  <c r="T58" i="4" s="1"/>
  <c r="G63" i="4"/>
  <c r="S63" i="4" s="1"/>
  <c r="I57" i="4"/>
  <c r="U57" i="4" s="1"/>
  <c r="N62" i="4"/>
  <c r="Z62" i="4" s="1"/>
  <c r="R67" i="4"/>
  <c r="M67" i="4"/>
  <c r="P66" i="4"/>
  <c r="G58" i="4"/>
  <c r="S58" i="4" s="1"/>
  <c r="N63" i="4"/>
  <c r="G57" i="4"/>
  <c r="S57" i="4" s="1"/>
  <c r="L62" i="4"/>
  <c r="X62" i="4" s="1"/>
  <c r="P60" i="4"/>
  <c r="P65" i="4"/>
  <c r="Q59" i="4"/>
  <c r="R61" i="4"/>
  <c r="L67" i="4"/>
  <c r="O66" i="4"/>
  <c r="M63" i="4"/>
  <c r="O60" i="4"/>
  <c r="L65" i="4"/>
  <c r="K67" i="4"/>
  <c r="W67" i="4" s="1"/>
  <c r="H66" i="4"/>
  <c r="L64" i="4"/>
  <c r="K63" i="4"/>
  <c r="N60" i="4"/>
  <c r="K65" i="4"/>
  <c r="O59" i="4"/>
  <c r="J67" i="4"/>
  <c r="G66" i="4"/>
  <c r="J64" i="4"/>
  <c r="P58" i="4"/>
  <c r="L63" i="4"/>
  <c r="P57" i="4"/>
  <c r="AB57" i="4" s="1"/>
  <c r="M62" i="4"/>
  <c r="Y62" i="4" s="1"/>
  <c r="M60" i="4"/>
  <c r="I65" i="4"/>
  <c r="L59" i="4"/>
  <c r="G59" i="4"/>
  <c r="S59" i="4" s="1"/>
  <c r="AF20" i="5" a="1"/>
  <c r="AF20" i="5" s="1"/>
  <c r="AF21" i="5" a="1"/>
  <c r="AF21" i="5" s="1"/>
  <c r="AF14" i="5" a="1"/>
  <c r="AF14" i="5" s="1"/>
  <c r="AF16" i="5" a="1"/>
  <c r="AF16" i="5" s="1"/>
  <c r="AF19" i="5" a="1"/>
  <c r="AF19" i="5" s="1"/>
  <c r="AF12" i="5" a="1"/>
  <c r="AF12" i="5" s="1"/>
  <c r="AF15" i="5" a="1"/>
  <c r="AF15" i="5" s="1"/>
  <c r="AF17" i="5" a="1"/>
  <c r="AF17" i="5" s="1"/>
  <c r="AF11" i="5" a="1"/>
  <c r="AF11" i="5" s="1"/>
  <c r="AF13" i="5" a="1"/>
  <c r="AF13" i="5" s="1"/>
  <c r="AF18" i="5" a="1"/>
  <c r="AF18" i="5" s="1"/>
  <c r="AF10" i="5" a="1"/>
  <c r="AF10" i="5" s="1"/>
  <c r="J33" i="4"/>
  <c r="I33" i="4"/>
  <c r="H33" i="4"/>
  <c r="G33" i="4"/>
  <c r="H44" i="4"/>
  <c r="T44" i="4" s="1"/>
  <c r="H32" i="4"/>
  <c r="T32" i="4" s="1"/>
  <c r="I43" i="4"/>
  <c r="J42" i="4"/>
  <c r="I31" i="4"/>
  <c r="U31" i="4" s="1"/>
  <c r="Q33" i="4"/>
  <c r="AC33" i="4" s="1"/>
  <c r="G44" i="4"/>
  <c r="S44" i="4" s="1"/>
  <c r="H43" i="4"/>
  <c r="H31" i="4"/>
  <c r="K33" i="4"/>
  <c r="W33" i="4" s="1"/>
  <c r="Q43" i="4"/>
  <c r="Q31" i="4"/>
  <c r="P33" i="4"/>
  <c r="L44" i="4"/>
  <c r="X44" i="4" s="1"/>
  <c r="P32" i="4"/>
  <c r="M43" i="4"/>
  <c r="G42" i="4"/>
  <c r="M31" i="4"/>
  <c r="R44" i="4"/>
  <c r="O33" i="4"/>
  <c r="R32" i="4"/>
  <c r="N33" i="4"/>
  <c r="P44" i="4"/>
  <c r="AB44" i="4" s="1"/>
  <c r="P43" i="4"/>
  <c r="P31" i="4"/>
  <c r="M33" i="4"/>
  <c r="N44" i="4"/>
  <c r="Z44" i="4" s="1"/>
  <c r="O43" i="4"/>
  <c r="O31" i="4"/>
  <c r="R42" i="4"/>
  <c r="N31" i="4"/>
  <c r="AH13" i="2"/>
  <c r="AH14" i="2" s="1"/>
  <c r="AH15" i="2" s="1"/>
  <c r="AH16" i="2" s="1"/>
  <c r="AH17" i="2" s="1"/>
  <c r="AH18" i="2" s="1"/>
  <c r="AH19" i="2" s="1"/>
  <c r="AH20" i="2" s="1"/>
  <c r="AH21" i="2" s="1"/>
  <c r="AH22" i="2" s="1"/>
  <c r="AH23" i="2" s="1"/>
  <c r="AH24" i="2" s="1"/>
  <c r="AH25" i="2" s="1"/>
  <c r="AH26" i="2" s="1"/>
  <c r="AH27" i="2" s="1"/>
  <c r="AH28" i="2" s="1"/>
  <c r="AH29" i="2" s="1"/>
  <c r="AH30" i="2" s="1"/>
  <c r="AH31" i="2" s="1"/>
  <c r="AH32" i="2" s="1"/>
  <c r="AH33" i="2" s="1"/>
  <c r="AH36" i="2" s="1"/>
  <c r="AH37" i="2" s="1"/>
  <c r="AH38" i="2" s="1"/>
  <c r="AH39" i="2" s="1"/>
  <c r="AH40" i="2" s="1"/>
  <c r="AH41" i="2" s="1"/>
  <c r="AH11" i="5"/>
  <c r="AI11" i="5"/>
  <c r="AG11" i="5"/>
  <c r="AG11" i="2"/>
  <c r="AG12" i="2" s="1"/>
  <c r="AG13" i="2" s="1"/>
  <c r="AG14" i="2" s="1"/>
  <c r="AG15" i="2" s="1"/>
  <c r="AG16" i="2" s="1"/>
  <c r="AG17" i="2" s="1"/>
  <c r="AG18" i="2" s="1"/>
  <c r="AG19" i="2" s="1"/>
  <c r="AG20" i="2" s="1"/>
  <c r="AG21" i="2" s="1"/>
  <c r="AG22" i="2" s="1"/>
  <c r="AG23" i="2" s="1"/>
  <c r="AG24" i="2" s="1"/>
  <c r="AG25" i="2" s="1"/>
  <c r="AG26" i="2" s="1"/>
  <c r="AG27" i="2" s="1"/>
  <c r="AG28" i="2" s="1"/>
  <c r="AG29" i="2" s="1"/>
  <c r="AG30" i="2" s="1"/>
  <c r="AG31" i="2" s="1"/>
  <c r="AG32" i="2" s="1"/>
  <c r="AG33" i="2" s="1"/>
  <c r="Y33" i="4"/>
  <c r="X33" i="4"/>
  <c r="AA33" i="4"/>
  <c r="Z33" i="4"/>
  <c r="AB33" i="4"/>
  <c r="S33" i="4"/>
  <c r="R33" i="4"/>
  <c r="T33" i="4"/>
  <c r="AB45" i="4"/>
  <c r="Z45" i="4"/>
  <c r="X45" i="4"/>
  <c r="AA45" i="4"/>
  <c r="Y45" i="4"/>
  <c r="W47" i="4"/>
  <c r="AA47" i="4"/>
  <c r="AC47" i="4"/>
  <c r="U63" i="4"/>
  <c r="W60" i="4"/>
  <c r="V63" i="4"/>
  <c r="T60" i="4"/>
  <c r="AB47" i="4"/>
  <c r="R47" i="4"/>
  <c r="W63" i="4"/>
  <c r="V47" i="4"/>
  <c r="AC60" i="4"/>
  <c r="X47" i="4"/>
  <c r="S60" i="4"/>
  <c r="U47" i="4"/>
  <c r="U60" i="4"/>
  <c r="AB56" i="4"/>
  <c r="Z60" i="4"/>
  <c r="Z47" i="4"/>
  <c r="S52" i="4"/>
  <c r="V60" i="4"/>
  <c r="T47" i="4"/>
  <c r="R60" i="4"/>
  <c r="Y47" i="4"/>
  <c r="V33" i="4"/>
  <c r="U33" i="4"/>
  <c r="V32" i="4"/>
  <c r="U42" i="4"/>
  <c r="U32" i="4"/>
  <c r="V43" i="4"/>
  <c r="S31" i="4"/>
  <c r="AK88" i="4"/>
  <c r="AL88" i="4"/>
  <c r="AM88" i="4"/>
  <c r="AN88" i="4"/>
  <c r="AO88" i="4"/>
  <c r="AP88" i="4"/>
  <c r="AQ88" i="4"/>
  <c r="AR88" i="4"/>
  <c r="AS88" i="4"/>
  <c r="AJ88" i="4"/>
  <c r="AK64" i="4"/>
  <c r="AL64" i="4"/>
  <c r="AM64" i="4"/>
  <c r="AN64" i="4"/>
  <c r="AO64" i="4"/>
  <c r="AP64" i="4"/>
  <c r="AQ64" i="4"/>
  <c r="AR64" i="4"/>
  <c r="AS64" i="4"/>
  <c r="AJ64" i="4"/>
  <c r="AK91" i="4"/>
  <c r="AL91" i="4"/>
  <c r="AM91" i="4"/>
  <c r="AN91" i="4"/>
  <c r="AO91" i="4"/>
  <c r="AP91" i="4"/>
  <c r="AQ91" i="4"/>
  <c r="AR91" i="4"/>
  <c r="AS91" i="4"/>
  <c r="AJ91" i="4"/>
  <c r="AK67" i="4"/>
  <c r="AL67" i="4"/>
  <c r="AM67" i="4"/>
  <c r="AN67" i="4"/>
  <c r="AO67" i="4"/>
  <c r="AP67" i="4"/>
  <c r="AQ67" i="4"/>
  <c r="AR67" i="4"/>
  <c r="AS67" i="4"/>
  <c r="AJ67" i="4"/>
  <c r="AN46" i="4"/>
  <c r="AO46" i="4"/>
  <c r="AP46" i="4"/>
  <c r="AQ46" i="4"/>
  <c r="AR46" i="4"/>
  <c r="AS46" i="4"/>
  <c r="AK46" i="4"/>
  <c r="AL46" i="4"/>
  <c r="AM46" i="4"/>
  <c r="AJ46" i="4"/>
  <c r="AR86" i="4"/>
  <c r="AS86" i="4"/>
  <c r="AK86" i="4"/>
  <c r="AL86" i="4"/>
  <c r="AM86" i="4"/>
  <c r="AN86" i="4"/>
  <c r="AO86" i="4"/>
  <c r="AP86" i="4"/>
  <c r="AQ86" i="4"/>
  <c r="AJ86" i="4"/>
  <c r="AR62" i="4"/>
  <c r="AS62" i="4"/>
  <c r="AK62" i="4"/>
  <c r="AL62" i="4"/>
  <c r="AM62" i="4"/>
  <c r="AN62" i="4"/>
  <c r="AO62" i="4"/>
  <c r="AP62" i="4"/>
  <c r="AQ62" i="4"/>
  <c r="AJ62" i="4"/>
  <c r="AK89" i="4"/>
  <c r="AL89" i="4"/>
  <c r="AM89" i="4"/>
  <c r="AN89" i="4"/>
  <c r="AO89" i="4"/>
  <c r="AP89" i="4"/>
  <c r="AQ89" i="4"/>
  <c r="AR89" i="4"/>
  <c r="AS89" i="4"/>
  <c r="AJ89" i="4"/>
  <c r="AK65" i="4"/>
  <c r="AL65" i="4"/>
  <c r="AM65" i="4"/>
  <c r="AN65" i="4"/>
  <c r="AO65" i="4"/>
  <c r="AP65" i="4"/>
  <c r="AQ65" i="4"/>
  <c r="AR65" i="4"/>
  <c r="AS65" i="4"/>
  <c r="AJ65" i="4"/>
  <c r="AK42" i="4"/>
  <c r="AL42" i="4"/>
  <c r="AM42" i="4"/>
  <c r="AN42" i="4"/>
  <c r="AO42" i="4"/>
  <c r="AP42" i="4"/>
  <c r="AQ42" i="4"/>
  <c r="AR42" i="4"/>
  <c r="AS42" i="4"/>
  <c r="AJ42" i="4"/>
  <c r="AP84" i="4"/>
  <c r="AQ84" i="4"/>
  <c r="AR84" i="4"/>
  <c r="AS84" i="4"/>
  <c r="AK84" i="4"/>
  <c r="AL84" i="4"/>
  <c r="AM84" i="4"/>
  <c r="AN84" i="4"/>
  <c r="AO84" i="4"/>
  <c r="AJ84" i="4"/>
  <c r="AP60" i="4"/>
  <c r="AQ60" i="4"/>
  <c r="AR60" i="4"/>
  <c r="AS60" i="4"/>
  <c r="AK60" i="4"/>
  <c r="AL60" i="4"/>
  <c r="AM60" i="4"/>
  <c r="AN60" i="4"/>
  <c r="AO60" i="4"/>
  <c r="AJ60" i="4"/>
  <c r="AS87" i="4"/>
  <c r="AK87" i="4"/>
  <c r="AL87" i="4"/>
  <c r="AM87" i="4"/>
  <c r="AN87" i="4"/>
  <c r="AO87" i="4"/>
  <c r="AP87" i="4"/>
  <c r="AQ87" i="4"/>
  <c r="AR87" i="4"/>
  <c r="AJ87" i="4"/>
  <c r="AS63" i="4"/>
  <c r="AK63" i="4"/>
  <c r="AL63" i="4"/>
  <c r="AM63" i="4"/>
  <c r="AN63" i="4"/>
  <c r="AO63" i="4"/>
  <c r="AP63" i="4"/>
  <c r="AQ63" i="4"/>
  <c r="AR63" i="4"/>
  <c r="AJ63" i="4"/>
  <c r="AL32" i="4"/>
  <c r="AM32" i="4"/>
  <c r="AN32" i="4"/>
  <c r="AO32" i="4"/>
  <c r="AP32" i="4"/>
  <c r="AQ32" i="4"/>
  <c r="AR32" i="4"/>
  <c r="AS32" i="4"/>
  <c r="AK32" i="4"/>
  <c r="AJ32" i="4"/>
  <c r="AM106" i="4"/>
  <c r="AN106" i="4"/>
  <c r="AO106" i="4"/>
  <c r="AP106" i="4"/>
  <c r="AQ106" i="4"/>
  <c r="AR106" i="4"/>
  <c r="AS106" i="4"/>
  <c r="AJ106" i="4"/>
  <c r="AK106" i="4"/>
  <c r="AL106" i="4"/>
  <c r="AN82" i="4"/>
  <c r="AO82" i="4"/>
  <c r="AP82" i="4"/>
  <c r="AQ82" i="4"/>
  <c r="AR82" i="4"/>
  <c r="AS82" i="4"/>
  <c r="AK82" i="4"/>
  <c r="AL82" i="4"/>
  <c r="AM82" i="4"/>
  <c r="AJ82" i="4"/>
  <c r="AN58" i="4"/>
  <c r="AO58" i="4"/>
  <c r="AP58" i="4"/>
  <c r="AQ58" i="4"/>
  <c r="AR58" i="4"/>
  <c r="AS58" i="4"/>
  <c r="AK58" i="4"/>
  <c r="AL58" i="4"/>
  <c r="AM58" i="4"/>
  <c r="AJ58" i="4"/>
  <c r="AQ85" i="4"/>
  <c r="AR85" i="4"/>
  <c r="AS85" i="4"/>
  <c r="AK85" i="4"/>
  <c r="AL85" i="4"/>
  <c r="AM85" i="4"/>
  <c r="AN85" i="4"/>
  <c r="AO85" i="4"/>
  <c r="AP85" i="4"/>
  <c r="AJ85" i="4"/>
  <c r="AQ61" i="4"/>
  <c r="AR61" i="4"/>
  <c r="AS61" i="4"/>
  <c r="AK61" i="4"/>
  <c r="AL61" i="4"/>
  <c r="AM61" i="4"/>
  <c r="AN61" i="4"/>
  <c r="AO61" i="4"/>
  <c r="AP61" i="4"/>
  <c r="AJ61" i="4"/>
  <c r="AK55" i="4"/>
  <c r="AL55" i="4"/>
  <c r="AM55" i="4"/>
  <c r="AN55" i="4"/>
  <c r="AO55" i="4"/>
  <c r="AP55" i="4"/>
  <c r="AQ55" i="4"/>
  <c r="AR55" i="4"/>
  <c r="AS55" i="4"/>
  <c r="AJ55" i="4"/>
  <c r="AK104" i="4"/>
  <c r="AL104" i="4"/>
  <c r="AM104" i="4"/>
  <c r="AN104" i="4"/>
  <c r="AO104" i="4"/>
  <c r="AJ104" i="4"/>
  <c r="AP104" i="4"/>
  <c r="AQ104" i="4"/>
  <c r="AR104" i="4"/>
  <c r="AS104" i="4"/>
  <c r="AL80" i="4"/>
  <c r="AM80" i="4"/>
  <c r="AN80" i="4"/>
  <c r="AO80" i="4"/>
  <c r="AP80" i="4"/>
  <c r="AQ80" i="4"/>
  <c r="AR80" i="4"/>
  <c r="AS80" i="4"/>
  <c r="AK80" i="4"/>
  <c r="AJ80" i="4"/>
  <c r="AL56" i="4"/>
  <c r="AM56" i="4"/>
  <c r="AN56" i="4"/>
  <c r="AO56" i="4"/>
  <c r="AP56" i="4"/>
  <c r="AQ56" i="4"/>
  <c r="AR56" i="4"/>
  <c r="AS56" i="4"/>
  <c r="AK56" i="4"/>
  <c r="AJ56" i="4"/>
  <c r="AO83" i="4"/>
  <c r="AP83" i="4"/>
  <c r="AQ83" i="4"/>
  <c r="AR83" i="4"/>
  <c r="AS83" i="4"/>
  <c r="AK83" i="4"/>
  <c r="AL83" i="4"/>
  <c r="AM83" i="4"/>
  <c r="AN83" i="4"/>
  <c r="AJ83" i="4"/>
  <c r="AO59" i="4"/>
  <c r="AP59" i="4"/>
  <c r="AQ59" i="4"/>
  <c r="AR59" i="4"/>
  <c r="AS59" i="4"/>
  <c r="AK59" i="4"/>
  <c r="AL59" i="4"/>
  <c r="AM59" i="4"/>
  <c r="AN59" i="4"/>
  <c r="AJ59" i="4"/>
  <c r="AS51" i="4"/>
  <c r="AK51" i="4"/>
  <c r="AL51" i="4"/>
  <c r="AM51" i="4"/>
  <c r="AN51" i="4"/>
  <c r="AO51" i="4"/>
  <c r="AP51" i="4"/>
  <c r="AQ51" i="4"/>
  <c r="AR51" i="4"/>
  <c r="AJ51" i="4"/>
  <c r="AK102" i="4"/>
  <c r="AJ102" i="4"/>
  <c r="AL102" i="4"/>
  <c r="AM102" i="4"/>
  <c r="AN102" i="4"/>
  <c r="AO102" i="4"/>
  <c r="AP102" i="4"/>
  <c r="AQ102" i="4"/>
  <c r="AR102" i="4"/>
  <c r="AS102" i="4"/>
  <c r="AK78" i="4"/>
  <c r="AL78" i="4"/>
  <c r="AM78" i="4"/>
  <c r="AN78" i="4"/>
  <c r="AO78" i="4"/>
  <c r="AP78" i="4"/>
  <c r="AQ78" i="4"/>
  <c r="AR78" i="4"/>
  <c r="AS78" i="4"/>
  <c r="AJ78" i="4"/>
  <c r="AL105" i="4"/>
  <c r="AM105" i="4"/>
  <c r="AN105" i="4"/>
  <c r="AO105" i="4"/>
  <c r="AP105" i="4"/>
  <c r="AQ105" i="4"/>
  <c r="AR105" i="4"/>
  <c r="AS105" i="4"/>
  <c r="AJ105" i="4"/>
  <c r="AK105" i="4"/>
  <c r="AM81" i="4"/>
  <c r="AN81" i="4"/>
  <c r="AO81" i="4"/>
  <c r="AP81" i="4"/>
  <c r="AQ81" i="4"/>
  <c r="AR81" i="4"/>
  <c r="AS81" i="4"/>
  <c r="AK81" i="4"/>
  <c r="AL81" i="4"/>
  <c r="AJ81" i="4"/>
  <c r="AM57" i="4"/>
  <c r="AN57" i="4"/>
  <c r="AO57" i="4"/>
  <c r="AP57" i="4"/>
  <c r="AQ57" i="4"/>
  <c r="AR57" i="4"/>
  <c r="AS57" i="4"/>
  <c r="AK57" i="4"/>
  <c r="AL57" i="4"/>
  <c r="AJ57" i="4"/>
  <c r="AO47" i="4"/>
  <c r="AP47" i="4"/>
  <c r="AQ47" i="4"/>
  <c r="AR47" i="4"/>
  <c r="AS47" i="4"/>
  <c r="AK47" i="4"/>
  <c r="AL47" i="4"/>
  <c r="AM47" i="4"/>
  <c r="AN47" i="4"/>
  <c r="AJ47" i="4"/>
  <c r="AS100" i="4"/>
  <c r="AK100" i="4"/>
  <c r="AL100" i="4"/>
  <c r="AJ100" i="4"/>
  <c r="AM100" i="4"/>
  <c r="AN100" i="4"/>
  <c r="AO100" i="4"/>
  <c r="AP100" i="4"/>
  <c r="AQ100" i="4"/>
  <c r="AR100" i="4"/>
  <c r="AK76" i="4"/>
  <c r="AL76" i="4"/>
  <c r="AM76" i="4"/>
  <c r="AN76" i="4"/>
  <c r="AO76" i="4"/>
  <c r="AP76" i="4"/>
  <c r="AQ76" i="4"/>
  <c r="AR76" i="4"/>
  <c r="AS76" i="4"/>
  <c r="AJ76" i="4"/>
  <c r="AK103" i="4"/>
  <c r="AL103" i="4"/>
  <c r="AM103" i="4"/>
  <c r="AN103" i="4"/>
  <c r="AO103" i="4"/>
  <c r="AP103" i="4"/>
  <c r="AJ103" i="4"/>
  <c r="AQ103" i="4"/>
  <c r="AR103" i="4"/>
  <c r="AS103" i="4"/>
  <c r="AK79" i="4"/>
  <c r="AL79" i="4"/>
  <c r="AM79" i="4"/>
  <c r="AN79" i="4"/>
  <c r="AO79" i="4"/>
  <c r="AP79" i="4"/>
  <c r="AQ79" i="4"/>
  <c r="AR79" i="4"/>
  <c r="AS79" i="4"/>
  <c r="AJ79" i="4"/>
  <c r="AK52" i="4"/>
  <c r="AL52" i="4"/>
  <c r="AM52" i="4"/>
  <c r="AN52" i="4"/>
  <c r="AO52" i="4"/>
  <c r="AP52" i="4"/>
  <c r="AQ52" i="4"/>
  <c r="AR52" i="4"/>
  <c r="AS52" i="4"/>
  <c r="AJ52" i="4"/>
  <c r="AK43" i="4"/>
  <c r="AL43" i="4"/>
  <c r="AM43" i="4"/>
  <c r="AN43" i="4"/>
  <c r="AO43" i="4"/>
  <c r="AP43" i="4"/>
  <c r="AQ43" i="4"/>
  <c r="AR43" i="4"/>
  <c r="AS43" i="4"/>
  <c r="AJ43" i="4"/>
  <c r="AK98" i="4"/>
  <c r="AL98" i="4"/>
  <c r="AM98" i="4"/>
  <c r="AN98" i="4"/>
  <c r="AO98" i="4"/>
  <c r="AP98" i="4"/>
  <c r="AQ98" i="4"/>
  <c r="AJ98" i="4"/>
  <c r="AR98" i="4"/>
  <c r="AS98" i="4"/>
  <c r="AR74" i="4"/>
  <c r="AS74" i="4"/>
  <c r="AK74" i="4"/>
  <c r="AL74" i="4"/>
  <c r="AM74" i="4"/>
  <c r="AN74" i="4"/>
  <c r="AO74" i="4"/>
  <c r="AP74" i="4"/>
  <c r="AQ74" i="4"/>
  <c r="AJ74" i="4"/>
  <c r="AK101" i="4"/>
  <c r="AJ101" i="4"/>
  <c r="AL101" i="4"/>
  <c r="AM101" i="4"/>
  <c r="AN101" i="4"/>
  <c r="AO101" i="4"/>
  <c r="AP101" i="4"/>
  <c r="AQ101" i="4"/>
  <c r="AR101" i="4"/>
  <c r="AS101" i="4"/>
  <c r="AK77" i="4"/>
  <c r="AL77" i="4"/>
  <c r="AM77" i="4"/>
  <c r="AN77" i="4"/>
  <c r="AO77" i="4"/>
  <c r="AP77" i="4"/>
  <c r="AQ77" i="4"/>
  <c r="AR77" i="4"/>
  <c r="AS77" i="4"/>
  <c r="AJ77" i="4"/>
  <c r="AP48" i="4"/>
  <c r="AQ48" i="4"/>
  <c r="AR48" i="4"/>
  <c r="AS48" i="4"/>
  <c r="AK48" i="4"/>
  <c r="AL48" i="4"/>
  <c r="AM48" i="4"/>
  <c r="AN48" i="4"/>
  <c r="AO48" i="4"/>
  <c r="AJ48" i="4"/>
  <c r="AM33" i="4"/>
  <c r="AN33" i="4"/>
  <c r="AO33" i="4"/>
  <c r="AP33" i="4"/>
  <c r="AQ33" i="4"/>
  <c r="AR33" i="4"/>
  <c r="AS33" i="4"/>
  <c r="AK33" i="4"/>
  <c r="AL33" i="4"/>
  <c r="AJ33" i="4"/>
  <c r="AP96" i="4"/>
  <c r="AQ96" i="4"/>
  <c r="AR96" i="4"/>
  <c r="AS96" i="4"/>
  <c r="AK96" i="4"/>
  <c r="AL96" i="4"/>
  <c r="AM96" i="4"/>
  <c r="AN96" i="4"/>
  <c r="AO96" i="4"/>
  <c r="AJ96" i="4"/>
  <c r="AP72" i="4"/>
  <c r="AQ72" i="4"/>
  <c r="AR72" i="4"/>
  <c r="AS72" i="4"/>
  <c r="AK72" i="4"/>
  <c r="AL72" i="4"/>
  <c r="AM72" i="4"/>
  <c r="AN72" i="4"/>
  <c r="AO72" i="4"/>
  <c r="AJ72" i="4"/>
  <c r="AR99" i="4"/>
  <c r="AS99" i="4"/>
  <c r="AJ99" i="4"/>
  <c r="AK99" i="4"/>
  <c r="AL99" i="4"/>
  <c r="AM99" i="4"/>
  <c r="AN99" i="4"/>
  <c r="AO99" i="4"/>
  <c r="AP99" i="4"/>
  <c r="AQ99" i="4"/>
  <c r="AS75" i="4"/>
  <c r="AK75" i="4"/>
  <c r="AL75" i="4"/>
  <c r="AM75" i="4"/>
  <c r="AN75" i="4"/>
  <c r="AO75" i="4"/>
  <c r="AP75" i="4"/>
  <c r="AQ75" i="4"/>
  <c r="AR75" i="4"/>
  <c r="AJ75" i="4"/>
  <c r="AL44" i="4"/>
  <c r="AM44" i="4"/>
  <c r="AN44" i="4"/>
  <c r="AO44" i="4"/>
  <c r="AP44" i="4"/>
  <c r="AQ44" i="4"/>
  <c r="AR44" i="4"/>
  <c r="AS44" i="4"/>
  <c r="AK44" i="4"/>
  <c r="AJ44" i="4"/>
  <c r="AK53" i="4"/>
  <c r="AL53" i="4"/>
  <c r="AM53" i="4"/>
  <c r="AN53" i="4"/>
  <c r="AO53" i="4"/>
  <c r="AP53" i="4"/>
  <c r="AQ53" i="4"/>
  <c r="AR53" i="4"/>
  <c r="AS53" i="4"/>
  <c r="AJ53" i="4"/>
  <c r="AN94" i="4"/>
  <c r="AO94" i="4"/>
  <c r="AP94" i="4"/>
  <c r="AQ94" i="4"/>
  <c r="AR94" i="4"/>
  <c r="AS94" i="4"/>
  <c r="AK94" i="4"/>
  <c r="AL94" i="4"/>
  <c r="AM94" i="4"/>
  <c r="AJ94" i="4"/>
  <c r="AN70" i="4"/>
  <c r="AO70" i="4"/>
  <c r="AP70" i="4"/>
  <c r="AQ70" i="4"/>
  <c r="AR70" i="4"/>
  <c r="AS70" i="4"/>
  <c r="AK70" i="4"/>
  <c r="AL70" i="4"/>
  <c r="AM70" i="4"/>
  <c r="AJ70" i="4"/>
  <c r="AQ97" i="4"/>
  <c r="AR97" i="4"/>
  <c r="AS97" i="4"/>
  <c r="AK97" i="4"/>
  <c r="AL97" i="4"/>
  <c r="AM97" i="4"/>
  <c r="AN97" i="4"/>
  <c r="AO97" i="4"/>
  <c r="AP97" i="4"/>
  <c r="AJ97" i="4"/>
  <c r="AQ73" i="4"/>
  <c r="AR73" i="4"/>
  <c r="AS73" i="4"/>
  <c r="AK73" i="4"/>
  <c r="AL73" i="4"/>
  <c r="AM73" i="4"/>
  <c r="AN73" i="4"/>
  <c r="AO73" i="4"/>
  <c r="AP73" i="4"/>
  <c r="AJ73" i="4"/>
  <c r="AK31" i="4"/>
  <c r="AL31" i="4"/>
  <c r="AM31" i="4"/>
  <c r="AN31" i="4"/>
  <c r="AO31" i="4"/>
  <c r="AP31" i="4"/>
  <c r="AQ31" i="4"/>
  <c r="AR31" i="4"/>
  <c r="AS31" i="4"/>
  <c r="AJ31" i="4"/>
  <c r="AQ49" i="4"/>
  <c r="AR49" i="4"/>
  <c r="AS49" i="4"/>
  <c r="AK49" i="4"/>
  <c r="AL49" i="4"/>
  <c r="AM49" i="4"/>
  <c r="AN49" i="4"/>
  <c r="AO49" i="4"/>
  <c r="AP49" i="4"/>
  <c r="AJ49" i="4"/>
  <c r="AL92" i="4"/>
  <c r="AM92" i="4"/>
  <c r="AN92" i="4"/>
  <c r="AO92" i="4"/>
  <c r="AP92" i="4"/>
  <c r="AQ92" i="4"/>
  <c r="AR92" i="4"/>
  <c r="AS92" i="4"/>
  <c r="AK92" i="4"/>
  <c r="AJ92" i="4"/>
  <c r="AL68" i="4"/>
  <c r="AM68" i="4"/>
  <c r="AN68" i="4"/>
  <c r="AO68" i="4"/>
  <c r="AP68" i="4"/>
  <c r="AQ68" i="4"/>
  <c r="AR68" i="4"/>
  <c r="AS68" i="4"/>
  <c r="AK68" i="4"/>
  <c r="AJ68" i="4"/>
  <c r="AO95" i="4"/>
  <c r="AP95" i="4"/>
  <c r="AQ95" i="4"/>
  <c r="AR95" i="4"/>
  <c r="AS95" i="4"/>
  <c r="AK95" i="4"/>
  <c r="AL95" i="4"/>
  <c r="AM95" i="4"/>
  <c r="AN95" i="4"/>
  <c r="AJ95" i="4"/>
  <c r="AO71" i="4"/>
  <c r="AP71" i="4"/>
  <c r="AQ71" i="4"/>
  <c r="AR71" i="4"/>
  <c r="AS71" i="4"/>
  <c r="AK71" i="4"/>
  <c r="AL71" i="4"/>
  <c r="AM71" i="4"/>
  <c r="AN71" i="4"/>
  <c r="AJ71" i="4"/>
  <c r="AK54" i="4"/>
  <c r="AL54" i="4"/>
  <c r="AM54" i="4"/>
  <c r="AN54" i="4"/>
  <c r="AO54" i="4"/>
  <c r="AP54" i="4"/>
  <c r="AQ54" i="4"/>
  <c r="AR54" i="4"/>
  <c r="AS54" i="4"/>
  <c r="AJ54" i="4"/>
  <c r="AM45" i="4"/>
  <c r="AN45" i="4"/>
  <c r="AO45" i="4"/>
  <c r="AP45" i="4"/>
  <c r="AQ45" i="4"/>
  <c r="AR45" i="4"/>
  <c r="AS45" i="4"/>
  <c r="AK45" i="4"/>
  <c r="AL45" i="4"/>
  <c r="AJ45" i="4"/>
  <c r="AK90" i="4"/>
  <c r="AL90" i="4"/>
  <c r="AM90" i="4"/>
  <c r="AN90" i="4"/>
  <c r="AO90" i="4"/>
  <c r="AP90" i="4"/>
  <c r="AQ90" i="4"/>
  <c r="AR90" i="4"/>
  <c r="AS90" i="4"/>
  <c r="AJ90" i="4"/>
  <c r="AK66" i="4"/>
  <c r="AL66" i="4"/>
  <c r="AM66" i="4"/>
  <c r="AN66" i="4"/>
  <c r="AO66" i="4"/>
  <c r="AP66" i="4"/>
  <c r="AQ66" i="4"/>
  <c r="AR66" i="4"/>
  <c r="AS66" i="4"/>
  <c r="AJ66" i="4"/>
  <c r="AM93" i="4"/>
  <c r="AN93" i="4"/>
  <c r="AO93" i="4"/>
  <c r="AP93" i="4"/>
  <c r="AQ93" i="4"/>
  <c r="AR93" i="4"/>
  <c r="AS93" i="4"/>
  <c r="AK93" i="4"/>
  <c r="AL93" i="4"/>
  <c r="AJ93" i="4"/>
  <c r="AM69" i="4"/>
  <c r="AN69" i="4"/>
  <c r="AO69" i="4"/>
  <c r="AP69" i="4"/>
  <c r="AQ69" i="4"/>
  <c r="AR69" i="4"/>
  <c r="AS69" i="4"/>
  <c r="AK69" i="4"/>
  <c r="AL69" i="4"/>
  <c r="AJ69" i="4"/>
  <c r="AR50" i="4"/>
  <c r="AS50" i="4"/>
  <c r="AK50" i="4"/>
  <c r="AL50" i="4"/>
  <c r="AM50" i="4"/>
  <c r="AN50" i="4"/>
  <c r="AO50" i="4"/>
  <c r="AP50" i="4"/>
  <c r="AQ50" i="4"/>
  <c r="AJ50" i="4"/>
  <c r="AG36" i="2"/>
  <c r="AG37" i="2" s="1"/>
  <c r="AG38" i="2" s="1"/>
  <c r="AG39" i="2" s="1"/>
  <c r="AG40" i="2" s="1"/>
  <c r="AG41" i="2" s="1"/>
  <c r="V51" i="4"/>
  <c r="U51" i="4"/>
  <c r="S43" i="4"/>
  <c r="T43" i="4"/>
  <c r="AC50" i="4"/>
  <c r="S42" i="4"/>
  <c r="AC43" i="4"/>
  <c r="W50" i="4"/>
  <c r="T50" i="4"/>
  <c r="AB43" i="4"/>
  <c r="W43" i="4"/>
  <c r="T42" i="4"/>
  <c r="W42" i="4"/>
  <c r="Y42" i="4"/>
  <c r="R43" i="4"/>
  <c r="R50" i="4"/>
  <c r="X50" i="4"/>
  <c r="Y43" i="4"/>
  <c r="U43" i="4"/>
  <c r="AA43" i="4"/>
  <c r="X42" i="4"/>
  <c r="AA42" i="4"/>
  <c r="V42" i="4"/>
  <c r="AB50" i="4"/>
  <c r="AC42" i="4"/>
  <c r="X43" i="4"/>
  <c r="Z43" i="4"/>
  <c r="Z42" i="4"/>
  <c r="AB42" i="4"/>
  <c r="S50" i="4"/>
  <c r="V50" i="4"/>
  <c r="Z50" i="4"/>
  <c r="Y50" i="4"/>
  <c r="U50" i="4"/>
  <c r="AA50" i="4"/>
  <c r="S49" i="4"/>
  <c r="U49" i="4"/>
  <c r="R49" i="4"/>
  <c r="W49" i="4"/>
  <c r="V49" i="4"/>
  <c r="T49" i="4"/>
  <c r="T11" i="5"/>
  <c r="B10" i="6" s="1"/>
  <c r="U11" i="5"/>
  <c r="O12" i="5"/>
  <c r="B9" i="6"/>
  <c r="T31" i="4"/>
  <c r="R31" i="4"/>
  <c r="V31" i="4"/>
  <c r="AH9" i="4"/>
  <c r="AI5" i="2" l="1"/>
  <c r="AS6" i="3" s="1"/>
  <c r="AH12" i="5"/>
  <c r="AG12" i="5"/>
  <c r="AI12" i="5"/>
  <c r="AB60" i="4"/>
  <c r="X67" i="4"/>
  <c r="X61" i="4"/>
  <c r="X63" i="4"/>
  <c r="X58" i="4"/>
  <c r="AA60" i="4"/>
  <c r="X59" i="4"/>
  <c r="X60" i="4"/>
  <c r="Y60" i="4"/>
  <c r="X52" i="4"/>
  <c r="X48" i="4"/>
  <c r="X49" i="4"/>
  <c r="X54" i="4"/>
  <c r="X51" i="4"/>
  <c r="X46" i="4"/>
  <c r="W32" i="4"/>
  <c r="W31" i="4"/>
  <c r="H11" i="6"/>
  <c r="B11" i="8"/>
  <c r="L11" i="7"/>
  <c r="B11" i="32"/>
  <c r="T12" i="5"/>
  <c r="B11" i="6" s="1"/>
  <c r="U12" i="5"/>
  <c r="O13" i="5"/>
  <c r="AP37" i="3"/>
  <c r="AH10" i="4"/>
  <c r="AH13" i="5" l="1"/>
  <c r="AI13" i="5"/>
  <c r="AG13" i="5"/>
  <c r="AL6" i="3"/>
  <c r="AP6" i="3"/>
  <c r="AX6" i="3"/>
  <c r="AD6" i="3"/>
  <c r="AT6" i="3"/>
  <c r="AK6" i="3"/>
  <c r="AZ6" i="3"/>
  <c r="AR6" i="3"/>
  <c r="AW6" i="3"/>
  <c r="AV6" i="3"/>
  <c r="AE6" i="3"/>
  <c r="AY6" i="3"/>
  <c r="AJ6" i="3"/>
  <c r="AH6" i="3"/>
  <c r="AF6" i="3"/>
  <c r="AU6" i="3"/>
  <c r="AI6" i="3"/>
  <c r="AM6" i="3"/>
  <c r="BA6" i="3"/>
  <c r="AC6" i="3"/>
  <c r="AN6" i="3"/>
  <c r="CQ99" i="3" s="1"/>
  <c r="AG6" i="3"/>
  <c r="AQ6" i="3"/>
  <c r="Y67" i="4"/>
  <c r="Y58" i="4"/>
  <c r="Y59" i="4"/>
  <c r="Y63" i="4"/>
  <c r="Y61" i="4"/>
  <c r="Y54" i="4"/>
  <c r="Y51" i="4"/>
  <c r="Y49" i="4"/>
  <c r="Y48" i="4"/>
  <c r="Y46" i="4"/>
  <c r="Y52" i="4"/>
  <c r="X32" i="4"/>
  <c r="X31" i="4"/>
  <c r="AE16" i="3"/>
  <c r="AE17" i="3"/>
  <c r="AR17" i="3" s="1"/>
  <c r="AE18" i="3"/>
  <c r="AR18" i="3" s="1"/>
  <c r="AE19" i="3"/>
  <c r="AR19" i="3" s="1"/>
  <c r="AE7" i="3"/>
  <c r="AE15" i="3"/>
  <c r="AR15" i="3" s="1"/>
  <c r="AE21" i="3"/>
  <c r="AR21" i="3" s="1"/>
  <c r="AE22" i="3"/>
  <c r="AR22" i="3" s="1"/>
  <c r="AE8" i="3"/>
  <c r="AR8" i="3" s="1"/>
  <c r="AE9" i="3"/>
  <c r="AR9" i="3" s="1"/>
  <c r="AE10" i="3"/>
  <c r="AR10" i="3" s="1"/>
  <c r="AE11" i="3"/>
  <c r="AR11" i="3" s="1"/>
  <c r="AE12" i="3"/>
  <c r="AE13" i="3"/>
  <c r="AR13" i="3" s="1"/>
  <c r="AE14" i="3"/>
  <c r="AR14" i="3" s="1"/>
  <c r="AE20" i="3"/>
  <c r="AR20" i="3" s="1"/>
  <c r="AG8" i="3"/>
  <c r="AT8" i="3" s="1"/>
  <c r="AG9" i="3"/>
  <c r="AT9" i="3" s="1"/>
  <c r="AG10" i="3"/>
  <c r="AT10" i="3" s="1"/>
  <c r="AG11" i="3"/>
  <c r="AT11" i="3" s="1"/>
  <c r="AG12" i="3"/>
  <c r="AT12" i="3" s="1"/>
  <c r="AG13" i="3"/>
  <c r="AT13" i="3" s="1"/>
  <c r="AG14" i="3"/>
  <c r="AT14" i="3" s="1"/>
  <c r="AG15" i="3"/>
  <c r="AT15" i="3" s="1"/>
  <c r="AG16" i="3"/>
  <c r="AG17" i="3"/>
  <c r="AT17" i="3" s="1"/>
  <c r="AG18" i="3"/>
  <c r="AT18" i="3" s="1"/>
  <c r="AG19" i="3"/>
  <c r="AT19" i="3" s="1"/>
  <c r="AG20" i="3"/>
  <c r="AT20" i="3" s="1"/>
  <c r="AG21" i="3"/>
  <c r="AT21" i="3" s="1"/>
  <c r="AG22" i="3"/>
  <c r="AT22" i="3" s="1"/>
  <c r="AG7" i="3"/>
  <c r="AI14" i="3"/>
  <c r="AV14" i="3" s="1"/>
  <c r="AI7" i="3"/>
  <c r="AI13" i="3"/>
  <c r="AV13" i="3" s="1"/>
  <c r="AI16" i="3"/>
  <c r="AV16" i="3" s="1"/>
  <c r="AI17" i="3"/>
  <c r="AV17" i="3" s="1"/>
  <c r="AI18" i="3"/>
  <c r="AV18" i="3" s="1"/>
  <c r="AI19" i="3"/>
  <c r="AV19" i="3" s="1"/>
  <c r="AI20" i="3"/>
  <c r="AV20" i="3" s="1"/>
  <c r="AI8" i="3"/>
  <c r="AV8" i="3" s="1"/>
  <c r="AI9" i="3"/>
  <c r="AV9" i="3" s="1"/>
  <c r="AI10" i="3"/>
  <c r="AV10" i="3" s="1"/>
  <c r="AI11" i="3"/>
  <c r="AV11" i="3" s="1"/>
  <c r="AI12" i="3"/>
  <c r="AV12" i="3" s="1"/>
  <c r="AI15" i="3"/>
  <c r="AV15" i="3" s="1"/>
  <c r="AI21" i="3"/>
  <c r="AV21" i="3" s="1"/>
  <c r="AI22" i="3"/>
  <c r="AV22" i="3" s="1"/>
  <c r="AC8" i="3"/>
  <c r="AP8" i="3" s="1"/>
  <c r="AC9" i="3"/>
  <c r="AP9" i="3" s="1"/>
  <c r="AC10" i="3"/>
  <c r="AP10" i="3" s="1"/>
  <c r="AC11" i="3"/>
  <c r="AP11" i="3" s="1"/>
  <c r="AC12" i="3"/>
  <c r="AP12" i="3" s="1"/>
  <c r="AC13" i="3"/>
  <c r="AP13" i="3" s="1"/>
  <c r="AC14" i="3"/>
  <c r="AP14" i="3" s="1"/>
  <c r="AC15" i="3"/>
  <c r="AP15" i="3" s="1"/>
  <c r="AC16" i="3"/>
  <c r="AP16" i="3" s="1"/>
  <c r="AC17" i="3"/>
  <c r="AP17" i="3" s="1"/>
  <c r="AC18" i="3"/>
  <c r="AP18" i="3" s="1"/>
  <c r="AC19" i="3"/>
  <c r="AP19" i="3" s="1"/>
  <c r="AC20" i="3"/>
  <c r="AC21" i="3"/>
  <c r="AP21" i="3" s="1"/>
  <c r="AC22" i="3"/>
  <c r="AP22" i="3" s="1"/>
  <c r="AC7" i="3"/>
  <c r="AP7" i="3" s="1"/>
  <c r="AH7" i="3"/>
  <c r="AH8" i="3"/>
  <c r="AU8" i="3" s="1"/>
  <c r="AH9" i="3"/>
  <c r="AU9" i="3" s="1"/>
  <c r="AH10" i="3"/>
  <c r="AU10" i="3" s="1"/>
  <c r="AH11" i="3"/>
  <c r="AU11" i="3" s="1"/>
  <c r="AH12" i="3"/>
  <c r="AU12" i="3" s="1"/>
  <c r="AH13" i="3"/>
  <c r="AU13" i="3" s="1"/>
  <c r="AH14" i="3"/>
  <c r="AU14" i="3" s="1"/>
  <c r="AH15" i="3"/>
  <c r="AU15" i="3" s="1"/>
  <c r="AH16" i="3"/>
  <c r="AU16" i="3" s="1"/>
  <c r="AH17" i="3"/>
  <c r="AU17" i="3" s="1"/>
  <c r="AH18" i="3"/>
  <c r="AU18" i="3" s="1"/>
  <c r="AH19" i="3"/>
  <c r="AU19" i="3" s="1"/>
  <c r="AH20" i="3"/>
  <c r="AU20" i="3" s="1"/>
  <c r="AH21" i="3"/>
  <c r="AU21" i="3" s="1"/>
  <c r="AH22" i="3"/>
  <c r="AU22" i="3" s="1"/>
  <c r="AJ7" i="3"/>
  <c r="AJ15" i="3"/>
  <c r="AW15" i="3" s="1"/>
  <c r="AJ16" i="3"/>
  <c r="AW16" i="3" s="1"/>
  <c r="AJ19" i="3"/>
  <c r="AW19" i="3" s="1"/>
  <c r="AJ21" i="3"/>
  <c r="AW21" i="3" s="1"/>
  <c r="AJ13" i="3"/>
  <c r="AW13" i="3" s="1"/>
  <c r="AJ22" i="3"/>
  <c r="AW22" i="3" s="1"/>
  <c r="AJ17" i="3"/>
  <c r="AW17" i="3" s="1"/>
  <c r="AJ8" i="3"/>
  <c r="AW8" i="3" s="1"/>
  <c r="AJ9" i="3"/>
  <c r="AW9" i="3" s="1"/>
  <c r="AJ10" i="3"/>
  <c r="AW10" i="3" s="1"/>
  <c r="AJ11" i="3"/>
  <c r="AW11" i="3" s="1"/>
  <c r="AJ12" i="3"/>
  <c r="AW12" i="3" s="1"/>
  <c r="AJ14" i="3"/>
  <c r="AW14" i="3" s="1"/>
  <c r="AJ18" i="3"/>
  <c r="AW18" i="3" s="1"/>
  <c r="AJ20" i="3"/>
  <c r="AW20" i="3" s="1"/>
  <c r="AF13" i="3"/>
  <c r="AS13" i="3" s="1"/>
  <c r="AF18" i="3"/>
  <c r="AF7" i="3"/>
  <c r="AF15" i="3"/>
  <c r="AS15" i="3" s="1"/>
  <c r="AF19" i="3"/>
  <c r="AS19" i="3" s="1"/>
  <c r="AF16" i="3"/>
  <c r="AS16" i="3" s="1"/>
  <c r="AF20" i="3"/>
  <c r="AS20" i="3" s="1"/>
  <c r="AF21" i="3"/>
  <c r="AS21" i="3" s="1"/>
  <c r="AF22" i="3"/>
  <c r="AS22" i="3" s="1"/>
  <c r="AF8" i="3"/>
  <c r="AS8" i="3" s="1"/>
  <c r="AF9" i="3"/>
  <c r="AS9" i="3" s="1"/>
  <c r="AF10" i="3"/>
  <c r="AS10" i="3" s="1"/>
  <c r="AF11" i="3"/>
  <c r="AS11" i="3" s="1"/>
  <c r="AF12" i="3"/>
  <c r="AS12" i="3" s="1"/>
  <c r="AF14" i="3"/>
  <c r="AF17" i="3"/>
  <c r="AS17" i="3" s="1"/>
  <c r="AM19" i="3"/>
  <c r="AZ19" i="3" s="1"/>
  <c r="AM20" i="3"/>
  <c r="AZ20" i="3" s="1"/>
  <c r="AM21" i="3"/>
  <c r="AZ21" i="3" s="1"/>
  <c r="AM22" i="3"/>
  <c r="AZ22" i="3" s="1"/>
  <c r="AM7" i="3"/>
  <c r="AM15" i="3"/>
  <c r="AZ15" i="3" s="1"/>
  <c r="AM8" i="3"/>
  <c r="AZ8" i="3" s="1"/>
  <c r="AM9" i="3"/>
  <c r="AZ9" i="3" s="1"/>
  <c r="AM10" i="3"/>
  <c r="AZ10" i="3" s="1"/>
  <c r="AM11" i="3"/>
  <c r="AZ11" i="3" s="1"/>
  <c r="AM12" i="3"/>
  <c r="AZ12" i="3" s="1"/>
  <c r="AM13" i="3"/>
  <c r="AZ13" i="3" s="1"/>
  <c r="AM14" i="3"/>
  <c r="AZ14" i="3" s="1"/>
  <c r="AM16" i="3"/>
  <c r="AZ16" i="3" s="1"/>
  <c r="AM17" i="3"/>
  <c r="AZ17" i="3" s="1"/>
  <c r="AM18" i="3"/>
  <c r="AZ18" i="3" s="1"/>
  <c r="AN22" i="3"/>
  <c r="AN16" i="3"/>
  <c r="AN17" i="3"/>
  <c r="AN20" i="3"/>
  <c r="AN7" i="3"/>
  <c r="BA7" i="3" s="1"/>
  <c r="AN13" i="3"/>
  <c r="AN18" i="3"/>
  <c r="AN8" i="3"/>
  <c r="AN9" i="3"/>
  <c r="AN10" i="3"/>
  <c r="AN11" i="3"/>
  <c r="AN12" i="3"/>
  <c r="AN14" i="3"/>
  <c r="AN15" i="3"/>
  <c r="AN19" i="3"/>
  <c r="AN21" i="3"/>
  <c r="AL7" i="3"/>
  <c r="AL8" i="3"/>
  <c r="AY8" i="3" s="1"/>
  <c r="AL9" i="3"/>
  <c r="AY9" i="3" s="1"/>
  <c r="AL10" i="3"/>
  <c r="AY10" i="3" s="1"/>
  <c r="AL11" i="3"/>
  <c r="AY11" i="3" s="1"/>
  <c r="AL12" i="3"/>
  <c r="AY12" i="3" s="1"/>
  <c r="AL13" i="3"/>
  <c r="AY13" i="3" s="1"/>
  <c r="AL14" i="3"/>
  <c r="AY14" i="3" s="1"/>
  <c r="AL15" i="3"/>
  <c r="AY15" i="3" s="1"/>
  <c r="AL16" i="3"/>
  <c r="AY16" i="3" s="1"/>
  <c r="AL17" i="3"/>
  <c r="AY17" i="3" s="1"/>
  <c r="AL18" i="3"/>
  <c r="AY18" i="3" s="1"/>
  <c r="AL19" i="3"/>
  <c r="AL20" i="3"/>
  <c r="AY20" i="3" s="1"/>
  <c r="AL21" i="3"/>
  <c r="AY21" i="3" s="1"/>
  <c r="AL22" i="3"/>
  <c r="AY22" i="3" s="1"/>
  <c r="AD7" i="3"/>
  <c r="AD8" i="3"/>
  <c r="AQ8" i="3" s="1"/>
  <c r="AD9" i="3"/>
  <c r="AQ9" i="3" s="1"/>
  <c r="AD10" i="3"/>
  <c r="AQ10" i="3" s="1"/>
  <c r="AD11" i="3"/>
  <c r="AQ11" i="3" s="1"/>
  <c r="AD12" i="3"/>
  <c r="AQ12" i="3" s="1"/>
  <c r="AD13" i="3"/>
  <c r="AQ13" i="3" s="1"/>
  <c r="AD14" i="3"/>
  <c r="AQ14" i="3" s="1"/>
  <c r="AD15" i="3"/>
  <c r="AQ15" i="3" s="1"/>
  <c r="AD16" i="3"/>
  <c r="AQ16" i="3" s="1"/>
  <c r="AD17" i="3"/>
  <c r="AQ17" i="3" s="1"/>
  <c r="AD18" i="3"/>
  <c r="AQ18" i="3" s="1"/>
  <c r="AD19" i="3"/>
  <c r="AQ19" i="3" s="1"/>
  <c r="AD20" i="3"/>
  <c r="AQ20" i="3" s="1"/>
  <c r="AD21" i="3"/>
  <c r="AQ21" i="3" s="1"/>
  <c r="AD22" i="3"/>
  <c r="AQ22" i="3" s="1"/>
  <c r="AK8" i="3"/>
  <c r="AX8" i="3" s="1"/>
  <c r="AK9" i="3"/>
  <c r="AX9" i="3" s="1"/>
  <c r="AK10" i="3"/>
  <c r="AX10" i="3" s="1"/>
  <c r="AK11" i="3"/>
  <c r="AX11" i="3" s="1"/>
  <c r="AK12" i="3"/>
  <c r="AX12" i="3" s="1"/>
  <c r="AK13" i="3"/>
  <c r="AX13" i="3" s="1"/>
  <c r="AK14" i="3"/>
  <c r="AX14" i="3" s="1"/>
  <c r="AK15" i="3"/>
  <c r="AX15" i="3" s="1"/>
  <c r="AK16" i="3"/>
  <c r="AX16" i="3" s="1"/>
  <c r="AK17" i="3"/>
  <c r="AX17" i="3" s="1"/>
  <c r="AK18" i="3"/>
  <c r="AX18" i="3" s="1"/>
  <c r="AK19" i="3"/>
  <c r="AX19" i="3" s="1"/>
  <c r="AK20" i="3"/>
  <c r="AX20" i="3" s="1"/>
  <c r="AK21" i="3"/>
  <c r="AX21" i="3" s="1"/>
  <c r="AK22" i="3"/>
  <c r="AX22" i="3" s="1"/>
  <c r="AK7" i="3"/>
  <c r="AT16" i="3"/>
  <c r="AT23" i="3"/>
  <c r="AY26" i="3"/>
  <c r="AV23" i="3"/>
  <c r="AV24" i="3"/>
  <c r="AV26" i="3"/>
  <c r="AP41" i="3"/>
  <c r="AP26" i="3"/>
  <c r="AW25" i="3"/>
  <c r="AS23" i="3"/>
  <c r="AS25" i="3"/>
  <c r="AZ24" i="3"/>
  <c r="AZ25" i="3"/>
  <c r="AQ23" i="3"/>
  <c r="AQ26" i="3"/>
  <c r="AX23" i="3"/>
  <c r="AX26" i="3"/>
  <c r="AU23" i="3"/>
  <c r="AU24" i="3"/>
  <c r="AU26" i="3"/>
  <c r="AR23" i="3"/>
  <c r="AR24" i="3"/>
  <c r="AR26" i="3"/>
  <c r="H12" i="6"/>
  <c r="B12" i="8"/>
  <c r="L12" i="7"/>
  <c r="B12" i="32"/>
  <c r="T13" i="5"/>
  <c r="B12" i="6" s="1"/>
  <c r="U13" i="5"/>
  <c r="O14" i="5"/>
  <c r="AP29" i="3"/>
  <c r="AP34" i="3"/>
  <c r="AP40" i="3"/>
  <c r="AP35" i="3"/>
  <c r="AP30" i="3"/>
  <c r="AP36" i="3"/>
  <c r="AP39" i="3"/>
  <c r="AP38" i="3"/>
  <c r="AT41" i="3"/>
  <c r="AT40" i="3"/>
  <c r="AQ41" i="3"/>
  <c r="AQ40" i="3"/>
  <c r="AY41" i="3"/>
  <c r="AY40" i="3"/>
  <c r="AX41" i="3"/>
  <c r="AX40" i="3"/>
  <c r="AV41" i="3"/>
  <c r="AV40" i="3"/>
  <c r="BA41" i="3"/>
  <c r="BA40" i="3"/>
  <c r="AW41" i="3"/>
  <c r="AW40" i="3"/>
  <c r="AU41" i="3"/>
  <c r="AU40" i="3"/>
  <c r="AS41" i="3"/>
  <c r="AS40" i="3"/>
  <c r="AR41" i="3"/>
  <c r="AR40" i="3"/>
  <c r="AZ41" i="3"/>
  <c r="AZ40" i="3"/>
  <c r="AT39" i="3"/>
  <c r="AT38" i="3"/>
  <c r="AT30" i="3"/>
  <c r="AT29" i="3"/>
  <c r="AT37" i="3"/>
  <c r="AT35" i="3"/>
  <c r="AT36" i="3"/>
  <c r="AY38" i="3"/>
  <c r="AY37" i="3"/>
  <c r="AY36" i="3"/>
  <c r="AY35" i="3"/>
  <c r="AY30" i="3"/>
  <c r="AY29" i="3"/>
  <c r="AV39" i="3"/>
  <c r="AV38" i="3"/>
  <c r="AV37" i="3"/>
  <c r="AV36" i="3"/>
  <c r="AV35" i="3"/>
  <c r="AV30" i="3"/>
  <c r="AV29" i="3"/>
  <c r="AW39" i="3"/>
  <c r="AW38" i="3"/>
  <c r="AW37" i="3"/>
  <c r="AW35" i="3"/>
  <c r="AW29" i="3"/>
  <c r="AW36" i="3"/>
  <c r="AW30" i="3"/>
  <c r="AS39" i="3"/>
  <c r="AS38" i="3"/>
  <c r="AS37" i="3"/>
  <c r="AS36" i="3"/>
  <c r="AS30" i="3"/>
  <c r="AS35" i="3"/>
  <c r="AS29" i="3"/>
  <c r="AZ39" i="3"/>
  <c r="AZ38" i="3"/>
  <c r="AZ37" i="3"/>
  <c r="AZ36" i="3"/>
  <c r="AZ35" i="3"/>
  <c r="AZ30" i="3"/>
  <c r="AZ29" i="3"/>
  <c r="AQ39" i="3"/>
  <c r="AQ38" i="3"/>
  <c r="AQ37" i="3"/>
  <c r="AQ36" i="3"/>
  <c r="AQ35" i="3"/>
  <c r="AQ30" i="3"/>
  <c r="AQ29" i="3"/>
  <c r="AX37" i="3"/>
  <c r="AX35" i="3"/>
  <c r="AX39" i="3"/>
  <c r="AX38" i="3"/>
  <c r="AX36" i="3"/>
  <c r="AX30" i="3"/>
  <c r="AX29" i="3"/>
  <c r="BA39" i="3"/>
  <c r="BA37" i="3"/>
  <c r="AU39" i="3"/>
  <c r="AU38" i="3"/>
  <c r="AU37" i="3"/>
  <c r="AU36" i="3"/>
  <c r="AU35" i="3"/>
  <c r="AU30" i="3"/>
  <c r="AU29" i="3"/>
  <c r="AR39" i="3"/>
  <c r="AR38" i="3"/>
  <c r="AR37" i="3"/>
  <c r="AR36" i="3"/>
  <c r="AR35" i="3"/>
  <c r="AR30" i="3"/>
  <c r="AR29" i="3"/>
  <c r="AW28" i="3"/>
  <c r="AW27" i="3"/>
  <c r="AW26" i="3"/>
  <c r="AW24" i="3"/>
  <c r="AW23" i="3"/>
  <c r="AS28" i="3"/>
  <c r="AS27" i="3"/>
  <c r="AS26" i="3"/>
  <c r="AS24" i="3"/>
  <c r="AS18" i="3"/>
  <c r="AS14" i="3"/>
  <c r="AV28" i="3"/>
  <c r="AV27" i="3"/>
  <c r="AV25" i="3"/>
  <c r="AQ28" i="3"/>
  <c r="AQ27" i="3"/>
  <c r="AQ25" i="3"/>
  <c r="AQ24" i="3"/>
  <c r="AP28" i="3"/>
  <c r="AP27" i="3"/>
  <c r="AP25" i="3"/>
  <c r="AP24" i="3"/>
  <c r="AP23" i="3"/>
  <c r="AP20" i="3"/>
  <c r="AZ28" i="3"/>
  <c r="AZ27" i="3"/>
  <c r="AZ26" i="3"/>
  <c r="AZ23" i="3"/>
  <c r="AU28" i="3"/>
  <c r="AU27" i="3"/>
  <c r="AU25" i="3"/>
  <c r="AX28" i="3"/>
  <c r="AX27" i="3"/>
  <c r="AX25" i="3"/>
  <c r="AX24" i="3"/>
  <c r="AT27" i="3"/>
  <c r="AT26" i="3"/>
  <c r="AT25" i="3"/>
  <c r="AT24" i="3"/>
  <c r="AT28" i="3"/>
  <c r="AY28" i="3"/>
  <c r="AY27" i="3"/>
  <c r="AY25" i="3"/>
  <c r="AY24" i="3"/>
  <c r="AY23" i="3"/>
  <c r="AY19" i="3"/>
  <c r="AR28" i="3"/>
  <c r="AR27" i="3"/>
  <c r="AR25" i="3"/>
  <c r="AR16" i="3"/>
  <c r="AR12" i="3"/>
  <c r="AH11" i="4"/>
  <c r="L9" i="8" l="1"/>
  <c r="AZ7" i="3"/>
  <c r="U19" i="7"/>
  <c r="AW7" i="3"/>
  <c r="U16" i="7"/>
  <c r="AT7" i="3"/>
  <c r="U13" i="7"/>
  <c r="AQ7" i="3"/>
  <c r="U10" i="7"/>
  <c r="AU7" i="3"/>
  <c r="U14" i="7"/>
  <c r="AR7" i="3"/>
  <c r="U11" i="7"/>
  <c r="U9" i="7"/>
  <c r="AS7" i="3"/>
  <c r="U12" i="7"/>
  <c r="AY7" i="3"/>
  <c r="U18" i="7"/>
  <c r="U20" i="7"/>
  <c r="AX7" i="3"/>
  <c r="U17" i="7"/>
  <c r="AV7" i="3"/>
  <c r="U15" i="7"/>
  <c r="CP72" i="3"/>
  <c r="CP76" i="3"/>
  <c r="CP80" i="3"/>
  <c r="CP84" i="3"/>
  <c r="CQ20" i="3"/>
  <c r="CQ24" i="3"/>
  <c r="CQ68" i="3"/>
  <c r="CQ72" i="3"/>
  <c r="CP15" i="3"/>
  <c r="CP29" i="3"/>
  <c r="CP8" i="3"/>
  <c r="CP69" i="3"/>
  <c r="CP28" i="3"/>
  <c r="CP36" i="3"/>
  <c r="CQ28" i="3"/>
  <c r="CQ76" i="3"/>
  <c r="CP73" i="3"/>
  <c r="CQ32" i="3"/>
  <c r="CQ80" i="3"/>
  <c r="CP77" i="3"/>
  <c r="CP40" i="3"/>
  <c r="CP88" i="3"/>
  <c r="CQ36" i="3"/>
  <c r="CQ84" i="3"/>
  <c r="CQ29" i="3"/>
  <c r="CP44" i="3"/>
  <c r="CP92" i="3"/>
  <c r="CQ40" i="3"/>
  <c r="CQ88" i="3"/>
  <c r="CQ33" i="3"/>
  <c r="CP48" i="3"/>
  <c r="CP96" i="3"/>
  <c r="CQ44" i="3"/>
  <c r="CQ92" i="3"/>
  <c r="CQ37" i="3"/>
  <c r="CP52" i="3"/>
  <c r="CP100" i="3"/>
  <c r="CQ48" i="3"/>
  <c r="CQ96" i="3"/>
  <c r="CQ89" i="3"/>
  <c r="CP56" i="3"/>
  <c r="CP104" i="3"/>
  <c r="CQ52" i="3"/>
  <c r="CQ100" i="3"/>
  <c r="CQ93" i="3"/>
  <c r="CP60" i="3"/>
  <c r="CQ8" i="3"/>
  <c r="CQ56" i="3"/>
  <c r="CQ104" i="3"/>
  <c r="CQ105" i="3"/>
  <c r="CP64" i="3"/>
  <c r="CQ12" i="3"/>
  <c r="CQ60" i="3"/>
  <c r="CQ7" i="3"/>
  <c r="CP68" i="3"/>
  <c r="CQ16" i="3"/>
  <c r="CQ64" i="3"/>
  <c r="CP25" i="3"/>
  <c r="CP33" i="3"/>
  <c r="CP81" i="3"/>
  <c r="CQ41" i="3"/>
  <c r="CP13" i="3"/>
  <c r="CP37" i="3"/>
  <c r="CP85" i="3"/>
  <c r="CQ45" i="3"/>
  <c r="CQ13" i="3"/>
  <c r="CP41" i="3"/>
  <c r="CP89" i="3"/>
  <c r="CQ53" i="3"/>
  <c r="CP22" i="3"/>
  <c r="CP45" i="3"/>
  <c r="CP93" i="3"/>
  <c r="CQ57" i="3"/>
  <c r="CP26" i="3"/>
  <c r="CP49" i="3"/>
  <c r="CP97" i="3"/>
  <c r="CQ61" i="3"/>
  <c r="CP78" i="3"/>
  <c r="CP16" i="3"/>
  <c r="CP53" i="3"/>
  <c r="CP101" i="3"/>
  <c r="CQ65" i="3"/>
  <c r="CP106" i="3"/>
  <c r="CP20" i="3"/>
  <c r="CP57" i="3"/>
  <c r="CP105" i="3"/>
  <c r="CQ77" i="3"/>
  <c r="CP12" i="3"/>
  <c r="CP24" i="3"/>
  <c r="CP61" i="3"/>
  <c r="CP9" i="3"/>
  <c r="CQ81" i="3"/>
  <c r="CP32" i="3"/>
  <c r="CP65" i="3"/>
  <c r="CQ25" i="3"/>
  <c r="CQ85" i="3"/>
  <c r="CP30" i="3"/>
  <c r="CP17" i="3"/>
  <c r="CP34" i="3"/>
  <c r="CQ17" i="3"/>
  <c r="CQ49" i="3"/>
  <c r="CQ97" i="3"/>
  <c r="CP38" i="3"/>
  <c r="CQ30" i="3"/>
  <c r="CQ101" i="3"/>
  <c r="CP46" i="3"/>
  <c r="CQ38" i="3"/>
  <c r="CP58" i="3"/>
  <c r="CQ42" i="3"/>
  <c r="CP62" i="3"/>
  <c r="CP19" i="3"/>
  <c r="CQ9" i="3"/>
  <c r="CP66" i="3"/>
  <c r="CP23" i="3"/>
  <c r="CQ69" i="3"/>
  <c r="CP11" i="3"/>
  <c r="CP70" i="3"/>
  <c r="CQ73" i="3"/>
  <c r="CP21" i="3"/>
  <c r="CP74" i="3"/>
  <c r="CP27" i="3"/>
  <c r="CQ46" i="3"/>
  <c r="CP31" i="3"/>
  <c r="CQ21" i="3"/>
  <c r="CQ50" i="3"/>
  <c r="CP35" i="3"/>
  <c r="CP10" i="3"/>
  <c r="CQ62" i="3"/>
  <c r="CP55" i="3"/>
  <c r="CP82" i="3"/>
  <c r="CP14" i="3"/>
  <c r="CQ66" i="3"/>
  <c r="CP67" i="3"/>
  <c r="CP86" i="3"/>
  <c r="CP18" i="3"/>
  <c r="CQ70" i="3"/>
  <c r="CP71" i="3"/>
  <c r="CP42" i="3"/>
  <c r="CP90" i="3"/>
  <c r="CQ14" i="3"/>
  <c r="CQ74" i="3"/>
  <c r="CP75" i="3"/>
  <c r="CP94" i="3"/>
  <c r="CQ18" i="3"/>
  <c r="CQ78" i="3"/>
  <c r="CP103" i="3"/>
  <c r="CP50" i="3"/>
  <c r="CP98" i="3"/>
  <c r="CQ22" i="3"/>
  <c r="CQ90" i="3"/>
  <c r="CP54" i="3"/>
  <c r="CP102" i="3"/>
  <c r="CQ26" i="3"/>
  <c r="CQ98" i="3"/>
  <c r="CP95" i="3"/>
  <c r="CQ34" i="3"/>
  <c r="CQ82" i="3"/>
  <c r="CP39" i="3"/>
  <c r="CQ11" i="3"/>
  <c r="CQ86" i="3"/>
  <c r="CP43" i="3"/>
  <c r="CQ15" i="3"/>
  <c r="AG14" i="5"/>
  <c r="AH14" i="5"/>
  <c r="AI14" i="5"/>
  <c r="CP47" i="3"/>
  <c r="CQ19" i="3"/>
  <c r="CQ94" i="3"/>
  <c r="CP51" i="3"/>
  <c r="CQ23" i="3"/>
  <c r="CQ103" i="3"/>
  <c r="CP7" i="3"/>
  <c r="CQ54" i="3"/>
  <c r="CQ102" i="3"/>
  <c r="CP59" i="3"/>
  <c r="CQ10" i="3"/>
  <c r="CQ58" i="3"/>
  <c r="CQ106" i="3"/>
  <c r="CP63" i="3"/>
  <c r="CQ27" i="3"/>
  <c r="CQ55" i="3"/>
  <c r="CQ59" i="3"/>
  <c r="CQ63" i="3"/>
  <c r="CP87" i="3"/>
  <c r="CQ67" i="3"/>
  <c r="CP91" i="3"/>
  <c r="CQ71" i="3"/>
  <c r="CQ75" i="3"/>
  <c r="CP79" i="3"/>
  <c r="CQ31" i="3"/>
  <c r="CQ79" i="3"/>
  <c r="CP83" i="3"/>
  <c r="CQ35" i="3"/>
  <c r="CQ83" i="3"/>
  <c r="CQ39" i="3"/>
  <c r="CQ87" i="3"/>
  <c r="CQ43" i="3"/>
  <c r="CQ91" i="3"/>
  <c r="CQ47" i="3"/>
  <c r="CQ95" i="3"/>
  <c r="CP99" i="3"/>
  <c r="CQ51" i="3"/>
  <c r="BA9" i="8"/>
  <c r="BB9" i="8"/>
  <c r="AZ9" i="8"/>
  <c r="AY9" i="8"/>
  <c r="AX9" i="8"/>
  <c r="AW9" i="8"/>
  <c r="S9" i="8"/>
  <c r="X9" i="8"/>
  <c r="T9" i="8"/>
  <c r="W9" i="8"/>
  <c r="V9" i="8"/>
  <c r="U9" i="8"/>
  <c r="Z67" i="4"/>
  <c r="Z61" i="4"/>
  <c r="Z58" i="4"/>
  <c r="Z63" i="4"/>
  <c r="Z59" i="4"/>
  <c r="Z52" i="4"/>
  <c r="Z46" i="4"/>
  <c r="Z48" i="4"/>
  <c r="Z49" i="4"/>
  <c r="Z51" i="4"/>
  <c r="Z54" i="4"/>
  <c r="Y32" i="4"/>
  <c r="AM16" i="8" s="1"/>
  <c r="Y31" i="4"/>
  <c r="BG9" i="8"/>
  <c r="AV9" i="8" s="1"/>
  <c r="AU9" i="8"/>
  <c r="AP9" i="8"/>
  <c r="BG14" i="8"/>
  <c r="AV14" i="8" s="1"/>
  <c r="R14" i="8"/>
  <c r="R14" i="32"/>
  <c r="BG12" i="8"/>
  <c r="AV12" i="8" s="1"/>
  <c r="R12" i="8"/>
  <c r="R12" i="32"/>
  <c r="BG17" i="8"/>
  <c r="AV17" i="8" s="1"/>
  <c r="R17" i="8"/>
  <c r="R17" i="32"/>
  <c r="BG19" i="8"/>
  <c r="AV19" i="8" s="1"/>
  <c r="R19" i="8"/>
  <c r="R19" i="32"/>
  <c r="BG10" i="8"/>
  <c r="AV10" i="8" s="1"/>
  <c r="R10" i="8"/>
  <c r="R10" i="32"/>
  <c r="BG16" i="8"/>
  <c r="AV16" i="8" s="1"/>
  <c r="R16" i="8"/>
  <c r="R16" i="32"/>
  <c r="BG13" i="8"/>
  <c r="AV13" i="8" s="1"/>
  <c r="R13" i="8"/>
  <c r="R13" i="32"/>
  <c r="BG20" i="8"/>
  <c r="AV20" i="8" s="1"/>
  <c r="R20" i="8"/>
  <c r="R20" i="32"/>
  <c r="BG18" i="8"/>
  <c r="AV18" i="8" s="1"/>
  <c r="R18" i="8"/>
  <c r="R18" i="32"/>
  <c r="BG11" i="8"/>
  <c r="AV11" i="8" s="1"/>
  <c r="R11" i="8"/>
  <c r="R11" i="32"/>
  <c r="BG15" i="8"/>
  <c r="AV15" i="8" s="1"/>
  <c r="R15" i="8"/>
  <c r="R15" i="32"/>
  <c r="K13" i="8"/>
  <c r="L13" i="8"/>
  <c r="I13" i="8"/>
  <c r="K17" i="8"/>
  <c r="L17" i="8"/>
  <c r="I17" i="8"/>
  <c r="AO14" i="8"/>
  <c r="AM14" i="8"/>
  <c r="L14" i="8"/>
  <c r="I14" i="8"/>
  <c r="K14" i="8"/>
  <c r="AO19" i="8"/>
  <c r="L19" i="8"/>
  <c r="I19" i="8"/>
  <c r="K19" i="8"/>
  <c r="AO16" i="8"/>
  <c r="K16" i="8"/>
  <c r="I16" i="8"/>
  <c r="L16" i="8"/>
  <c r="K9" i="8"/>
  <c r="AM15" i="8"/>
  <c r="AO15" i="8"/>
  <c r="I15" i="8"/>
  <c r="L15" i="8"/>
  <c r="K15" i="8"/>
  <c r="I9" i="8"/>
  <c r="I11" i="8"/>
  <c r="K11" i="8"/>
  <c r="L11" i="8"/>
  <c r="AO18" i="8"/>
  <c r="I18" i="8"/>
  <c r="L18" i="8"/>
  <c r="K18" i="8"/>
  <c r="AO17" i="8"/>
  <c r="AM10" i="8"/>
  <c r="AO10" i="8"/>
  <c r="L10" i="8"/>
  <c r="I10" i="8"/>
  <c r="K10" i="8"/>
  <c r="AO12" i="8"/>
  <c r="AM12" i="8"/>
  <c r="K12" i="8"/>
  <c r="I12" i="8"/>
  <c r="L12" i="8"/>
  <c r="AM11" i="8"/>
  <c r="AO11" i="8"/>
  <c r="AM13" i="8"/>
  <c r="AO13" i="8"/>
  <c r="H13" i="6"/>
  <c r="B13" i="8"/>
  <c r="L13" i="7"/>
  <c r="B13" i="32"/>
  <c r="BA34" i="3"/>
  <c r="AS34" i="3"/>
  <c r="AW34" i="3"/>
  <c r="AU16" i="8" s="1"/>
  <c r="AX34" i="3"/>
  <c r="D17" i="32" s="1"/>
  <c r="AT34" i="3"/>
  <c r="AI13" i="8" s="1"/>
  <c r="AR34" i="3"/>
  <c r="AU34" i="3"/>
  <c r="D14" i="32" s="1"/>
  <c r="AQ34" i="3"/>
  <c r="J10" i="32" s="1"/>
  <c r="AZ34" i="3"/>
  <c r="J19" i="32" s="1"/>
  <c r="AV34" i="3"/>
  <c r="AY34" i="3"/>
  <c r="U14" i="5"/>
  <c r="T14" i="5"/>
  <c r="M9" i="7"/>
  <c r="R9" i="32"/>
  <c r="I9" i="6"/>
  <c r="R9" i="8"/>
  <c r="O15" i="5"/>
  <c r="AM9" i="8"/>
  <c r="AO9" i="8"/>
  <c r="BA24" i="3"/>
  <c r="BB24" i="3" s="1"/>
  <c r="AA24" i="3" s="1"/>
  <c r="Y24" i="3" s="1"/>
  <c r="B24" i="4" s="1"/>
  <c r="BA28" i="3"/>
  <c r="BB28" i="3" s="1"/>
  <c r="AA28" i="3" s="1"/>
  <c r="Y28" i="3" s="1"/>
  <c r="B28" i="4" s="1"/>
  <c r="BA9" i="3"/>
  <c r="BB9" i="3" s="1"/>
  <c r="AA9" i="3" s="1"/>
  <c r="Y9" i="3" s="1"/>
  <c r="B9" i="4" s="1"/>
  <c r="BA13" i="3"/>
  <c r="BB13" i="3" s="1"/>
  <c r="AA13" i="3" s="1"/>
  <c r="Y13" i="3" s="1"/>
  <c r="B13" i="4" s="1"/>
  <c r="BA17" i="3"/>
  <c r="BB17" i="3" s="1"/>
  <c r="AA17" i="3" s="1"/>
  <c r="Y17" i="3" s="1"/>
  <c r="B17" i="4" s="1"/>
  <c r="BA21" i="3"/>
  <c r="BB21" i="3" s="1"/>
  <c r="AA21" i="3" s="1"/>
  <c r="Y21" i="3" s="1"/>
  <c r="B21" i="4" s="1"/>
  <c r="BA25" i="3"/>
  <c r="BB25" i="3" s="1"/>
  <c r="AA25" i="3" s="1"/>
  <c r="Y25" i="3" s="1"/>
  <c r="B25" i="4" s="1"/>
  <c r="AY39" i="3"/>
  <c r="BA12" i="3"/>
  <c r="BB12" i="3" s="1"/>
  <c r="AA12" i="3" s="1"/>
  <c r="Y12" i="3" s="1"/>
  <c r="B12" i="4" s="1"/>
  <c r="BA10" i="3"/>
  <c r="BA14" i="3"/>
  <c r="BB14" i="3" s="1"/>
  <c r="AA14" i="3" s="1"/>
  <c r="Y14" i="3" s="1"/>
  <c r="B14" i="4" s="1"/>
  <c r="BA18" i="3"/>
  <c r="BB18" i="3" s="1"/>
  <c r="AA18" i="3" s="1"/>
  <c r="Y18" i="3" s="1"/>
  <c r="B18" i="4" s="1"/>
  <c r="BA22" i="3"/>
  <c r="BB22" i="3" s="1"/>
  <c r="AA22" i="3" s="1"/>
  <c r="BA26" i="3"/>
  <c r="BB26" i="3" s="1"/>
  <c r="AA26" i="3" s="1"/>
  <c r="Y26" i="3" s="1"/>
  <c r="B26" i="4" s="1"/>
  <c r="BA35" i="3"/>
  <c r="BB35" i="3" s="1"/>
  <c r="AA35" i="3" s="1"/>
  <c r="Y35" i="3" s="1"/>
  <c r="B35" i="4" s="1"/>
  <c r="BA16" i="3"/>
  <c r="BA11" i="3"/>
  <c r="BB11" i="3" s="1"/>
  <c r="AA11" i="3" s="1"/>
  <c r="Y11" i="3" s="1"/>
  <c r="B11" i="4" s="1"/>
  <c r="BA15" i="3"/>
  <c r="BB15" i="3" s="1"/>
  <c r="AA15" i="3" s="1"/>
  <c r="Y15" i="3" s="1"/>
  <c r="B15" i="4" s="1"/>
  <c r="BA19" i="3"/>
  <c r="BB19" i="3" s="1"/>
  <c r="AA19" i="3" s="1"/>
  <c r="Y19" i="3" s="1"/>
  <c r="B19" i="4" s="1"/>
  <c r="BA23" i="3"/>
  <c r="BB23" i="3" s="1"/>
  <c r="AA23" i="3" s="1"/>
  <c r="Y23" i="3" s="1"/>
  <c r="B23" i="4" s="1"/>
  <c r="BA27" i="3"/>
  <c r="BB27" i="3" s="1"/>
  <c r="AA27" i="3" s="1"/>
  <c r="Y27" i="3" s="1"/>
  <c r="B27" i="4" s="1"/>
  <c r="BA20" i="3"/>
  <c r="BA29" i="3"/>
  <c r="BB29" i="3" s="1"/>
  <c r="AA29" i="3" s="1"/>
  <c r="Y29" i="3" s="1"/>
  <c r="B29" i="4" s="1"/>
  <c r="BA38" i="3"/>
  <c r="BB38" i="3" s="1"/>
  <c r="AA38" i="3" s="1"/>
  <c r="Y38" i="3" s="1"/>
  <c r="B38" i="4" s="1"/>
  <c r="BA30" i="3"/>
  <c r="BB30" i="3" s="1"/>
  <c r="BA36" i="3"/>
  <c r="BB36" i="3" s="1"/>
  <c r="AA36" i="3" s="1"/>
  <c r="Y36" i="3" s="1"/>
  <c r="B36" i="4" s="1"/>
  <c r="BA8" i="3"/>
  <c r="BB8" i="3" s="1"/>
  <c r="AA8" i="3" s="1"/>
  <c r="Y8" i="3" s="1"/>
  <c r="B8" i="4" s="1"/>
  <c r="B20" i="7"/>
  <c r="F20" i="7"/>
  <c r="J20" i="7"/>
  <c r="N20" i="7"/>
  <c r="R20" i="7"/>
  <c r="V20" i="7"/>
  <c r="Z20" i="7"/>
  <c r="C20" i="7"/>
  <c r="G20" i="7"/>
  <c r="K20" i="7"/>
  <c r="O20" i="7"/>
  <c r="S20" i="7"/>
  <c r="W20" i="7"/>
  <c r="AA20" i="7"/>
  <c r="D20" i="7"/>
  <c r="H20" i="7"/>
  <c r="P20" i="7"/>
  <c r="T20" i="7"/>
  <c r="X20" i="7"/>
  <c r="AB20" i="7"/>
  <c r="E20" i="7"/>
  <c r="M20" i="7"/>
  <c r="Q20" i="7"/>
  <c r="Y20" i="7"/>
  <c r="D18" i="7"/>
  <c r="H18" i="7"/>
  <c r="P18" i="7"/>
  <c r="T18" i="7"/>
  <c r="X18" i="7"/>
  <c r="AB18" i="7"/>
  <c r="E18" i="7"/>
  <c r="M18" i="7"/>
  <c r="Q18" i="7"/>
  <c r="Y18" i="7"/>
  <c r="B18" i="7"/>
  <c r="F18" i="7"/>
  <c r="J18" i="7"/>
  <c r="N18" i="7"/>
  <c r="R18" i="7"/>
  <c r="V18" i="7"/>
  <c r="Z18" i="7"/>
  <c r="C18" i="7"/>
  <c r="G18" i="7"/>
  <c r="K18" i="7"/>
  <c r="O18" i="7"/>
  <c r="S18" i="7"/>
  <c r="W18" i="7"/>
  <c r="AA18" i="7"/>
  <c r="D17" i="7"/>
  <c r="H17" i="7"/>
  <c r="P17" i="7"/>
  <c r="F17" i="7"/>
  <c r="K17" i="7"/>
  <c r="O17" i="7"/>
  <c r="T17" i="7"/>
  <c r="X17" i="7"/>
  <c r="AB17" i="7"/>
  <c r="B17" i="7"/>
  <c r="G17" i="7"/>
  <c r="Q17" i="7"/>
  <c r="Y17" i="7"/>
  <c r="C17" i="7"/>
  <c r="M17" i="7"/>
  <c r="R17" i="7"/>
  <c r="V17" i="7"/>
  <c r="Z17" i="7"/>
  <c r="E17" i="7"/>
  <c r="J17" i="7"/>
  <c r="N17" i="7"/>
  <c r="S17" i="7"/>
  <c r="W17" i="7"/>
  <c r="AA17" i="7"/>
  <c r="B12" i="7"/>
  <c r="F12" i="7"/>
  <c r="J12" i="7"/>
  <c r="N12" i="7"/>
  <c r="R12" i="7"/>
  <c r="V12" i="7"/>
  <c r="Z12" i="7"/>
  <c r="C12" i="7"/>
  <c r="G12" i="7"/>
  <c r="K12" i="7"/>
  <c r="O12" i="7"/>
  <c r="S12" i="7"/>
  <c r="W12" i="7"/>
  <c r="AA12" i="7"/>
  <c r="E12" i="7"/>
  <c r="M12" i="7"/>
  <c r="H12" i="7"/>
  <c r="P12" i="7"/>
  <c r="X12" i="7"/>
  <c r="Q12" i="7"/>
  <c r="Y12" i="7"/>
  <c r="D12" i="7"/>
  <c r="T12" i="7"/>
  <c r="AB12" i="7"/>
  <c r="E19" i="7"/>
  <c r="M19" i="7"/>
  <c r="Q19" i="7"/>
  <c r="Y19" i="7"/>
  <c r="B19" i="7"/>
  <c r="F19" i="7"/>
  <c r="J19" i="7"/>
  <c r="N19" i="7"/>
  <c r="R19" i="7"/>
  <c r="V19" i="7"/>
  <c r="Z19" i="7"/>
  <c r="C19" i="7"/>
  <c r="G19" i="7"/>
  <c r="K19" i="7"/>
  <c r="O19" i="7"/>
  <c r="S19" i="7"/>
  <c r="W19" i="7"/>
  <c r="AA19" i="7"/>
  <c r="D19" i="7"/>
  <c r="H19" i="7"/>
  <c r="P19" i="7"/>
  <c r="T19" i="7"/>
  <c r="X19" i="7"/>
  <c r="AB19" i="7"/>
  <c r="D10" i="7"/>
  <c r="H10" i="7"/>
  <c r="P10" i="7"/>
  <c r="T10" i="7"/>
  <c r="X10" i="7"/>
  <c r="AB10" i="7"/>
  <c r="E10" i="7"/>
  <c r="M10" i="7"/>
  <c r="Q10" i="7"/>
  <c r="Y10" i="7"/>
  <c r="B10" i="7"/>
  <c r="F10" i="7"/>
  <c r="S10" i="7"/>
  <c r="AA10" i="7"/>
  <c r="G10" i="7"/>
  <c r="N10" i="7"/>
  <c r="V10" i="7"/>
  <c r="J10" i="7"/>
  <c r="O10" i="7"/>
  <c r="W10" i="7"/>
  <c r="C10" i="7"/>
  <c r="K10" i="7"/>
  <c r="R10" i="7"/>
  <c r="Z10" i="7"/>
  <c r="E11" i="7"/>
  <c r="M11" i="7"/>
  <c r="Q11" i="7"/>
  <c r="Y11" i="7"/>
  <c r="B11" i="7"/>
  <c r="F11" i="7"/>
  <c r="J11" i="7"/>
  <c r="N11" i="7"/>
  <c r="R11" i="7"/>
  <c r="V11" i="7"/>
  <c r="Z11" i="7"/>
  <c r="H11" i="7"/>
  <c r="P11" i="7"/>
  <c r="X11" i="7"/>
  <c r="C11" i="7"/>
  <c r="K11" i="7"/>
  <c r="S11" i="7"/>
  <c r="AA11" i="7"/>
  <c r="D11" i="7"/>
  <c r="T11" i="7"/>
  <c r="AB11" i="7"/>
  <c r="G11" i="7"/>
  <c r="O11" i="7"/>
  <c r="W11" i="7"/>
  <c r="C13" i="7"/>
  <c r="G13" i="7"/>
  <c r="K13" i="7"/>
  <c r="O13" i="7"/>
  <c r="S13" i="7"/>
  <c r="D13" i="7"/>
  <c r="H13" i="7"/>
  <c r="P13" i="7"/>
  <c r="T13" i="7"/>
  <c r="X13" i="7"/>
  <c r="AB13" i="7"/>
  <c r="B13" i="7"/>
  <c r="J13" i="7"/>
  <c r="Q13" i="7"/>
  <c r="W13" i="7"/>
  <c r="E13" i="7"/>
  <c r="R13" i="7"/>
  <c r="Y13" i="7"/>
  <c r="F13" i="7"/>
  <c r="M13" i="7"/>
  <c r="Z13" i="7"/>
  <c r="N13" i="7"/>
  <c r="V13" i="7"/>
  <c r="AA13" i="7"/>
  <c r="E14" i="7"/>
  <c r="M14" i="7"/>
  <c r="Q14" i="7"/>
  <c r="Y14" i="7"/>
  <c r="B14" i="7"/>
  <c r="G14" i="7"/>
  <c r="R14" i="7"/>
  <c r="W14" i="7"/>
  <c r="AB14" i="7"/>
  <c r="C14" i="7"/>
  <c r="H14" i="7"/>
  <c r="N14" i="7"/>
  <c r="S14" i="7"/>
  <c r="X14" i="7"/>
  <c r="D14" i="7"/>
  <c r="J14" i="7"/>
  <c r="O14" i="7"/>
  <c r="T14" i="7"/>
  <c r="Z14" i="7"/>
  <c r="F14" i="7"/>
  <c r="K14" i="7"/>
  <c r="P14" i="7"/>
  <c r="V14" i="7"/>
  <c r="AA14" i="7"/>
  <c r="B15" i="7"/>
  <c r="F15" i="7"/>
  <c r="J15" i="7"/>
  <c r="N15" i="7"/>
  <c r="R15" i="7"/>
  <c r="V15" i="7"/>
  <c r="Z15" i="7"/>
  <c r="G15" i="7"/>
  <c r="Q15" i="7"/>
  <c r="W15" i="7"/>
  <c r="AB15" i="7"/>
  <c r="C15" i="7"/>
  <c r="H15" i="7"/>
  <c r="M15" i="7"/>
  <c r="S15" i="7"/>
  <c r="X15" i="7"/>
  <c r="D15" i="7"/>
  <c r="O15" i="7"/>
  <c r="T15" i="7"/>
  <c r="Y15" i="7"/>
  <c r="E15" i="7"/>
  <c r="K15" i="7"/>
  <c r="P15" i="7"/>
  <c r="AA15" i="7"/>
  <c r="C16" i="7"/>
  <c r="G16" i="7"/>
  <c r="K16" i="7"/>
  <c r="O16" i="7"/>
  <c r="S16" i="7"/>
  <c r="W16" i="7"/>
  <c r="AA16" i="7"/>
  <c r="F16" i="7"/>
  <c r="Q16" i="7"/>
  <c r="V16" i="7"/>
  <c r="AB16" i="7"/>
  <c r="B16" i="7"/>
  <c r="H16" i="7"/>
  <c r="M16" i="7"/>
  <c r="R16" i="7"/>
  <c r="X16" i="7"/>
  <c r="D16" i="7"/>
  <c r="N16" i="7"/>
  <c r="T16" i="7"/>
  <c r="Y16" i="7"/>
  <c r="E16" i="7"/>
  <c r="J16" i="7"/>
  <c r="P16" i="7"/>
  <c r="Z16" i="7"/>
  <c r="BB37" i="3"/>
  <c r="BB41" i="3"/>
  <c r="BB40" i="3"/>
  <c r="AA40" i="3" s="1"/>
  <c r="Y40" i="3" s="1"/>
  <c r="B40" i="4" s="1"/>
  <c r="AR9" i="8"/>
  <c r="F9" i="32"/>
  <c r="N9" i="32"/>
  <c r="AH9" i="8"/>
  <c r="K9" i="32"/>
  <c r="AT9" i="8"/>
  <c r="D9" i="32"/>
  <c r="L9" i="32"/>
  <c r="I9" i="32"/>
  <c r="Q9" i="32"/>
  <c r="AN9" i="8"/>
  <c r="G9" i="32"/>
  <c r="P9" i="32"/>
  <c r="R9" i="6"/>
  <c r="B9" i="7"/>
  <c r="G9" i="7"/>
  <c r="P9" i="7"/>
  <c r="Q9" i="7"/>
  <c r="Y9" i="7"/>
  <c r="F9" i="7"/>
  <c r="N9" i="7"/>
  <c r="E9" i="7"/>
  <c r="J9" i="7"/>
  <c r="R9" i="7"/>
  <c r="V9" i="7"/>
  <c r="Z9" i="7"/>
  <c r="P9" i="6"/>
  <c r="Q9" i="6"/>
  <c r="D9" i="7"/>
  <c r="S9" i="7"/>
  <c r="W9" i="7"/>
  <c r="AA9" i="7"/>
  <c r="K9" i="7"/>
  <c r="C9" i="7"/>
  <c r="H9" i="7"/>
  <c r="O9" i="7"/>
  <c r="T9" i="7"/>
  <c r="X9" i="7"/>
  <c r="AB9" i="7"/>
  <c r="AH12" i="4"/>
  <c r="I38" i="4" l="1"/>
  <c r="Q23" i="4"/>
  <c r="J12" i="32"/>
  <c r="J15" i="32"/>
  <c r="J11" i="32"/>
  <c r="CP3" i="3"/>
  <c r="C42" i="67" s="1"/>
  <c r="CQ3" i="3"/>
  <c r="C43" i="67" s="1"/>
  <c r="AG15" i="5"/>
  <c r="AH15" i="5"/>
  <c r="AI15" i="5"/>
  <c r="O23" i="4"/>
  <c r="I23" i="4"/>
  <c r="H23" i="4"/>
  <c r="J23" i="4"/>
  <c r="K23" i="4"/>
  <c r="N19" i="4"/>
  <c r="M19" i="4"/>
  <c r="Q19" i="4"/>
  <c r="G25" i="4"/>
  <c r="Q25" i="4"/>
  <c r="H25" i="4"/>
  <c r="I25" i="4"/>
  <c r="K21" i="4"/>
  <c r="I21" i="4"/>
  <c r="H21" i="4"/>
  <c r="J21" i="4"/>
  <c r="L21" i="4"/>
  <c r="M21" i="4"/>
  <c r="H40" i="4"/>
  <c r="G17" i="4"/>
  <c r="P35" i="4"/>
  <c r="I35" i="4"/>
  <c r="Q35" i="4"/>
  <c r="G35" i="4"/>
  <c r="H35" i="4"/>
  <c r="J35" i="4"/>
  <c r="K35" i="4"/>
  <c r="H36" i="4"/>
  <c r="G36" i="4"/>
  <c r="I36" i="4"/>
  <c r="J36" i="4"/>
  <c r="H26" i="4"/>
  <c r="Q26" i="4"/>
  <c r="G26" i="4"/>
  <c r="H28" i="4"/>
  <c r="G24" i="4"/>
  <c r="I24" i="4"/>
  <c r="J24" i="4"/>
  <c r="Q38" i="4"/>
  <c r="G38" i="4"/>
  <c r="H38" i="4"/>
  <c r="P18" i="4"/>
  <c r="G29" i="4"/>
  <c r="H27" i="4"/>
  <c r="I27" i="4"/>
  <c r="G11" i="4"/>
  <c r="Z9" i="8"/>
  <c r="U18" i="8"/>
  <c r="I15" i="4"/>
  <c r="U12" i="8"/>
  <c r="AY10" i="8"/>
  <c r="BA18" i="8"/>
  <c r="AX13" i="8"/>
  <c r="S20" i="8"/>
  <c r="T16" i="8"/>
  <c r="V16" i="8"/>
  <c r="AY15" i="8"/>
  <c r="AY17" i="8"/>
  <c r="E11" i="4"/>
  <c r="I11" i="4" s="1"/>
  <c r="S12" i="8"/>
  <c r="AW10" i="8"/>
  <c r="BB18" i="8"/>
  <c r="AY13" i="8"/>
  <c r="V17" i="8"/>
  <c r="U16" i="8"/>
  <c r="BA19" i="8"/>
  <c r="BA15" i="8"/>
  <c r="I13" i="4"/>
  <c r="BB12" i="8"/>
  <c r="BA10" i="8"/>
  <c r="AX18" i="8"/>
  <c r="T11" i="8"/>
  <c r="X20" i="8"/>
  <c r="S16" i="8"/>
  <c r="BB19" i="8"/>
  <c r="BB15" i="8"/>
  <c r="W14" i="8"/>
  <c r="E8" i="4"/>
  <c r="I8" i="4" s="1"/>
  <c r="E9" i="4"/>
  <c r="I9" i="4" s="1"/>
  <c r="AX12" i="8"/>
  <c r="AZ10" i="8"/>
  <c r="AY18" i="8"/>
  <c r="U11" i="8"/>
  <c r="T20" i="8"/>
  <c r="BB16" i="8"/>
  <c r="AX19" i="8"/>
  <c r="W17" i="8"/>
  <c r="T14" i="8"/>
  <c r="AY12" i="8"/>
  <c r="BB10" i="8"/>
  <c r="S11" i="8"/>
  <c r="U20" i="8"/>
  <c r="AX16" i="8"/>
  <c r="AY19" i="8"/>
  <c r="X17" i="8"/>
  <c r="U14" i="8"/>
  <c r="BA12" i="8"/>
  <c r="AX10" i="8"/>
  <c r="W13" i="8"/>
  <c r="W11" i="8"/>
  <c r="AX20" i="8"/>
  <c r="AY16" i="8"/>
  <c r="U15" i="8"/>
  <c r="V14" i="8"/>
  <c r="X14" i="8"/>
  <c r="T10" i="8"/>
  <c r="S18" i="8"/>
  <c r="X13" i="8"/>
  <c r="X11" i="8"/>
  <c r="AY20" i="8"/>
  <c r="BA16" i="8"/>
  <c r="T15" i="8"/>
  <c r="T17" i="8"/>
  <c r="S14" i="8"/>
  <c r="U10" i="8"/>
  <c r="W18" i="8"/>
  <c r="U13" i="8"/>
  <c r="AX11" i="8"/>
  <c r="BB20" i="8"/>
  <c r="S19" i="8"/>
  <c r="W15" i="8"/>
  <c r="U17" i="8"/>
  <c r="V11" i="8"/>
  <c r="S10" i="8"/>
  <c r="X18" i="8"/>
  <c r="S13" i="8"/>
  <c r="AY11" i="8"/>
  <c r="BA20" i="8"/>
  <c r="T19" i="8"/>
  <c r="S15" i="8"/>
  <c r="S17" i="8"/>
  <c r="BA14" i="8"/>
  <c r="I12" i="4"/>
  <c r="W12" i="8"/>
  <c r="V10" i="8"/>
  <c r="V15" i="8"/>
  <c r="T13" i="8"/>
  <c r="BA11" i="8"/>
  <c r="V13" i="8"/>
  <c r="U19" i="8"/>
  <c r="X15" i="8"/>
  <c r="BB17" i="8"/>
  <c r="AX14" i="8"/>
  <c r="X12" i="8"/>
  <c r="W10" i="8"/>
  <c r="T18" i="8"/>
  <c r="BA13" i="8"/>
  <c r="BB11" i="8"/>
  <c r="X16" i="8"/>
  <c r="W19" i="8"/>
  <c r="V12" i="8"/>
  <c r="BA17" i="8"/>
  <c r="AY14" i="8"/>
  <c r="T12" i="8"/>
  <c r="X10" i="8"/>
  <c r="BB13" i="8"/>
  <c r="W20" i="8"/>
  <c r="W16" i="8"/>
  <c r="X19" i="8"/>
  <c r="AX15" i="8"/>
  <c r="AX17" i="8"/>
  <c r="BB14" i="8"/>
  <c r="AA67" i="4"/>
  <c r="AA59" i="4"/>
  <c r="AA63" i="4"/>
  <c r="AA58" i="4"/>
  <c r="AA61" i="4"/>
  <c r="AA54" i="4"/>
  <c r="D18" i="32" s="1"/>
  <c r="AA51" i="4"/>
  <c r="AA49" i="4"/>
  <c r="AA48" i="4"/>
  <c r="AA46" i="4"/>
  <c r="AA52" i="4"/>
  <c r="Z32" i="4"/>
  <c r="AM17" i="8" s="1"/>
  <c r="Z31" i="4"/>
  <c r="AP10" i="8"/>
  <c r="AU18" i="8"/>
  <c r="AU10" i="8"/>
  <c r="AP13" i="8"/>
  <c r="AU13" i="8"/>
  <c r="AP11" i="8"/>
  <c r="AU11" i="8"/>
  <c r="AP20" i="8"/>
  <c r="AP12" i="8"/>
  <c r="AP18" i="8"/>
  <c r="AU20" i="8"/>
  <c r="AU12" i="8"/>
  <c r="AP14" i="8"/>
  <c r="AP16" i="8"/>
  <c r="AU14" i="8"/>
  <c r="AP17" i="8"/>
  <c r="AP19" i="8"/>
  <c r="AP15" i="8"/>
  <c r="AU17" i="8"/>
  <c r="AU19" i="8"/>
  <c r="AU15" i="8"/>
  <c r="BB34" i="3"/>
  <c r="AA34" i="3" s="1"/>
  <c r="Y34" i="3" s="1"/>
  <c r="B34" i="4" s="1"/>
  <c r="Y22" i="3"/>
  <c r="B22" i="4" s="1"/>
  <c r="K15" i="32"/>
  <c r="AT15" i="8"/>
  <c r="AR15" i="8"/>
  <c r="BB20" i="3"/>
  <c r="AA20" i="3" s="1"/>
  <c r="Y20" i="3" s="1"/>
  <c r="B20" i="4" s="1"/>
  <c r="K20" i="8"/>
  <c r="I20" i="8"/>
  <c r="L20" i="8"/>
  <c r="BB16" i="3"/>
  <c r="AA16" i="3" s="1"/>
  <c r="Y16" i="3" s="1"/>
  <c r="B16" i="4" s="1"/>
  <c r="AO20" i="8"/>
  <c r="AN15" i="8"/>
  <c r="G15" i="32"/>
  <c r="AI15" i="8"/>
  <c r="I15" i="32"/>
  <c r="N15" i="32"/>
  <c r="P15" i="32"/>
  <c r="F15" i="32"/>
  <c r="D15" i="32"/>
  <c r="N16" i="32"/>
  <c r="F16" i="32"/>
  <c r="G16" i="32"/>
  <c r="AH16" i="8"/>
  <c r="Q16" i="32"/>
  <c r="L19" i="32"/>
  <c r="G14" i="32"/>
  <c r="AR14" i="8"/>
  <c r="K12" i="32"/>
  <c r="AN12" i="8"/>
  <c r="L12" i="32"/>
  <c r="G12" i="32"/>
  <c r="AH13" i="8"/>
  <c r="Q13" i="32"/>
  <c r="L13" i="32"/>
  <c r="AN13" i="8"/>
  <c r="I13" i="32"/>
  <c r="D13" i="32"/>
  <c r="P11" i="32"/>
  <c r="G11" i="32"/>
  <c r="P10" i="32"/>
  <c r="F10" i="32"/>
  <c r="AH17" i="8"/>
  <c r="Q17" i="32"/>
  <c r="L17" i="32"/>
  <c r="J17" i="32"/>
  <c r="K18" i="32"/>
  <c r="L18" i="32"/>
  <c r="L15" i="32"/>
  <c r="AH15" i="8"/>
  <c r="Q15" i="32"/>
  <c r="AT16" i="8"/>
  <c r="AR16" i="8"/>
  <c r="I16" i="32"/>
  <c r="D16" i="32"/>
  <c r="AT19" i="8"/>
  <c r="K19" i="32"/>
  <c r="P19" i="32"/>
  <c r="Q19" i="32"/>
  <c r="K14" i="32"/>
  <c r="AH14" i="8"/>
  <c r="Q14" i="32"/>
  <c r="I14" i="32"/>
  <c r="AN14" i="8"/>
  <c r="J14" i="32"/>
  <c r="I12" i="32"/>
  <c r="AH12" i="8"/>
  <c r="Q12" i="32"/>
  <c r="J13" i="32"/>
  <c r="AR11" i="8"/>
  <c r="AI11" i="8"/>
  <c r="AT11" i="8"/>
  <c r="I11" i="32"/>
  <c r="N11" i="32"/>
  <c r="AI10" i="8"/>
  <c r="AT10" i="8"/>
  <c r="L10" i="32"/>
  <c r="N10" i="32"/>
  <c r="D10" i="32"/>
  <c r="AR17" i="8"/>
  <c r="I17" i="32"/>
  <c r="P17" i="32"/>
  <c r="P18" i="32"/>
  <c r="J18" i="32"/>
  <c r="AI16" i="8"/>
  <c r="K16" i="32"/>
  <c r="AN16" i="8"/>
  <c r="L16" i="32"/>
  <c r="P16" i="32"/>
  <c r="J16" i="32"/>
  <c r="G19" i="32"/>
  <c r="P14" i="32"/>
  <c r="F14" i="32"/>
  <c r="N12" i="32"/>
  <c r="F12" i="32"/>
  <c r="P12" i="32"/>
  <c r="D12" i="32"/>
  <c r="AT13" i="8"/>
  <c r="K13" i="32"/>
  <c r="N13" i="32"/>
  <c r="G13" i="32"/>
  <c r="P13" i="32"/>
  <c r="AN11" i="8"/>
  <c r="K11" i="32"/>
  <c r="F11" i="32"/>
  <c r="D11" i="32"/>
  <c r="G10" i="32"/>
  <c r="AR10" i="8"/>
  <c r="AI17" i="8"/>
  <c r="AT17" i="8"/>
  <c r="K17" i="32"/>
  <c r="N17" i="32"/>
  <c r="AI18" i="8"/>
  <c r="AH18" i="8"/>
  <c r="Q18" i="32"/>
  <c r="F19" i="32"/>
  <c r="AI14" i="8"/>
  <c r="AT14" i="8"/>
  <c r="L14" i="32"/>
  <c r="N14" i="32"/>
  <c r="AR12" i="8"/>
  <c r="AI12" i="8"/>
  <c r="AT12" i="8"/>
  <c r="F13" i="32"/>
  <c r="AR13" i="8"/>
  <c r="L11" i="32"/>
  <c r="AH11" i="8"/>
  <c r="Q11" i="32"/>
  <c r="K10" i="32"/>
  <c r="AH10" i="8"/>
  <c r="Q10" i="32"/>
  <c r="I10" i="32"/>
  <c r="AN10" i="8"/>
  <c r="F17" i="32"/>
  <c r="G17" i="32"/>
  <c r="AT18" i="8"/>
  <c r="F18" i="32"/>
  <c r="G18" i="32"/>
  <c r="BB10" i="3"/>
  <c r="AA10" i="3" s="1"/>
  <c r="Y10" i="3" s="1"/>
  <c r="B10" i="4" s="1"/>
  <c r="Q20" i="32"/>
  <c r="J20" i="32"/>
  <c r="P20" i="32"/>
  <c r="G20" i="32"/>
  <c r="L20" i="32"/>
  <c r="F20" i="32"/>
  <c r="K20" i="32"/>
  <c r="AT20" i="8"/>
  <c r="AA37" i="3"/>
  <c r="Y37" i="3" s="1"/>
  <c r="B37" i="4" s="1"/>
  <c r="J9" i="6"/>
  <c r="H14" i="6"/>
  <c r="B14" i="8"/>
  <c r="L14" i="7"/>
  <c r="AI14" i="7" s="1"/>
  <c r="B14" i="32"/>
  <c r="T15" i="5"/>
  <c r="B14" i="6" s="1"/>
  <c r="U15" i="5"/>
  <c r="AA30" i="3"/>
  <c r="Y30" i="3" s="1"/>
  <c r="B30" i="4" s="1"/>
  <c r="O16" i="5"/>
  <c r="D11" i="4"/>
  <c r="D27" i="4"/>
  <c r="D12" i="4"/>
  <c r="D14" i="4"/>
  <c r="D29" i="4"/>
  <c r="D19" i="4"/>
  <c r="D35" i="4"/>
  <c r="D38" i="4"/>
  <c r="D13" i="4"/>
  <c r="U15" i="4"/>
  <c r="D15" i="4"/>
  <c r="D25" i="4"/>
  <c r="S9" i="4"/>
  <c r="D9" i="4"/>
  <c r="D23" i="4"/>
  <c r="D18" i="4"/>
  <c r="Y18" i="4"/>
  <c r="R18" i="4"/>
  <c r="D21" i="4"/>
  <c r="R21" i="4"/>
  <c r="D28" i="4"/>
  <c r="D26" i="4"/>
  <c r="D17" i="4"/>
  <c r="V17" i="4"/>
  <c r="D24" i="4"/>
  <c r="R24" i="4"/>
  <c r="D36" i="4"/>
  <c r="T36" i="4"/>
  <c r="U36" i="4"/>
  <c r="V36" i="4"/>
  <c r="D8" i="4"/>
  <c r="AA41" i="3"/>
  <c r="Y41" i="3" s="1"/>
  <c r="B41" i="4" s="1"/>
  <c r="AA11" i="4"/>
  <c r="AC19" i="7"/>
  <c r="BB39" i="3"/>
  <c r="AA39" i="3" s="1"/>
  <c r="Y39" i="3" s="1"/>
  <c r="B39" i="4" s="1"/>
  <c r="AC13" i="7"/>
  <c r="I19" i="6"/>
  <c r="N19" i="6"/>
  <c r="R19" i="6"/>
  <c r="J19" i="6"/>
  <c r="O19" i="6"/>
  <c r="K19" i="6"/>
  <c r="P19" i="6"/>
  <c r="Q19" i="6"/>
  <c r="Q15" i="6"/>
  <c r="O15" i="6"/>
  <c r="I15" i="6"/>
  <c r="P15" i="6"/>
  <c r="J15" i="6"/>
  <c r="R15" i="6"/>
  <c r="N15" i="6"/>
  <c r="I18" i="6"/>
  <c r="N18" i="6"/>
  <c r="R18" i="6"/>
  <c r="J18" i="6"/>
  <c r="O18" i="6"/>
  <c r="K18" i="6"/>
  <c r="P18" i="6"/>
  <c r="L18" i="6"/>
  <c r="Q18" i="6"/>
  <c r="AC16" i="7"/>
  <c r="AD16" i="7"/>
  <c r="AD15" i="7"/>
  <c r="AC15" i="7"/>
  <c r="AD14" i="7"/>
  <c r="AI13" i="7"/>
  <c r="AD13" i="7"/>
  <c r="AD19" i="7"/>
  <c r="AD12" i="7"/>
  <c r="AD17" i="7"/>
  <c r="I20" i="6"/>
  <c r="N20" i="6"/>
  <c r="J20" i="6"/>
  <c r="O20" i="6"/>
  <c r="K20" i="6"/>
  <c r="P20" i="6"/>
  <c r="L20" i="6"/>
  <c r="Q20" i="6"/>
  <c r="R20" i="6"/>
  <c r="L14" i="6"/>
  <c r="Q14" i="6"/>
  <c r="J14" i="6"/>
  <c r="K14" i="6"/>
  <c r="O14" i="6"/>
  <c r="P14" i="6"/>
  <c r="R14" i="6"/>
  <c r="I14" i="6"/>
  <c r="N14" i="6"/>
  <c r="AC14" i="7"/>
  <c r="AC17" i="7"/>
  <c r="Q11" i="6"/>
  <c r="I11" i="6"/>
  <c r="N11" i="6"/>
  <c r="R11" i="6"/>
  <c r="J11" i="6"/>
  <c r="O11" i="6"/>
  <c r="P11" i="6"/>
  <c r="P16" i="6"/>
  <c r="O16" i="6"/>
  <c r="I16" i="6"/>
  <c r="Q16" i="6"/>
  <c r="J16" i="6"/>
  <c r="R16" i="6"/>
  <c r="N16" i="6"/>
  <c r="I17" i="6"/>
  <c r="N17" i="6"/>
  <c r="R17" i="6"/>
  <c r="J17" i="6"/>
  <c r="O17" i="6"/>
  <c r="K17" i="6"/>
  <c r="P17" i="6"/>
  <c r="L17" i="6"/>
  <c r="Q17" i="6"/>
  <c r="AC10" i="7"/>
  <c r="AI10" i="7"/>
  <c r="AD18" i="7"/>
  <c r="AC18" i="7"/>
  <c r="I10" i="6"/>
  <c r="N10" i="6"/>
  <c r="R10" i="6"/>
  <c r="J10" i="6"/>
  <c r="O10" i="6"/>
  <c r="K10" i="6"/>
  <c r="P10" i="6"/>
  <c r="T10" i="6"/>
  <c r="L10" i="6"/>
  <c r="Q10" i="6"/>
  <c r="U10" i="6"/>
  <c r="I12" i="6"/>
  <c r="N12" i="6"/>
  <c r="R12" i="6"/>
  <c r="J12" i="6"/>
  <c r="O12" i="6"/>
  <c r="K12" i="6"/>
  <c r="P12" i="6"/>
  <c r="L12" i="6"/>
  <c r="M12" i="6"/>
  <c r="Q12" i="6"/>
  <c r="I13" i="6"/>
  <c r="N13" i="6"/>
  <c r="R13" i="6"/>
  <c r="K13" i="6"/>
  <c r="P13" i="6"/>
  <c r="L13" i="6"/>
  <c r="O13" i="6"/>
  <c r="Q13" i="6"/>
  <c r="J13" i="6"/>
  <c r="AD11" i="7"/>
  <c r="AC11" i="7"/>
  <c r="AI11" i="7"/>
  <c r="AD10" i="7"/>
  <c r="AI12" i="7"/>
  <c r="AC12" i="7"/>
  <c r="AD20" i="7"/>
  <c r="AC20" i="7"/>
  <c r="U19" i="4"/>
  <c r="W19" i="4"/>
  <c r="T19" i="4"/>
  <c r="V19" i="4"/>
  <c r="S19" i="4"/>
  <c r="AD9" i="7"/>
  <c r="AC9" i="7"/>
  <c r="T9" i="32"/>
  <c r="D40" i="4"/>
  <c r="BB7" i="3"/>
  <c r="AI9" i="7"/>
  <c r="AH13" i="4"/>
  <c r="B13" i="6"/>
  <c r="L14" i="4" l="1"/>
  <c r="M18" i="4"/>
  <c r="L19" i="4"/>
  <c r="K14" i="4"/>
  <c r="L18" i="4"/>
  <c r="J19" i="4"/>
  <c r="J14" i="4"/>
  <c r="K18" i="4"/>
  <c r="K19" i="4"/>
  <c r="R38" i="4"/>
  <c r="F10" i="4"/>
  <c r="I14" i="4"/>
  <c r="J18" i="4"/>
  <c r="I19" i="4"/>
  <c r="AN17" i="8"/>
  <c r="G8" i="4"/>
  <c r="I18" i="4"/>
  <c r="H19" i="4"/>
  <c r="G14" i="4"/>
  <c r="H18" i="4"/>
  <c r="G19" i="4"/>
  <c r="H14" i="4"/>
  <c r="Q18" i="4"/>
  <c r="P19" i="4"/>
  <c r="Q14" i="4"/>
  <c r="P14" i="4"/>
  <c r="O14" i="4"/>
  <c r="N18" i="4"/>
  <c r="F8" i="4"/>
  <c r="N14" i="4"/>
  <c r="G18" i="4"/>
  <c r="O19" i="4"/>
  <c r="G23" i="4"/>
  <c r="F11" i="4"/>
  <c r="M14" i="4"/>
  <c r="O18" i="4"/>
  <c r="L35" i="4"/>
  <c r="Q30" i="4"/>
  <c r="Q29" i="4"/>
  <c r="Q28" i="4"/>
  <c r="Q17" i="4"/>
  <c r="Q40" i="4"/>
  <c r="G27" i="4"/>
  <c r="P29" i="4"/>
  <c r="O28" i="4"/>
  <c r="P17" i="4"/>
  <c r="O40" i="4"/>
  <c r="AA40" i="4" s="1"/>
  <c r="P27" i="4"/>
  <c r="N29" i="4"/>
  <c r="Q24" i="4"/>
  <c r="M28" i="4"/>
  <c r="O26" i="4"/>
  <c r="Q36" i="4"/>
  <c r="AC36" i="4" s="1"/>
  <c r="N17" i="4"/>
  <c r="M40" i="4"/>
  <c r="P25" i="4"/>
  <c r="G12" i="4"/>
  <c r="G9" i="4"/>
  <c r="O27" i="4"/>
  <c r="M29" i="4"/>
  <c r="P38" i="4"/>
  <c r="N28" i="4"/>
  <c r="P26" i="4"/>
  <c r="L17" i="4"/>
  <c r="N40" i="4"/>
  <c r="R36" i="4"/>
  <c r="N27" i="4"/>
  <c r="L29" i="4"/>
  <c r="O38" i="4"/>
  <c r="P24" i="4"/>
  <c r="L28" i="4"/>
  <c r="N26" i="4"/>
  <c r="P36" i="4"/>
  <c r="AB36" i="4" s="1"/>
  <c r="M17" i="4"/>
  <c r="L40" i="4"/>
  <c r="G21" i="4"/>
  <c r="O25" i="4"/>
  <c r="F9" i="4"/>
  <c r="G13" i="4"/>
  <c r="M27" i="4"/>
  <c r="K29" i="4"/>
  <c r="N38" i="4"/>
  <c r="O24" i="4"/>
  <c r="K28" i="4"/>
  <c r="M26" i="4"/>
  <c r="O36" i="4"/>
  <c r="AA36" i="4" s="1"/>
  <c r="K17" i="4"/>
  <c r="K40" i="4"/>
  <c r="Q21" i="4"/>
  <c r="N25" i="4"/>
  <c r="P23" i="4"/>
  <c r="R27" i="4"/>
  <c r="L27" i="4"/>
  <c r="J29" i="4"/>
  <c r="M38" i="4"/>
  <c r="N24" i="4"/>
  <c r="J28" i="4"/>
  <c r="V28" i="4" s="1"/>
  <c r="L26" i="4"/>
  <c r="N36" i="4"/>
  <c r="Z36" i="4" s="1"/>
  <c r="J17" i="4"/>
  <c r="J40" i="4"/>
  <c r="M25" i="4"/>
  <c r="G15" i="4"/>
  <c r="K27" i="4"/>
  <c r="I29" i="4"/>
  <c r="L38" i="4"/>
  <c r="K24" i="4"/>
  <c r="G28" i="4"/>
  <c r="I26" i="4"/>
  <c r="K36" i="4"/>
  <c r="W36" i="4" s="1"/>
  <c r="O35" i="4"/>
  <c r="I17" i="4"/>
  <c r="G40" i="4"/>
  <c r="N21" i="4"/>
  <c r="J25" i="4"/>
  <c r="L23" i="4"/>
  <c r="Q27" i="4"/>
  <c r="O29" i="4"/>
  <c r="K38" i="4"/>
  <c r="M24" i="4"/>
  <c r="P28" i="4"/>
  <c r="K26" i="4"/>
  <c r="M36" i="4"/>
  <c r="Y36" i="4" s="1"/>
  <c r="N35" i="4"/>
  <c r="O17" i="4"/>
  <c r="P40" i="4"/>
  <c r="P21" i="4"/>
  <c r="L25" i="4"/>
  <c r="N23" i="4"/>
  <c r="J27" i="4"/>
  <c r="H29" i="4"/>
  <c r="J38" i="4"/>
  <c r="L24" i="4"/>
  <c r="I28" i="4"/>
  <c r="J26" i="4"/>
  <c r="L36" i="4"/>
  <c r="X36" i="4" s="1"/>
  <c r="M35" i="4"/>
  <c r="H17" i="4"/>
  <c r="I40" i="4"/>
  <c r="O21" i="4"/>
  <c r="K25" i="4"/>
  <c r="M23" i="4"/>
  <c r="H24" i="4"/>
  <c r="Z14" i="8"/>
  <c r="AH16" i="5"/>
  <c r="AI16" i="5"/>
  <c r="AG16" i="5"/>
  <c r="M37" i="4"/>
  <c r="N37" i="4"/>
  <c r="H37" i="4"/>
  <c r="I37" i="4"/>
  <c r="G37" i="4"/>
  <c r="P22" i="4"/>
  <c r="J22" i="4"/>
  <c r="M34" i="4"/>
  <c r="P34" i="4"/>
  <c r="G34" i="4"/>
  <c r="I34" i="4"/>
  <c r="K34" i="4"/>
  <c r="L34" i="4"/>
  <c r="J34" i="4"/>
  <c r="N34" i="4"/>
  <c r="O34" i="4"/>
  <c r="K39" i="4"/>
  <c r="P39" i="4"/>
  <c r="G39" i="4"/>
  <c r="H39" i="4"/>
  <c r="Q39" i="4"/>
  <c r="G16" i="4"/>
  <c r="H16" i="4"/>
  <c r="P16" i="4"/>
  <c r="P41" i="4"/>
  <c r="J41" i="4"/>
  <c r="O41" i="4"/>
  <c r="K20" i="4"/>
  <c r="M20" i="4"/>
  <c r="N20" i="4"/>
  <c r="Q20" i="4"/>
  <c r="S26" i="4"/>
  <c r="H12" i="4"/>
  <c r="H9" i="4"/>
  <c r="H8" i="4"/>
  <c r="H13" i="4"/>
  <c r="H11" i="4"/>
  <c r="H15" i="4"/>
  <c r="T26" i="4"/>
  <c r="Q12" i="4"/>
  <c r="Q9" i="4"/>
  <c r="Q8" i="4"/>
  <c r="Q13" i="4"/>
  <c r="Q11" i="4"/>
  <c r="Q15" i="4"/>
  <c r="R26" i="4"/>
  <c r="P12" i="4"/>
  <c r="P9" i="4"/>
  <c r="P8" i="4"/>
  <c r="P13" i="4"/>
  <c r="P11" i="4"/>
  <c r="P15" i="4"/>
  <c r="W26" i="4"/>
  <c r="O12" i="4"/>
  <c r="O9" i="4"/>
  <c r="O8" i="4"/>
  <c r="O13" i="4"/>
  <c r="O11" i="4"/>
  <c r="O15" i="4"/>
  <c r="Y26" i="4"/>
  <c r="U26" i="4"/>
  <c r="N12" i="4"/>
  <c r="N9" i="4"/>
  <c r="N8" i="4"/>
  <c r="N13" i="4"/>
  <c r="N11" i="4"/>
  <c r="N15" i="4"/>
  <c r="V26" i="4"/>
  <c r="M12" i="4"/>
  <c r="M9" i="4"/>
  <c r="M8" i="4"/>
  <c r="M13" i="4"/>
  <c r="M11" i="4"/>
  <c r="M15" i="4"/>
  <c r="X8" i="4"/>
  <c r="AA26" i="4"/>
  <c r="L12" i="4"/>
  <c r="L9" i="4"/>
  <c r="L8" i="4"/>
  <c r="L13" i="4"/>
  <c r="L11" i="4"/>
  <c r="L15" i="4"/>
  <c r="Z26" i="4"/>
  <c r="K12" i="4"/>
  <c r="K9" i="4"/>
  <c r="K8" i="4"/>
  <c r="K13" i="4"/>
  <c r="K11" i="4"/>
  <c r="K15" i="4"/>
  <c r="X26" i="4"/>
  <c r="J12" i="4"/>
  <c r="J9" i="4"/>
  <c r="J8" i="4"/>
  <c r="J13" i="4"/>
  <c r="J11" i="4"/>
  <c r="J15" i="4"/>
  <c r="Z13" i="8"/>
  <c r="Z12" i="8"/>
  <c r="Q10" i="4"/>
  <c r="Z19" i="8"/>
  <c r="Z17" i="8"/>
  <c r="Z15" i="8"/>
  <c r="Z16" i="8"/>
  <c r="Z11" i="8"/>
  <c r="Z18" i="8"/>
  <c r="Z10" i="8"/>
  <c r="Z20" i="8"/>
  <c r="AA7" i="3"/>
  <c r="Y7" i="3" s="1"/>
  <c r="B7" i="4" s="1"/>
  <c r="V18" i="8"/>
  <c r="E10" i="4"/>
  <c r="G10" i="4" s="1"/>
  <c r="R29" i="4"/>
  <c r="S23" i="4"/>
  <c r="S36" i="4"/>
  <c r="R35" i="4"/>
  <c r="V35" i="4"/>
  <c r="U29" i="4"/>
  <c r="N18" i="32"/>
  <c r="I18" i="32"/>
  <c r="AC67" i="4"/>
  <c r="AB67" i="4"/>
  <c r="AC61" i="4"/>
  <c r="AB61" i="4"/>
  <c r="AC58" i="4"/>
  <c r="AB58" i="4"/>
  <c r="AC63" i="4"/>
  <c r="AB63" i="4"/>
  <c r="AC59" i="4"/>
  <c r="AB59" i="4"/>
  <c r="AC52" i="4"/>
  <c r="AB52" i="4"/>
  <c r="AC46" i="4"/>
  <c r="AB46" i="4"/>
  <c r="AC48" i="4"/>
  <c r="AB48" i="4"/>
  <c r="AC49" i="4"/>
  <c r="AB49" i="4"/>
  <c r="AC51" i="4"/>
  <c r="AB51" i="4"/>
  <c r="AC54" i="4"/>
  <c r="AB54" i="4"/>
  <c r="AA32" i="4"/>
  <c r="AA31" i="4"/>
  <c r="U28" i="4"/>
  <c r="U23" i="4"/>
  <c r="V27" i="4"/>
  <c r="V29" i="4"/>
  <c r="T28" i="4"/>
  <c r="U27" i="4"/>
  <c r="S28" i="4"/>
  <c r="U35" i="4"/>
  <c r="U21" i="4"/>
  <c r="T27" i="4"/>
  <c r="T29" i="4"/>
  <c r="R28" i="4"/>
  <c r="T35" i="4"/>
  <c r="V25" i="4"/>
  <c r="R23" i="4"/>
  <c r="S27" i="4"/>
  <c r="S29" i="4"/>
  <c r="S35" i="4"/>
  <c r="AK28" i="4"/>
  <c r="AL28" i="4"/>
  <c r="AM28" i="4"/>
  <c r="AN28" i="4"/>
  <c r="AO28" i="4"/>
  <c r="AP28" i="4"/>
  <c r="AQ28" i="4"/>
  <c r="AR28" i="4"/>
  <c r="AS28" i="4"/>
  <c r="AJ28" i="4"/>
  <c r="AL8" i="4"/>
  <c r="AM8" i="4"/>
  <c r="AN8" i="4"/>
  <c r="AO8" i="4"/>
  <c r="AP8" i="4"/>
  <c r="AQ8" i="4"/>
  <c r="AR8" i="4"/>
  <c r="AS8" i="4"/>
  <c r="AK8" i="4"/>
  <c r="AJ8" i="4"/>
  <c r="AM21" i="4"/>
  <c r="AN21" i="4"/>
  <c r="AO21" i="4"/>
  <c r="AP21" i="4"/>
  <c r="AQ21" i="4"/>
  <c r="AR21" i="4"/>
  <c r="AS21" i="4"/>
  <c r="AK21" i="4"/>
  <c r="AL21" i="4"/>
  <c r="AJ21" i="4"/>
  <c r="AR26" i="4"/>
  <c r="AS26" i="4"/>
  <c r="AK26" i="4"/>
  <c r="AL26" i="4"/>
  <c r="AM26" i="4"/>
  <c r="AN26" i="4"/>
  <c r="AO26" i="4"/>
  <c r="AP26" i="4"/>
  <c r="AQ26" i="4"/>
  <c r="AJ26" i="4"/>
  <c r="AQ13" i="4"/>
  <c r="AR13" i="4"/>
  <c r="AS13" i="4"/>
  <c r="AK13" i="4"/>
  <c r="AL13" i="4"/>
  <c r="AM13" i="4"/>
  <c r="AN13" i="4"/>
  <c r="AO13" i="4"/>
  <c r="AP13" i="4"/>
  <c r="AJ13" i="4"/>
  <c r="AS15" i="4"/>
  <c r="AK15" i="4"/>
  <c r="AL15" i="4"/>
  <c r="AM15" i="4"/>
  <c r="AN15" i="4"/>
  <c r="AO15" i="4"/>
  <c r="AP15" i="4"/>
  <c r="AQ15" i="4"/>
  <c r="AR15" i="4"/>
  <c r="AJ15" i="4"/>
  <c r="AK18" i="4"/>
  <c r="AL18" i="4"/>
  <c r="AM18" i="4"/>
  <c r="AN18" i="4"/>
  <c r="AO18" i="4"/>
  <c r="AP18" i="4"/>
  <c r="AQ18" i="4"/>
  <c r="AR18" i="4"/>
  <c r="AS18" i="4"/>
  <c r="AJ18" i="4"/>
  <c r="AP36" i="4"/>
  <c r="AQ36" i="4"/>
  <c r="AR36" i="4"/>
  <c r="AS36" i="4"/>
  <c r="AK36" i="4"/>
  <c r="AL36" i="4"/>
  <c r="AM36" i="4"/>
  <c r="AN36" i="4"/>
  <c r="AO36" i="4"/>
  <c r="AJ36" i="4"/>
  <c r="AO23" i="4"/>
  <c r="AP23" i="4"/>
  <c r="AQ23" i="4"/>
  <c r="AR23" i="4"/>
  <c r="AS23" i="4"/>
  <c r="AK23" i="4"/>
  <c r="AL23" i="4"/>
  <c r="AM23" i="4"/>
  <c r="AN23" i="4"/>
  <c r="AJ23" i="4"/>
  <c r="AK40" i="4"/>
  <c r="AL40" i="4"/>
  <c r="AM40" i="4"/>
  <c r="AN40" i="4"/>
  <c r="AO40" i="4"/>
  <c r="AP40" i="4"/>
  <c r="AQ40" i="4"/>
  <c r="AR40" i="4"/>
  <c r="AS40" i="4"/>
  <c r="AJ40" i="4"/>
  <c r="AR38" i="4"/>
  <c r="AS38" i="4"/>
  <c r="AK38" i="4"/>
  <c r="AL38" i="4"/>
  <c r="AM38" i="4"/>
  <c r="AN38" i="4"/>
  <c r="AO38" i="4"/>
  <c r="AP38" i="4"/>
  <c r="AQ38" i="4"/>
  <c r="AJ38" i="4"/>
  <c r="S11" i="6"/>
  <c r="AM9" i="4"/>
  <c r="AN9" i="4"/>
  <c r="AO9" i="4"/>
  <c r="AP9" i="4"/>
  <c r="AQ9" i="4"/>
  <c r="AR9" i="4"/>
  <c r="AS9" i="4"/>
  <c r="AK9" i="4"/>
  <c r="AL9" i="4"/>
  <c r="AJ9" i="4"/>
  <c r="AP24" i="4"/>
  <c r="AQ24" i="4"/>
  <c r="AR24" i="4"/>
  <c r="AS24" i="4"/>
  <c r="AK24" i="4"/>
  <c r="AL24" i="4"/>
  <c r="AM24" i="4"/>
  <c r="AN24" i="4"/>
  <c r="AO24" i="4"/>
  <c r="AJ24" i="4"/>
  <c r="AQ25" i="4"/>
  <c r="AR25" i="4"/>
  <c r="AS25" i="4"/>
  <c r="AK25" i="4"/>
  <c r="AL25" i="4"/>
  <c r="AM25" i="4"/>
  <c r="AN25" i="4"/>
  <c r="AO25" i="4"/>
  <c r="AP25" i="4"/>
  <c r="AJ25" i="4"/>
  <c r="AK17" i="4"/>
  <c r="AL17" i="4"/>
  <c r="AM17" i="4"/>
  <c r="AN17" i="4"/>
  <c r="AO17" i="4"/>
  <c r="AP17" i="4"/>
  <c r="AQ17" i="4"/>
  <c r="AR17" i="4"/>
  <c r="AS17" i="4"/>
  <c r="AJ17" i="4"/>
  <c r="AR14" i="4"/>
  <c r="AS14" i="4"/>
  <c r="AK14" i="4"/>
  <c r="AL14" i="4"/>
  <c r="AM14" i="4"/>
  <c r="AN14" i="4"/>
  <c r="AO14" i="4"/>
  <c r="AP14" i="4"/>
  <c r="AQ14" i="4"/>
  <c r="AJ14" i="4"/>
  <c r="AP12" i="4"/>
  <c r="AQ12" i="4"/>
  <c r="AR12" i="4"/>
  <c r="AS12" i="4"/>
  <c r="AK12" i="4"/>
  <c r="AL12" i="4"/>
  <c r="AM12" i="4"/>
  <c r="AN12" i="4"/>
  <c r="AO12" i="4"/>
  <c r="AJ12" i="4"/>
  <c r="AO35" i="4"/>
  <c r="AP35" i="4"/>
  <c r="AQ35" i="4"/>
  <c r="AR35" i="4"/>
  <c r="AS35" i="4"/>
  <c r="AK35" i="4"/>
  <c r="AL35" i="4"/>
  <c r="AM35" i="4"/>
  <c r="AN35" i="4"/>
  <c r="AJ35" i="4"/>
  <c r="AO11" i="4"/>
  <c r="AP11" i="4"/>
  <c r="AQ11" i="4"/>
  <c r="AR11" i="4"/>
  <c r="AS11" i="4"/>
  <c r="AK11" i="4"/>
  <c r="AL11" i="4"/>
  <c r="AM11" i="4"/>
  <c r="AN11" i="4"/>
  <c r="AJ11" i="4"/>
  <c r="AK19" i="4"/>
  <c r="AL19" i="4"/>
  <c r="AM19" i="4"/>
  <c r="AN19" i="4"/>
  <c r="AO19" i="4"/>
  <c r="AP19" i="4"/>
  <c r="AQ19" i="4"/>
  <c r="AR19" i="4"/>
  <c r="AS19" i="4"/>
  <c r="AJ19" i="4"/>
  <c r="AS27" i="4"/>
  <c r="AK27" i="4"/>
  <c r="AL27" i="4"/>
  <c r="AM27" i="4"/>
  <c r="AN27" i="4"/>
  <c r="AO27" i="4"/>
  <c r="AP27" i="4"/>
  <c r="AQ27" i="4"/>
  <c r="AR27" i="4"/>
  <c r="AJ27" i="4"/>
  <c r="M9" i="6"/>
  <c r="AK29" i="4"/>
  <c r="AL29" i="4"/>
  <c r="AM29" i="4"/>
  <c r="AN29" i="4"/>
  <c r="AO29" i="4"/>
  <c r="AP29" i="4"/>
  <c r="AQ29" i="4"/>
  <c r="AR29" i="4"/>
  <c r="AS29" i="4"/>
  <c r="AJ29" i="4"/>
  <c r="D20" i="4"/>
  <c r="D16" i="4"/>
  <c r="U24" i="4"/>
  <c r="V24" i="4"/>
  <c r="T24" i="4"/>
  <c r="AA25" i="4"/>
  <c r="S24" i="4"/>
  <c r="D22" i="4"/>
  <c r="V21" i="4"/>
  <c r="X21" i="4"/>
  <c r="T21" i="4"/>
  <c r="S21" i="4"/>
  <c r="D10" i="4"/>
  <c r="S18" i="6"/>
  <c r="S9" i="6"/>
  <c r="S14" i="6"/>
  <c r="S10" i="6"/>
  <c r="S20" i="6"/>
  <c r="S19" i="6"/>
  <c r="S17" i="6"/>
  <c r="S16" i="6"/>
  <c r="S15" i="6"/>
  <c r="S13" i="6"/>
  <c r="S12" i="6"/>
  <c r="M10" i="6"/>
  <c r="N9" i="6"/>
  <c r="O9" i="6"/>
  <c r="M11" i="6"/>
  <c r="M13" i="6"/>
  <c r="D39" i="4"/>
  <c r="S13" i="4"/>
  <c r="U13" i="4"/>
  <c r="T15" i="32"/>
  <c r="X25" i="4"/>
  <c r="U25" i="4"/>
  <c r="Y25" i="4"/>
  <c r="S25" i="4"/>
  <c r="T25" i="4"/>
  <c r="Z25" i="4"/>
  <c r="R25" i="4"/>
  <c r="T12" i="32"/>
  <c r="T16" i="32"/>
  <c r="T17" i="32"/>
  <c r="T11" i="32"/>
  <c r="T13" i="32"/>
  <c r="T14" i="32"/>
  <c r="T10" i="32"/>
  <c r="T18" i="4"/>
  <c r="V23" i="4"/>
  <c r="T23" i="4"/>
  <c r="R17" i="4"/>
  <c r="S17" i="4"/>
  <c r="Z18" i="4"/>
  <c r="U18" i="4"/>
  <c r="T38" i="4"/>
  <c r="T17" i="4"/>
  <c r="AA18" i="4"/>
  <c r="V18" i="4"/>
  <c r="R15" i="4"/>
  <c r="U17" i="4"/>
  <c r="X17" i="4"/>
  <c r="X18" i="4"/>
  <c r="S18" i="4"/>
  <c r="R19" i="4"/>
  <c r="W25" i="4"/>
  <c r="AC22" i="4"/>
  <c r="X22" i="4"/>
  <c r="W24" i="4"/>
  <c r="W21" i="4"/>
  <c r="W27" i="4"/>
  <c r="W17" i="4"/>
  <c r="W18" i="4"/>
  <c r="W23" i="4"/>
  <c r="AB22" i="4"/>
  <c r="D34" i="4"/>
  <c r="L16" i="6"/>
  <c r="K16" i="6"/>
  <c r="K11" i="6"/>
  <c r="K15" i="6"/>
  <c r="L15" i="6"/>
  <c r="L9" i="6"/>
  <c r="K9" i="6"/>
  <c r="L11" i="6"/>
  <c r="D41" i="4"/>
  <c r="D37" i="4"/>
  <c r="H15" i="6"/>
  <c r="B15" i="8"/>
  <c r="L15" i="7"/>
  <c r="AI15" i="7" s="1"/>
  <c r="B15" i="32"/>
  <c r="U16" i="5"/>
  <c r="T16" i="5"/>
  <c r="B15" i="6" s="1"/>
  <c r="D30" i="4"/>
  <c r="V15" i="4"/>
  <c r="Y38" i="4"/>
  <c r="W38" i="4"/>
  <c r="Y15" i="4"/>
  <c r="Z38" i="4"/>
  <c r="T15" i="4"/>
  <c r="X38" i="4"/>
  <c r="X11" i="4"/>
  <c r="O17" i="5"/>
  <c r="W11" i="4"/>
  <c r="S11" i="4"/>
  <c r="U11" i="4"/>
  <c r="AC11" i="4"/>
  <c r="V11" i="4"/>
  <c r="T11" i="4"/>
  <c r="R11" i="4"/>
  <c r="AB11" i="4"/>
  <c r="AA38" i="4"/>
  <c r="X13" i="4"/>
  <c r="R12" i="4"/>
  <c r="Y13" i="4"/>
  <c r="T12" i="4"/>
  <c r="AA12" i="4"/>
  <c r="AC13" i="4"/>
  <c r="S38" i="4"/>
  <c r="X12" i="4"/>
  <c r="Y11" i="4"/>
  <c r="Z12" i="4"/>
  <c r="Z11" i="4"/>
  <c r="Z8" i="4"/>
  <c r="S14" i="4"/>
  <c r="V12" i="4"/>
  <c r="AB12" i="4"/>
  <c r="U12" i="4"/>
  <c r="S15" i="4"/>
  <c r="W12" i="4"/>
  <c r="Y12" i="4"/>
  <c r="AB15" i="4"/>
  <c r="Z15" i="4"/>
  <c r="AC15" i="4"/>
  <c r="AA15" i="4"/>
  <c r="V38" i="4"/>
  <c r="AB38" i="4"/>
  <c r="AC12" i="4"/>
  <c r="S12" i="4"/>
  <c r="Z14" i="4"/>
  <c r="AB14" i="4"/>
  <c r="W14" i="4"/>
  <c r="V14" i="4"/>
  <c r="U14" i="4"/>
  <c r="V10" i="4"/>
  <c r="W15" i="4"/>
  <c r="R13" i="4"/>
  <c r="Z13" i="4"/>
  <c r="T14" i="4"/>
  <c r="R14" i="4"/>
  <c r="X14" i="4"/>
  <c r="Y9" i="4"/>
  <c r="V13" i="4"/>
  <c r="AA13" i="4"/>
  <c r="AB13" i="4"/>
  <c r="AA14" i="4"/>
  <c r="Y14" i="4"/>
  <c r="AC14" i="4"/>
  <c r="AA9" i="4"/>
  <c r="R9" i="4"/>
  <c r="T9" i="6" s="1"/>
  <c r="X9" i="4"/>
  <c r="Z9" i="4"/>
  <c r="U38" i="4"/>
  <c r="T9" i="4"/>
  <c r="AB9" i="4"/>
  <c r="AC9" i="4"/>
  <c r="V9" i="4"/>
  <c r="X15" i="4"/>
  <c r="AC38" i="4"/>
  <c r="W9" i="4"/>
  <c r="U9" i="4"/>
  <c r="T13" i="4"/>
  <c r="V8" i="4"/>
  <c r="W8" i="4"/>
  <c r="T8" i="4"/>
  <c r="S8" i="4"/>
  <c r="AA8" i="4"/>
  <c r="AB8" i="4"/>
  <c r="Y8" i="4"/>
  <c r="U8" i="4"/>
  <c r="R8" i="4"/>
  <c r="AC8" i="4"/>
  <c r="U34" i="4"/>
  <c r="AA34" i="4"/>
  <c r="S34" i="4"/>
  <c r="AB34" i="4"/>
  <c r="Y34" i="4"/>
  <c r="X34" i="4"/>
  <c r="W34" i="4"/>
  <c r="V34" i="4"/>
  <c r="Z34" i="4"/>
  <c r="T40" i="4"/>
  <c r="W40" i="4"/>
  <c r="AB40" i="4"/>
  <c r="U40" i="4"/>
  <c r="R40" i="4"/>
  <c r="Y40" i="4"/>
  <c r="AC40" i="4"/>
  <c r="Z40" i="4"/>
  <c r="S40" i="4"/>
  <c r="X40" i="4"/>
  <c r="V40" i="4"/>
  <c r="AH14" i="4"/>
  <c r="E12" i="32" l="1"/>
  <c r="Q16" i="4"/>
  <c r="N30" i="4"/>
  <c r="O22" i="4"/>
  <c r="N22" i="4"/>
  <c r="O16" i="4"/>
  <c r="L22" i="4"/>
  <c r="N16" i="4"/>
  <c r="K22" i="4"/>
  <c r="M16" i="4"/>
  <c r="I22" i="4"/>
  <c r="L16" i="4"/>
  <c r="H22" i="4"/>
  <c r="O20" i="4"/>
  <c r="M22" i="4"/>
  <c r="I41" i="4"/>
  <c r="U41" i="4" s="1"/>
  <c r="O12" i="32" s="1"/>
  <c r="U12" i="32" s="1"/>
  <c r="P20" i="4"/>
  <c r="H41" i="4"/>
  <c r="J39" i="4"/>
  <c r="V39" i="4" s="1"/>
  <c r="G30" i="4"/>
  <c r="L37" i="4"/>
  <c r="L20" i="4"/>
  <c r="G41" i="4"/>
  <c r="C10" i="32" s="1"/>
  <c r="I39" i="4"/>
  <c r="P30" i="4"/>
  <c r="K37" i="4"/>
  <c r="R30" i="4"/>
  <c r="J9" i="32" s="1"/>
  <c r="Q41" i="4"/>
  <c r="O30" i="4"/>
  <c r="J37" i="4"/>
  <c r="M30" i="4"/>
  <c r="L30" i="4"/>
  <c r="N41" i="4"/>
  <c r="K30" i="4"/>
  <c r="J20" i="4"/>
  <c r="M41" i="4"/>
  <c r="K16" i="4"/>
  <c r="O39" i="4"/>
  <c r="J30" i="4"/>
  <c r="H34" i="4"/>
  <c r="T34" i="4" s="1"/>
  <c r="G22" i="4"/>
  <c r="P37" i="4"/>
  <c r="AB37" i="4" s="1"/>
  <c r="R34" i="4"/>
  <c r="I20" i="4"/>
  <c r="L41" i="4"/>
  <c r="M15" i="32" s="1"/>
  <c r="J16" i="4"/>
  <c r="N39" i="4"/>
  <c r="I30" i="4"/>
  <c r="Q34" i="4"/>
  <c r="Q22" i="4"/>
  <c r="Q37" i="4"/>
  <c r="H20" i="4"/>
  <c r="K41" i="4"/>
  <c r="I16" i="4"/>
  <c r="M39" i="4"/>
  <c r="H30" i="4"/>
  <c r="O37" i="4"/>
  <c r="G20" i="4"/>
  <c r="L39" i="4"/>
  <c r="AG17" i="5"/>
  <c r="AH17" i="5"/>
  <c r="AI17" i="5"/>
  <c r="H10" i="4"/>
  <c r="P10" i="4"/>
  <c r="O10" i="4"/>
  <c r="N10" i="4"/>
  <c r="M10" i="4"/>
  <c r="L10" i="4"/>
  <c r="K10" i="4"/>
  <c r="J10" i="4"/>
  <c r="I10" i="4"/>
  <c r="D7" i="4"/>
  <c r="E7" i="4"/>
  <c r="K7" i="4" s="1"/>
  <c r="C14" i="6" s="1"/>
  <c r="X19" i="4"/>
  <c r="Y17" i="4"/>
  <c r="T18" i="32"/>
  <c r="X24" i="4"/>
  <c r="AJ11" i="8"/>
  <c r="BD11" i="8" s="1"/>
  <c r="AK11" i="8"/>
  <c r="AJ15" i="8"/>
  <c r="BD15" i="8" s="1"/>
  <c r="AK15" i="8"/>
  <c r="AJ16" i="8"/>
  <c r="BD16" i="8" s="1"/>
  <c r="AK16" i="8"/>
  <c r="AJ9" i="8"/>
  <c r="BD9" i="8" s="1"/>
  <c r="AK9" i="8"/>
  <c r="AK19" i="8"/>
  <c r="AJ19" i="8"/>
  <c r="AJ10" i="8"/>
  <c r="BD10" i="8" s="1"/>
  <c r="AK10" i="8"/>
  <c r="AK18" i="8"/>
  <c r="AJ18" i="8"/>
  <c r="AK12" i="8"/>
  <c r="AJ12" i="8"/>
  <c r="BD12" i="8" s="1"/>
  <c r="U37" i="4"/>
  <c r="AK17" i="8"/>
  <c r="AJ17" i="8"/>
  <c r="BD17" i="8" s="1"/>
  <c r="AK13" i="8"/>
  <c r="AJ13" i="8"/>
  <c r="BD13" i="8" s="1"/>
  <c r="AJ14" i="8"/>
  <c r="BD14" i="8" s="1"/>
  <c r="AK14" i="8"/>
  <c r="I19" i="32"/>
  <c r="N19" i="32"/>
  <c r="D19" i="32"/>
  <c r="N20" i="32"/>
  <c r="D20" i="32"/>
  <c r="I20" i="32"/>
  <c r="AH19" i="8"/>
  <c r="AI19" i="8"/>
  <c r="AH20" i="8"/>
  <c r="AI20" i="8"/>
  <c r="I9" i="7"/>
  <c r="AE9" i="7" s="1"/>
  <c r="AF9" i="7" s="1"/>
  <c r="E18" i="32"/>
  <c r="E14" i="32"/>
  <c r="E9" i="32"/>
  <c r="E17" i="32"/>
  <c r="E11" i="32"/>
  <c r="E10" i="32"/>
  <c r="E16" i="32"/>
  <c r="E13" i="32"/>
  <c r="E15" i="32"/>
  <c r="AM18" i="8"/>
  <c r="AR18" i="8"/>
  <c r="AN18" i="8"/>
  <c r="W28" i="4"/>
  <c r="W35" i="4"/>
  <c r="AC32" i="4"/>
  <c r="AB32" i="4"/>
  <c r="AC31" i="4"/>
  <c r="AB31" i="4"/>
  <c r="X23" i="4"/>
  <c r="Y21" i="4"/>
  <c r="W29" i="4"/>
  <c r="J14" i="8" s="1"/>
  <c r="AA14" i="8" s="1"/>
  <c r="X27" i="4"/>
  <c r="T41" i="4"/>
  <c r="O11" i="32" s="1"/>
  <c r="U39" i="4"/>
  <c r="AS12" i="8"/>
  <c r="T39" i="4"/>
  <c r="AS11" i="8" s="1"/>
  <c r="V22" i="4"/>
  <c r="S39" i="4"/>
  <c r="U22" i="4"/>
  <c r="R39" i="4"/>
  <c r="T22" i="4"/>
  <c r="S22" i="4"/>
  <c r="AS13" i="8"/>
  <c r="R41" i="4"/>
  <c r="O9" i="32" s="1"/>
  <c r="V41" i="4"/>
  <c r="O13" i="32" s="1"/>
  <c r="H13" i="32"/>
  <c r="M13" i="32"/>
  <c r="C13" i="32"/>
  <c r="H14" i="32"/>
  <c r="M14" i="32"/>
  <c r="C14" i="32"/>
  <c r="M12" i="32"/>
  <c r="C12" i="32"/>
  <c r="H12" i="32"/>
  <c r="H11" i="32"/>
  <c r="C11" i="32"/>
  <c r="M11" i="32"/>
  <c r="AN34" i="4"/>
  <c r="AO34" i="4"/>
  <c r="AP34" i="4"/>
  <c r="AQ34" i="4"/>
  <c r="AR34" i="4"/>
  <c r="AS34" i="4"/>
  <c r="AK34" i="4"/>
  <c r="AL34" i="4"/>
  <c r="AM34" i="4"/>
  <c r="AJ34" i="4"/>
  <c r="AN10" i="4"/>
  <c r="AO10" i="4"/>
  <c r="AP10" i="4"/>
  <c r="AQ10" i="4"/>
  <c r="AR10" i="4"/>
  <c r="AS10" i="4"/>
  <c r="AK10" i="4"/>
  <c r="AL10" i="4"/>
  <c r="AM10" i="4"/>
  <c r="AJ10" i="4"/>
  <c r="AQ37" i="4"/>
  <c r="AR37" i="4"/>
  <c r="AS37" i="4"/>
  <c r="AK37" i="4"/>
  <c r="AL37" i="4"/>
  <c r="AM37" i="4"/>
  <c r="AN37" i="4"/>
  <c r="AO37" i="4"/>
  <c r="AP37" i="4"/>
  <c r="AJ37" i="4"/>
  <c r="AB7" i="4"/>
  <c r="AK7" i="4"/>
  <c r="AL7" i="4"/>
  <c r="AM7" i="4"/>
  <c r="AN7" i="4"/>
  <c r="AO7" i="4"/>
  <c r="AJ7" i="4"/>
  <c r="AK30" i="4"/>
  <c r="AL30" i="4"/>
  <c r="AM30" i="4"/>
  <c r="AN30" i="4"/>
  <c r="AO30" i="4"/>
  <c r="AP30" i="4"/>
  <c r="AQ30" i="4"/>
  <c r="AR30" i="4"/>
  <c r="AS30" i="4"/>
  <c r="AJ30" i="4"/>
  <c r="AS39" i="4"/>
  <c r="AK39" i="4"/>
  <c r="AL39" i="4"/>
  <c r="AM39" i="4"/>
  <c r="AN39" i="4"/>
  <c r="AO39" i="4"/>
  <c r="AP39" i="4"/>
  <c r="AQ39" i="4"/>
  <c r="AR39" i="4"/>
  <c r="AJ39" i="4"/>
  <c r="AL20" i="4"/>
  <c r="AM20" i="4"/>
  <c r="AN20" i="4"/>
  <c r="AO20" i="4"/>
  <c r="AP20" i="4"/>
  <c r="AQ20" i="4"/>
  <c r="AR20" i="4"/>
  <c r="AS20" i="4"/>
  <c r="AK20" i="4"/>
  <c r="AJ20" i="4"/>
  <c r="AK16" i="4"/>
  <c r="AL16" i="4"/>
  <c r="AM16" i="4"/>
  <c r="AN16" i="4"/>
  <c r="AO16" i="4"/>
  <c r="AP16" i="4"/>
  <c r="AQ16" i="4"/>
  <c r="AR16" i="4"/>
  <c r="AS16" i="4"/>
  <c r="AJ16" i="4"/>
  <c r="AK41" i="4"/>
  <c r="AL41" i="4"/>
  <c r="AM41" i="4"/>
  <c r="AN41" i="4"/>
  <c r="AO41" i="4"/>
  <c r="AP41" i="4"/>
  <c r="AQ41" i="4"/>
  <c r="AR41" i="4"/>
  <c r="AS41" i="4"/>
  <c r="AJ41" i="4"/>
  <c r="AN22" i="4"/>
  <c r="AO22" i="4"/>
  <c r="AP22" i="4"/>
  <c r="AQ22" i="4"/>
  <c r="AR22" i="4"/>
  <c r="AS22" i="4"/>
  <c r="AK22" i="4"/>
  <c r="AL22" i="4"/>
  <c r="AM22" i="4"/>
  <c r="AJ22" i="4"/>
  <c r="Y22" i="4"/>
  <c r="Z22" i="4"/>
  <c r="R22" i="4"/>
  <c r="AA22" i="4"/>
  <c r="X20" i="4"/>
  <c r="W20" i="4"/>
  <c r="Y20" i="4"/>
  <c r="AA20" i="4"/>
  <c r="H14" i="8"/>
  <c r="Y14" i="8" s="1"/>
  <c r="H15" i="8"/>
  <c r="Y15" i="8" s="1"/>
  <c r="U9" i="6"/>
  <c r="U11" i="6"/>
  <c r="T11" i="6"/>
  <c r="U16" i="6"/>
  <c r="T16" i="6"/>
  <c r="T12" i="6"/>
  <c r="U12" i="6"/>
  <c r="U13" i="6"/>
  <c r="T13" i="6"/>
  <c r="U18" i="6"/>
  <c r="T18" i="6"/>
  <c r="U14" i="6"/>
  <c r="T14" i="6"/>
  <c r="U20" i="6"/>
  <c r="T20" i="6"/>
  <c r="U17" i="6"/>
  <c r="T17" i="6"/>
  <c r="U19" i="6"/>
  <c r="T19" i="6"/>
  <c r="T15" i="6"/>
  <c r="U15" i="6"/>
  <c r="M14" i="6"/>
  <c r="Z20" i="4"/>
  <c r="W13" i="4"/>
  <c r="S10" i="4"/>
  <c r="Z10" i="4"/>
  <c r="AA7" i="4"/>
  <c r="W16" i="4"/>
  <c r="AL18" i="8"/>
  <c r="AL19" i="8"/>
  <c r="AL20" i="8"/>
  <c r="AL17" i="8"/>
  <c r="AA10" i="4"/>
  <c r="X7" i="4"/>
  <c r="Z7" i="4"/>
  <c r="Y7" i="4"/>
  <c r="R20" i="4"/>
  <c r="AA16" i="4"/>
  <c r="S16" i="4"/>
  <c r="R16" i="4"/>
  <c r="Z16" i="4"/>
  <c r="T16" i="4"/>
  <c r="U16" i="4"/>
  <c r="X16" i="4"/>
  <c r="V16" i="4"/>
  <c r="Y16" i="4"/>
  <c r="AG12" i="8"/>
  <c r="AC10" i="4"/>
  <c r="R10" i="4"/>
  <c r="U10" i="4"/>
  <c r="AB10" i="4"/>
  <c r="T10" i="4"/>
  <c r="X10" i="4"/>
  <c r="Y10" i="4"/>
  <c r="Y37" i="4"/>
  <c r="W10" i="4"/>
  <c r="AG13" i="8"/>
  <c r="AG14" i="8"/>
  <c r="AG10" i="8"/>
  <c r="AL13" i="8"/>
  <c r="AQ13" i="8"/>
  <c r="AG11" i="8"/>
  <c r="AL14" i="8"/>
  <c r="AQ14" i="8"/>
  <c r="AI9" i="8"/>
  <c r="AL10" i="8"/>
  <c r="AQ10" i="8"/>
  <c r="AL12" i="8"/>
  <c r="AQ12" i="8"/>
  <c r="W22" i="4"/>
  <c r="AC34" i="4"/>
  <c r="X30" i="4"/>
  <c r="T30" i="4"/>
  <c r="I11" i="7" s="1"/>
  <c r="AE11" i="7" s="1"/>
  <c r="AF11" i="7" s="1"/>
  <c r="C11" i="30" s="1"/>
  <c r="S30" i="4"/>
  <c r="I10" i="7" s="1"/>
  <c r="AE10" i="7" s="1"/>
  <c r="AF10" i="7" s="1"/>
  <c r="C10" i="30" s="1"/>
  <c r="T37" i="4"/>
  <c r="W37" i="4"/>
  <c r="AC37" i="4"/>
  <c r="S41" i="4"/>
  <c r="W41" i="4"/>
  <c r="O14" i="32" s="1"/>
  <c r="W30" i="4"/>
  <c r="V30" i="4"/>
  <c r="I13" i="7" s="1"/>
  <c r="AJ13" i="7" s="1"/>
  <c r="V37" i="4"/>
  <c r="X37" i="4"/>
  <c r="H9" i="8"/>
  <c r="Y9" i="8" s="1"/>
  <c r="W7" i="4"/>
  <c r="AC7" i="4"/>
  <c r="V7" i="4"/>
  <c r="U7" i="4"/>
  <c r="U30" i="4"/>
  <c r="I12" i="7" s="1"/>
  <c r="AE12" i="7" s="1"/>
  <c r="AF12" i="7" s="1"/>
  <c r="C12" i="30" s="1"/>
  <c r="AA37" i="4"/>
  <c r="S37" i="4"/>
  <c r="Z37" i="4"/>
  <c r="T7" i="4"/>
  <c r="R7" i="4"/>
  <c r="S7" i="4"/>
  <c r="R37" i="4"/>
  <c r="H16" i="6"/>
  <c r="B16" i="8"/>
  <c r="L16" i="7"/>
  <c r="AI16" i="7" s="1"/>
  <c r="B16" i="32"/>
  <c r="T17" i="5"/>
  <c r="B16" i="6" s="1"/>
  <c r="U17" i="5"/>
  <c r="O18" i="5"/>
  <c r="E57" i="41"/>
  <c r="F57" i="41"/>
  <c r="F24" i="41"/>
  <c r="E24" i="41"/>
  <c r="E14" i="41"/>
  <c r="F14" i="41"/>
  <c r="E33" i="41"/>
  <c r="F33" i="41"/>
  <c r="F53" i="41"/>
  <c r="E53" i="41"/>
  <c r="AG9" i="8"/>
  <c r="H14" i="37"/>
  <c r="G14" i="37"/>
  <c r="J14" i="37" s="1"/>
  <c r="AC14" i="37" s="1"/>
  <c r="G76" i="37"/>
  <c r="H76" i="37"/>
  <c r="G28" i="37"/>
  <c r="H28" i="37"/>
  <c r="H34" i="37"/>
  <c r="G34" i="37"/>
  <c r="H40" i="37"/>
  <c r="G40" i="37"/>
  <c r="G58" i="37"/>
  <c r="H58" i="37"/>
  <c r="H64" i="37"/>
  <c r="G64" i="37"/>
  <c r="G70" i="37"/>
  <c r="H70" i="37"/>
  <c r="G16" i="37"/>
  <c r="H16" i="37"/>
  <c r="H46" i="37"/>
  <c r="G46" i="37"/>
  <c r="H52" i="37"/>
  <c r="G52" i="37"/>
  <c r="G22" i="37"/>
  <c r="H22" i="37"/>
  <c r="E25" i="36"/>
  <c r="F25" i="36"/>
  <c r="F136" i="36"/>
  <c r="E136" i="36"/>
  <c r="E125" i="36"/>
  <c r="F125" i="36"/>
  <c r="F124" i="36"/>
  <c r="E124" i="36"/>
  <c r="E122" i="36"/>
  <c r="E114" i="36"/>
  <c r="F114" i="36"/>
  <c r="E113" i="36"/>
  <c r="F113" i="36"/>
  <c r="E92" i="36"/>
  <c r="F92" i="36"/>
  <c r="E70" i="36"/>
  <c r="F70" i="36"/>
  <c r="E56" i="36"/>
  <c r="F56" i="36"/>
  <c r="E58" i="36"/>
  <c r="F58" i="36"/>
  <c r="E47" i="36"/>
  <c r="F47" i="36"/>
  <c r="F26" i="36"/>
  <c r="E26" i="36"/>
  <c r="E69" i="36"/>
  <c r="F69" i="36"/>
  <c r="F59" i="36"/>
  <c r="E59" i="36"/>
  <c r="E36" i="36"/>
  <c r="F36" i="36"/>
  <c r="F123" i="36"/>
  <c r="E123" i="36"/>
  <c r="F102" i="36"/>
  <c r="E102" i="36"/>
  <c r="E81" i="36"/>
  <c r="F81" i="36"/>
  <c r="F91" i="36"/>
  <c r="E91" i="36"/>
  <c r="E78" i="36"/>
  <c r="F78" i="36"/>
  <c r="E80" i="36"/>
  <c r="F80" i="36"/>
  <c r="F48" i="36"/>
  <c r="E48" i="36"/>
  <c r="F15" i="36"/>
  <c r="E15" i="36"/>
  <c r="F103" i="36"/>
  <c r="E103" i="36"/>
  <c r="E135" i="36"/>
  <c r="F135" i="36"/>
  <c r="F37" i="36"/>
  <c r="E37" i="36"/>
  <c r="F13" i="36"/>
  <c r="E13" i="36"/>
  <c r="F14" i="36"/>
  <c r="E14" i="36"/>
  <c r="E25" i="33"/>
  <c r="F19" i="33"/>
  <c r="F7" i="33"/>
  <c r="F25" i="33"/>
  <c r="AH15" i="4"/>
  <c r="F7" i="4" l="1"/>
  <c r="C15" i="32"/>
  <c r="H15" i="32"/>
  <c r="M10" i="32"/>
  <c r="H10" i="32"/>
  <c r="AS9" i="8"/>
  <c r="AG18" i="5"/>
  <c r="AH18" i="5"/>
  <c r="AI18" i="5"/>
  <c r="AM5" i="4"/>
  <c r="C51" i="67" s="1"/>
  <c r="AJ9" i="7"/>
  <c r="AG9" i="7" s="1"/>
  <c r="AD9" i="6" s="1"/>
  <c r="J7" i="4"/>
  <c r="Q32" i="37" s="1"/>
  <c r="R32" i="37" s="1"/>
  <c r="I7" i="4"/>
  <c r="C12" i="6" s="1"/>
  <c r="V12" i="6" s="1"/>
  <c r="AS7" i="4"/>
  <c r="AS6" i="4" s="1"/>
  <c r="H7" i="4"/>
  <c r="C11" i="6" s="1"/>
  <c r="V11" i="6" s="1"/>
  <c r="AR7" i="4"/>
  <c r="AR6" i="4" s="1"/>
  <c r="G7" i="4"/>
  <c r="AQ7" i="4"/>
  <c r="Q7" i="4"/>
  <c r="AP7" i="4"/>
  <c r="P7" i="4"/>
  <c r="O7" i="4"/>
  <c r="Q61" i="40" s="1"/>
  <c r="R61" i="40" s="1"/>
  <c r="N7" i="4"/>
  <c r="M94" i="36" s="1"/>
  <c r="N94" i="36" s="1"/>
  <c r="M7" i="4"/>
  <c r="Q50" i="40" s="1"/>
  <c r="R50" i="40" s="1"/>
  <c r="L7" i="4"/>
  <c r="Q42" i="37" s="1"/>
  <c r="R42" i="37" s="1"/>
  <c r="S120" i="36"/>
  <c r="T120" i="36" s="1"/>
  <c r="O8" i="41"/>
  <c r="P8" i="41" s="1"/>
  <c r="M48" i="41"/>
  <c r="N48" i="41" s="1"/>
  <c r="W10" i="40"/>
  <c r="X10" i="40" s="1"/>
  <c r="M58" i="41"/>
  <c r="N58" i="41" s="1"/>
  <c r="M34" i="41"/>
  <c r="N34" i="41" s="1"/>
  <c r="Q68" i="37"/>
  <c r="R68" i="37" s="1"/>
  <c r="H68" i="37" s="1"/>
  <c r="Q55" i="40"/>
  <c r="R55" i="40" s="1"/>
  <c r="H55" i="40" s="1"/>
  <c r="M8" i="36"/>
  <c r="N8" i="36" s="1"/>
  <c r="E8" i="36" s="1"/>
  <c r="G8" i="36" s="1"/>
  <c r="X8" i="36" s="1"/>
  <c r="M22" i="41"/>
  <c r="N22" i="41" s="1"/>
  <c r="AJ10" i="7"/>
  <c r="AG10" i="7" s="1"/>
  <c r="H8" i="53" s="1"/>
  <c r="U7" i="40"/>
  <c r="V7" i="40" s="1"/>
  <c r="S66" i="40"/>
  <c r="T66" i="40" s="1"/>
  <c r="Q44" i="37"/>
  <c r="R44" i="37" s="1"/>
  <c r="H44" i="37" s="1"/>
  <c r="M6" i="41"/>
  <c r="N6" i="41" s="1"/>
  <c r="M89" i="36"/>
  <c r="N89" i="36" s="1"/>
  <c r="E89" i="36" s="1"/>
  <c r="S27" i="39"/>
  <c r="T27" i="39" s="1"/>
  <c r="U46" i="40"/>
  <c r="V46" i="40" s="1"/>
  <c r="S6" i="38"/>
  <c r="T6" i="38" s="1"/>
  <c r="M28" i="38"/>
  <c r="N28" i="38" s="1"/>
  <c r="Q66" i="40"/>
  <c r="R66" i="40" s="1"/>
  <c r="M61" i="36"/>
  <c r="N61" i="36" s="1"/>
  <c r="Q63" i="41"/>
  <c r="R63" i="41" s="1"/>
  <c r="M21" i="41"/>
  <c r="N21" i="41" s="1"/>
  <c r="M62" i="41"/>
  <c r="N62" i="41" s="1"/>
  <c r="M64" i="41"/>
  <c r="N64" i="41" s="1"/>
  <c r="M28" i="33"/>
  <c r="N28" i="33" s="1"/>
  <c r="M90" i="36"/>
  <c r="N90" i="36" s="1"/>
  <c r="F90" i="36" s="1"/>
  <c r="Q44" i="41"/>
  <c r="R44" i="41" s="1"/>
  <c r="S9" i="41"/>
  <c r="T9" i="41" s="1"/>
  <c r="O16" i="41"/>
  <c r="P16" i="41" s="1"/>
  <c r="M28" i="39"/>
  <c r="N28" i="39" s="1"/>
  <c r="S22" i="41"/>
  <c r="T22" i="41" s="1"/>
  <c r="M52" i="41"/>
  <c r="N52" i="41" s="1"/>
  <c r="S19" i="38"/>
  <c r="T19" i="38" s="1"/>
  <c r="W39" i="40"/>
  <c r="X39" i="40" s="1"/>
  <c r="U49" i="40"/>
  <c r="V49" i="40" s="1"/>
  <c r="U19" i="37"/>
  <c r="V19" i="37" s="1"/>
  <c r="M36" i="41"/>
  <c r="N36" i="41" s="1"/>
  <c r="U44" i="40"/>
  <c r="V44" i="40" s="1"/>
  <c r="M63" i="41"/>
  <c r="N63" i="41" s="1"/>
  <c r="Q19" i="38"/>
  <c r="R19" i="38" s="1"/>
  <c r="M7" i="41"/>
  <c r="N7" i="41" s="1"/>
  <c r="Q37" i="37"/>
  <c r="R37" i="37" s="1"/>
  <c r="O9" i="41"/>
  <c r="P9" i="41" s="1"/>
  <c r="M25" i="39"/>
  <c r="N25" i="39" s="1"/>
  <c r="Q58" i="40"/>
  <c r="R58" i="40" s="1"/>
  <c r="M56" i="41"/>
  <c r="N56" i="41" s="1"/>
  <c r="M59" i="41"/>
  <c r="N59" i="41" s="1"/>
  <c r="O19" i="39"/>
  <c r="P19" i="39" s="1"/>
  <c r="Q55" i="37"/>
  <c r="R55" i="37" s="1"/>
  <c r="M9" i="41"/>
  <c r="N9" i="41" s="1"/>
  <c r="M22" i="39"/>
  <c r="N22" i="39" s="1"/>
  <c r="M46" i="36"/>
  <c r="N46" i="36" s="1"/>
  <c r="E46" i="36" s="1"/>
  <c r="Q32" i="41"/>
  <c r="R32" i="41" s="1"/>
  <c r="Q10" i="38"/>
  <c r="R10" i="38" s="1"/>
  <c r="U34" i="40"/>
  <c r="V34" i="40" s="1"/>
  <c r="M127" i="36"/>
  <c r="N127" i="36" s="1"/>
  <c r="M6" i="33"/>
  <c r="N6" i="33" s="1"/>
  <c r="M46" i="41"/>
  <c r="N46" i="41" s="1"/>
  <c r="M8" i="41"/>
  <c r="N8" i="41" s="1"/>
  <c r="M22" i="38"/>
  <c r="N22" i="38" s="1"/>
  <c r="Q25" i="40"/>
  <c r="R25" i="40" s="1"/>
  <c r="H25" i="40" s="1"/>
  <c r="M45" i="36"/>
  <c r="N45" i="36" s="1"/>
  <c r="F45" i="36" s="1"/>
  <c r="Q15" i="38"/>
  <c r="R15" i="38" s="1"/>
  <c r="S29" i="41"/>
  <c r="T29" i="41" s="1"/>
  <c r="Q53" i="41"/>
  <c r="R53" i="41" s="1"/>
  <c r="M23" i="41"/>
  <c r="N23" i="41" s="1"/>
  <c r="M39" i="41"/>
  <c r="N39" i="41" s="1"/>
  <c r="Q43" i="37"/>
  <c r="R43" i="37" s="1"/>
  <c r="Q56" i="40"/>
  <c r="R56" i="40" s="1"/>
  <c r="H56" i="40" s="1"/>
  <c r="Q48" i="37"/>
  <c r="R48" i="37" s="1"/>
  <c r="M10" i="36"/>
  <c r="N10" i="36" s="1"/>
  <c r="Q33" i="41"/>
  <c r="R33" i="41" s="1"/>
  <c r="S42" i="40"/>
  <c r="T42" i="40" s="1"/>
  <c r="Q14" i="41"/>
  <c r="R14" i="41" s="1"/>
  <c r="Q11" i="38"/>
  <c r="R11" i="38" s="1"/>
  <c r="Q27" i="39"/>
  <c r="R27" i="39" s="1"/>
  <c r="O17" i="39"/>
  <c r="P17" i="39" s="1"/>
  <c r="M15" i="39"/>
  <c r="N15" i="39" s="1"/>
  <c r="S18" i="40"/>
  <c r="T18" i="40" s="1"/>
  <c r="S52" i="40"/>
  <c r="T52" i="40" s="1"/>
  <c r="S70" i="40"/>
  <c r="T70" i="40" s="1"/>
  <c r="U63" i="40"/>
  <c r="V63" i="40" s="1"/>
  <c r="Q33" i="40"/>
  <c r="R33" i="40" s="1"/>
  <c r="U9" i="40"/>
  <c r="V9" i="40" s="1"/>
  <c r="S63" i="40"/>
  <c r="T63" i="40" s="1"/>
  <c r="M23" i="39"/>
  <c r="N23" i="39" s="1"/>
  <c r="Q21" i="39"/>
  <c r="R21" i="39" s="1"/>
  <c r="M116" i="36"/>
  <c r="N116" i="36" s="1"/>
  <c r="U66" i="37"/>
  <c r="V66" i="37" s="1"/>
  <c r="U70" i="37"/>
  <c r="V70" i="37" s="1"/>
  <c r="O17" i="41"/>
  <c r="P17" i="41" s="1"/>
  <c r="S27" i="41"/>
  <c r="T27" i="41" s="1"/>
  <c r="S13" i="38"/>
  <c r="T13" i="38" s="1"/>
  <c r="O29" i="39"/>
  <c r="P29" i="39" s="1"/>
  <c r="Q21" i="38"/>
  <c r="R21" i="38" s="1"/>
  <c r="S27" i="40"/>
  <c r="T27" i="40" s="1"/>
  <c r="S6" i="41"/>
  <c r="T6" i="41" s="1"/>
  <c r="M26" i="38"/>
  <c r="N26" i="38" s="1"/>
  <c r="S11" i="38"/>
  <c r="T11" i="38" s="1"/>
  <c r="W12" i="40"/>
  <c r="X12" i="40" s="1"/>
  <c r="Q63" i="40"/>
  <c r="R63" i="40" s="1"/>
  <c r="Q42" i="41"/>
  <c r="R42" i="41" s="1"/>
  <c r="S68" i="40"/>
  <c r="T68" i="40" s="1"/>
  <c r="M27" i="33"/>
  <c r="N27" i="33" s="1"/>
  <c r="W32" i="40"/>
  <c r="X32" i="40" s="1"/>
  <c r="S62" i="41"/>
  <c r="T62" i="41" s="1"/>
  <c r="O41" i="41"/>
  <c r="P41" i="41" s="1"/>
  <c r="U42" i="40"/>
  <c r="V42" i="40" s="1"/>
  <c r="M12" i="39"/>
  <c r="N12" i="39" s="1"/>
  <c r="M122" i="36"/>
  <c r="N122" i="36" s="1"/>
  <c r="F122" i="36" s="1"/>
  <c r="W30" i="37"/>
  <c r="X30" i="37" s="1"/>
  <c r="W20" i="37"/>
  <c r="X20" i="37" s="1"/>
  <c r="S77" i="36"/>
  <c r="T77" i="36" s="1"/>
  <c r="Q66" i="37"/>
  <c r="R66" i="37" s="1"/>
  <c r="Q36" i="37"/>
  <c r="R36" i="37" s="1"/>
  <c r="Q24" i="40"/>
  <c r="R24" i="40" s="1"/>
  <c r="M9" i="36"/>
  <c r="N9" i="36" s="1"/>
  <c r="F9" i="36" s="1"/>
  <c r="M6" i="38"/>
  <c r="N6" i="38" s="1"/>
  <c r="M6" i="39"/>
  <c r="N6" i="39" s="1"/>
  <c r="Q19" i="39"/>
  <c r="R19" i="39" s="1"/>
  <c r="Q10" i="40"/>
  <c r="R10" i="40" s="1"/>
  <c r="S23" i="41"/>
  <c r="T23" i="41" s="1"/>
  <c r="W37" i="40"/>
  <c r="X37" i="40" s="1"/>
  <c r="Q34" i="40"/>
  <c r="R34" i="40" s="1"/>
  <c r="S29" i="38"/>
  <c r="T29" i="38" s="1"/>
  <c r="S21" i="40"/>
  <c r="T21" i="40" s="1"/>
  <c r="Q8" i="39"/>
  <c r="R8" i="39" s="1"/>
  <c r="S21" i="41"/>
  <c r="T21" i="41" s="1"/>
  <c r="W68" i="40"/>
  <c r="X68" i="40" s="1"/>
  <c r="S13" i="39"/>
  <c r="T13" i="39" s="1"/>
  <c r="Q8" i="40"/>
  <c r="R8" i="40" s="1"/>
  <c r="O36" i="41"/>
  <c r="P36" i="41" s="1"/>
  <c r="Q28" i="39"/>
  <c r="R28" i="39" s="1"/>
  <c r="Q38" i="41"/>
  <c r="R38" i="41" s="1"/>
  <c r="Q18" i="38"/>
  <c r="R18" i="38" s="1"/>
  <c r="U72" i="40"/>
  <c r="V72" i="40" s="1"/>
  <c r="W20" i="40"/>
  <c r="X20" i="40" s="1"/>
  <c r="S47" i="41"/>
  <c r="T47" i="41" s="1"/>
  <c r="U18" i="40"/>
  <c r="V18" i="40" s="1"/>
  <c r="Q52" i="40"/>
  <c r="R52" i="40" s="1"/>
  <c r="Q31" i="40"/>
  <c r="R31" i="40" s="1"/>
  <c r="Q34" i="37"/>
  <c r="R34" i="37" s="1"/>
  <c r="S74" i="36"/>
  <c r="T74" i="36" s="1"/>
  <c r="Q56" i="37"/>
  <c r="R56" i="37" s="1"/>
  <c r="H56" i="37" s="1"/>
  <c r="Q67" i="37"/>
  <c r="R67" i="37" s="1"/>
  <c r="Q38" i="37"/>
  <c r="R38" i="37" s="1"/>
  <c r="G38" i="37" s="1"/>
  <c r="J38" i="37" s="1"/>
  <c r="AC38" i="37" s="1"/>
  <c r="M111" i="36"/>
  <c r="N111" i="36" s="1"/>
  <c r="E111" i="36" s="1"/>
  <c r="M6" i="36"/>
  <c r="N6" i="36" s="1"/>
  <c r="M12" i="38"/>
  <c r="N12" i="38" s="1"/>
  <c r="O46" i="41"/>
  <c r="P46" i="41" s="1"/>
  <c r="S12" i="38"/>
  <c r="T12" i="38" s="1"/>
  <c r="E12" i="38" s="1"/>
  <c r="M7" i="38"/>
  <c r="N7" i="38" s="1"/>
  <c r="S7" i="40"/>
  <c r="T7" i="40" s="1"/>
  <c r="O39" i="41"/>
  <c r="P39" i="41" s="1"/>
  <c r="S41" i="41"/>
  <c r="T41" i="41" s="1"/>
  <c r="W13" i="40"/>
  <c r="X13" i="40" s="1"/>
  <c r="O12" i="38"/>
  <c r="P12" i="38" s="1"/>
  <c r="W27" i="40"/>
  <c r="X27" i="40" s="1"/>
  <c r="M25" i="38"/>
  <c r="N25" i="38" s="1"/>
  <c r="S21" i="39"/>
  <c r="T21" i="39" s="1"/>
  <c r="Q7" i="38"/>
  <c r="R7" i="38" s="1"/>
  <c r="W34" i="40"/>
  <c r="X34" i="40" s="1"/>
  <c r="M17" i="39"/>
  <c r="N17" i="39" s="1"/>
  <c r="Q56" i="41"/>
  <c r="R56" i="41" s="1"/>
  <c r="S21" i="38"/>
  <c r="T21" i="38" s="1"/>
  <c r="U48" i="40"/>
  <c r="V48" i="40" s="1"/>
  <c r="Q14" i="38"/>
  <c r="R14" i="38" s="1"/>
  <c r="S53" i="41"/>
  <c r="T53" i="41" s="1"/>
  <c r="W62" i="40"/>
  <c r="X62" i="40" s="1"/>
  <c r="M18" i="39"/>
  <c r="N18" i="39" s="1"/>
  <c r="O26" i="38"/>
  <c r="P26" i="38" s="1"/>
  <c r="W34" i="37"/>
  <c r="X34" i="37" s="1"/>
  <c r="W44" i="40"/>
  <c r="X44" i="40" s="1"/>
  <c r="O15" i="36"/>
  <c r="P15" i="36" s="1"/>
  <c r="M12" i="36"/>
  <c r="N12" i="36" s="1"/>
  <c r="F12" i="36" s="1"/>
  <c r="Q43" i="40"/>
  <c r="R43" i="40" s="1"/>
  <c r="Q51" i="40"/>
  <c r="R51" i="40" s="1"/>
  <c r="O18" i="39"/>
  <c r="P18" i="39" s="1"/>
  <c r="S10" i="38"/>
  <c r="T10" i="38" s="1"/>
  <c r="U20" i="40"/>
  <c r="V20" i="40" s="1"/>
  <c r="S10" i="39"/>
  <c r="T10" i="39" s="1"/>
  <c r="U73" i="40"/>
  <c r="V73" i="40" s="1"/>
  <c r="U19" i="40"/>
  <c r="V19" i="40" s="1"/>
  <c r="W15" i="40"/>
  <c r="X15" i="40" s="1"/>
  <c r="Q31" i="37"/>
  <c r="R31" i="37" s="1"/>
  <c r="S67" i="40"/>
  <c r="T67" i="40" s="1"/>
  <c r="G67" i="40" s="1"/>
  <c r="Q18" i="41"/>
  <c r="R18" i="41" s="1"/>
  <c r="W14" i="40"/>
  <c r="X14" i="40" s="1"/>
  <c r="O21" i="41"/>
  <c r="P21" i="41" s="1"/>
  <c r="W24" i="40"/>
  <c r="X24" i="40" s="1"/>
  <c r="S19" i="39"/>
  <c r="T19" i="39" s="1"/>
  <c r="W66" i="40"/>
  <c r="X66" i="40" s="1"/>
  <c r="U62" i="40"/>
  <c r="V62" i="40" s="1"/>
  <c r="U54" i="40"/>
  <c r="V54" i="40" s="1"/>
  <c r="Q12" i="38"/>
  <c r="R12" i="38" s="1"/>
  <c r="W56" i="40"/>
  <c r="X56" i="40" s="1"/>
  <c r="Q12" i="37"/>
  <c r="R12" i="37" s="1"/>
  <c r="U76" i="40"/>
  <c r="V76" i="40" s="1"/>
  <c r="Q45" i="37"/>
  <c r="R45" i="37" s="1"/>
  <c r="W63" i="40"/>
  <c r="X63" i="40" s="1"/>
  <c r="O13" i="36"/>
  <c r="P13" i="36" s="1"/>
  <c r="S95" i="36"/>
  <c r="T95" i="36" s="1"/>
  <c r="M44" i="41"/>
  <c r="N44" i="41" s="1"/>
  <c r="Q54" i="40"/>
  <c r="R54" i="40" s="1"/>
  <c r="W16" i="40"/>
  <c r="X16" i="40" s="1"/>
  <c r="U24" i="40"/>
  <c r="V24" i="40" s="1"/>
  <c r="Q45" i="40"/>
  <c r="R45" i="40" s="1"/>
  <c r="O18" i="41"/>
  <c r="P18" i="41" s="1"/>
  <c r="M16" i="39"/>
  <c r="N16" i="39" s="1"/>
  <c r="S59" i="41"/>
  <c r="T59" i="41" s="1"/>
  <c r="S42" i="41"/>
  <c r="T42" i="41" s="1"/>
  <c r="U26" i="40"/>
  <c r="V26" i="40" s="1"/>
  <c r="O12" i="39"/>
  <c r="P12" i="39" s="1"/>
  <c r="W21" i="40"/>
  <c r="X21" i="40" s="1"/>
  <c r="Q26" i="38"/>
  <c r="R26" i="38" s="1"/>
  <c r="Q29" i="38"/>
  <c r="R29" i="38" s="1"/>
  <c r="M29" i="38"/>
  <c r="N29" i="38" s="1"/>
  <c r="U10" i="40"/>
  <c r="V10" i="40" s="1"/>
  <c r="Q69" i="40"/>
  <c r="R69" i="40" s="1"/>
  <c r="O24" i="38"/>
  <c r="P24" i="38" s="1"/>
  <c r="O34" i="41"/>
  <c r="P34" i="41" s="1"/>
  <c r="Q20" i="38"/>
  <c r="R20" i="38" s="1"/>
  <c r="Q64" i="40"/>
  <c r="R64" i="40" s="1"/>
  <c r="M91" i="36"/>
  <c r="N91" i="36" s="1"/>
  <c r="O67" i="36"/>
  <c r="P67" i="36" s="1"/>
  <c r="M38" i="41"/>
  <c r="N38" i="41" s="1"/>
  <c r="M32" i="41"/>
  <c r="N32" i="41" s="1"/>
  <c r="Q54" i="37"/>
  <c r="R54" i="37" s="1"/>
  <c r="M57" i="36"/>
  <c r="N57" i="36" s="1"/>
  <c r="E57" i="36" s="1"/>
  <c r="S52" i="41"/>
  <c r="T52" i="41" s="1"/>
  <c r="W19" i="40"/>
  <c r="X19" i="40" s="1"/>
  <c r="S25" i="40"/>
  <c r="T25" i="40" s="1"/>
  <c r="M19" i="39"/>
  <c r="N19" i="39" s="1"/>
  <c r="M54" i="41"/>
  <c r="N54" i="41" s="1"/>
  <c r="M27" i="41"/>
  <c r="N27" i="41" s="1"/>
  <c r="Q60" i="37"/>
  <c r="R60" i="37" s="1"/>
  <c r="Q25" i="37"/>
  <c r="R25" i="37" s="1"/>
  <c r="M133" i="36"/>
  <c r="N133" i="36" s="1"/>
  <c r="F133" i="36" s="1"/>
  <c r="M11" i="36"/>
  <c r="N11" i="36" s="1"/>
  <c r="E11" i="36" s="1"/>
  <c r="M100" i="36"/>
  <c r="N100" i="36" s="1"/>
  <c r="F100" i="36" s="1"/>
  <c r="Q26" i="40"/>
  <c r="R26" i="40" s="1"/>
  <c r="W51" i="40"/>
  <c r="X51" i="40" s="1"/>
  <c r="S34" i="41"/>
  <c r="T34" i="41" s="1"/>
  <c r="Q9" i="41"/>
  <c r="R9" i="41" s="1"/>
  <c r="S15" i="39"/>
  <c r="T15" i="39" s="1"/>
  <c r="M14" i="38"/>
  <c r="N14" i="38" s="1"/>
  <c r="W38" i="40"/>
  <c r="X38" i="40" s="1"/>
  <c r="Q17" i="38"/>
  <c r="R17" i="38" s="1"/>
  <c r="S8" i="40"/>
  <c r="T8" i="40" s="1"/>
  <c r="W30" i="40"/>
  <c r="X30" i="40" s="1"/>
  <c r="U36" i="40"/>
  <c r="V36" i="40" s="1"/>
  <c r="W74" i="40"/>
  <c r="X74" i="40" s="1"/>
  <c r="Q17" i="41"/>
  <c r="R17" i="41" s="1"/>
  <c r="W33" i="40"/>
  <c r="X33" i="40" s="1"/>
  <c r="W36" i="40"/>
  <c r="X36" i="40" s="1"/>
  <c r="Q6" i="41"/>
  <c r="R6" i="41" s="1"/>
  <c r="Q58" i="41"/>
  <c r="R58" i="41" s="1"/>
  <c r="S20" i="38"/>
  <c r="T20" i="38" s="1"/>
  <c r="S43" i="40"/>
  <c r="T43" i="40" s="1"/>
  <c r="Q8" i="37"/>
  <c r="R8" i="37" s="1"/>
  <c r="S31" i="40"/>
  <c r="T31" i="40" s="1"/>
  <c r="U51" i="40"/>
  <c r="V51" i="40" s="1"/>
  <c r="Q46" i="41"/>
  <c r="R46" i="41" s="1"/>
  <c r="U22" i="40"/>
  <c r="V22" i="40" s="1"/>
  <c r="W61" i="40"/>
  <c r="X61" i="40" s="1"/>
  <c r="O52" i="41"/>
  <c r="P52" i="41" s="1"/>
  <c r="O114" i="36"/>
  <c r="P114" i="36" s="1"/>
  <c r="O134" i="36"/>
  <c r="P134" i="36" s="1"/>
  <c r="W21" i="37"/>
  <c r="X21" i="37" s="1"/>
  <c r="O65" i="36"/>
  <c r="P65" i="36" s="1"/>
  <c r="M47" i="41"/>
  <c r="N47" i="41" s="1"/>
  <c r="M42" i="41"/>
  <c r="N42" i="41" s="1"/>
  <c r="Q61" i="37"/>
  <c r="R61" i="37" s="1"/>
  <c r="Q24" i="37"/>
  <c r="R24" i="37" s="1"/>
  <c r="M134" i="36"/>
  <c r="N134" i="36" s="1"/>
  <c r="F134" i="36" s="1"/>
  <c r="M83" i="36"/>
  <c r="N83" i="36" s="1"/>
  <c r="M68" i="36"/>
  <c r="N68" i="36" s="1"/>
  <c r="F68" i="36" s="1"/>
  <c r="M7" i="36"/>
  <c r="N7" i="36" s="1"/>
  <c r="E7" i="36" s="1"/>
  <c r="M101" i="36"/>
  <c r="N101" i="36" s="1"/>
  <c r="E101" i="36" s="1"/>
  <c r="W52" i="40"/>
  <c r="X52" i="40" s="1"/>
  <c r="W8" i="40"/>
  <c r="X8" i="40" s="1"/>
  <c r="Q10" i="39"/>
  <c r="R10" i="39" s="1"/>
  <c r="S9" i="40"/>
  <c r="T9" i="40" s="1"/>
  <c r="Q73" i="40"/>
  <c r="R73" i="40" s="1"/>
  <c r="Q28" i="41"/>
  <c r="R28" i="41" s="1"/>
  <c r="S7" i="38"/>
  <c r="T7" i="38" s="1"/>
  <c r="S40" i="40"/>
  <c r="T40" i="40" s="1"/>
  <c r="U66" i="40"/>
  <c r="V66" i="40" s="1"/>
  <c r="S8" i="41"/>
  <c r="T8" i="41" s="1"/>
  <c r="Q30" i="40"/>
  <c r="R30" i="40" s="1"/>
  <c r="Q37" i="40"/>
  <c r="R37" i="40" s="1"/>
  <c r="M19" i="38"/>
  <c r="N19" i="38" s="1"/>
  <c r="W50" i="40"/>
  <c r="X50" i="40" s="1"/>
  <c r="Q24" i="38"/>
  <c r="R24" i="38" s="1"/>
  <c r="M23" i="38"/>
  <c r="N23" i="38" s="1"/>
  <c r="U21" i="40"/>
  <c r="V21" i="40" s="1"/>
  <c r="Q22" i="39"/>
  <c r="R22" i="39" s="1"/>
  <c r="Q48" i="40"/>
  <c r="R48" i="40" s="1"/>
  <c r="U15" i="40"/>
  <c r="V15" i="40" s="1"/>
  <c r="W73" i="40"/>
  <c r="X73" i="40" s="1"/>
  <c r="W76" i="37"/>
  <c r="X76" i="37" s="1"/>
  <c r="S38" i="41"/>
  <c r="T38" i="41" s="1"/>
  <c r="Q124" i="36"/>
  <c r="R124" i="36" s="1"/>
  <c r="Q136" i="36"/>
  <c r="R136" i="36" s="1"/>
  <c r="W18" i="37"/>
  <c r="X18" i="37" s="1"/>
  <c r="O42" i="36"/>
  <c r="P42" i="36" s="1"/>
  <c r="Q62" i="37"/>
  <c r="R62" i="37" s="1"/>
  <c r="G62" i="37" s="1"/>
  <c r="J62" i="37" s="1"/>
  <c r="AC62" i="37" s="1"/>
  <c r="Q26" i="37"/>
  <c r="R26" i="37" s="1"/>
  <c r="G26" i="37" s="1"/>
  <c r="J26" i="37" s="1"/>
  <c r="AC26" i="37" s="1"/>
  <c r="Q68" i="40"/>
  <c r="R68" i="40" s="1"/>
  <c r="M67" i="36"/>
  <c r="N67" i="36" s="1"/>
  <c r="E67" i="36" s="1"/>
  <c r="M50" i="36"/>
  <c r="N50" i="36" s="1"/>
  <c r="U60" i="40"/>
  <c r="V60" i="40" s="1"/>
  <c r="Q57" i="40"/>
  <c r="R57" i="40" s="1"/>
  <c r="S12" i="39"/>
  <c r="T12" i="39" s="1"/>
  <c r="S14" i="39"/>
  <c r="T14" i="39" s="1"/>
  <c r="Q9" i="38"/>
  <c r="R9" i="38" s="1"/>
  <c r="W76" i="40"/>
  <c r="X76" i="40" s="1"/>
  <c r="Q28" i="40"/>
  <c r="R28" i="40" s="1"/>
  <c r="O10" i="39"/>
  <c r="P10" i="39" s="1"/>
  <c r="Q26" i="41"/>
  <c r="R26" i="41" s="1"/>
  <c r="S7" i="39"/>
  <c r="T7" i="39" s="1"/>
  <c r="S75" i="40"/>
  <c r="T75" i="40" s="1"/>
  <c r="S16" i="39"/>
  <c r="T16" i="39" s="1"/>
  <c r="M15" i="38"/>
  <c r="N15" i="38" s="1"/>
  <c r="O6" i="41"/>
  <c r="P6" i="41" s="1"/>
  <c r="S8" i="38"/>
  <c r="T8" i="38" s="1"/>
  <c r="O54" i="41"/>
  <c r="P54" i="41" s="1"/>
  <c r="O51" i="41"/>
  <c r="P51" i="41" s="1"/>
  <c r="S73" i="40"/>
  <c r="T73" i="40" s="1"/>
  <c r="S33" i="41"/>
  <c r="T33" i="41" s="1"/>
  <c r="W6" i="40"/>
  <c r="X6" i="40" s="1"/>
  <c r="S6" i="40"/>
  <c r="T6" i="40" s="1"/>
  <c r="S26" i="38"/>
  <c r="T26" i="38" s="1"/>
  <c r="F26" i="38" s="1"/>
  <c r="O22" i="39"/>
  <c r="P22" i="39" s="1"/>
  <c r="W22" i="40"/>
  <c r="X22" i="40" s="1"/>
  <c r="Q59" i="41"/>
  <c r="R59" i="41" s="1"/>
  <c r="S45" i="40"/>
  <c r="T45" i="40" s="1"/>
  <c r="W58" i="40"/>
  <c r="X58" i="40" s="1"/>
  <c r="Q68" i="36"/>
  <c r="R68" i="36" s="1"/>
  <c r="S61" i="36"/>
  <c r="T61" i="36" s="1"/>
  <c r="S15" i="36"/>
  <c r="T15" i="36" s="1"/>
  <c r="W43" i="40"/>
  <c r="X43" i="40" s="1"/>
  <c r="Q11" i="39"/>
  <c r="R11" i="39" s="1"/>
  <c r="W28" i="40"/>
  <c r="X28" i="40" s="1"/>
  <c r="U39" i="40"/>
  <c r="V39" i="40" s="1"/>
  <c r="Q13" i="38"/>
  <c r="R13" i="38" s="1"/>
  <c r="S27" i="38"/>
  <c r="T27" i="38" s="1"/>
  <c r="Q12" i="41"/>
  <c r="R12" i="41" s="1"/>
  <c r="U27" i="40"/>
  <c r="V27" i="40" s="1"/>
  <c r="S8" i="39"/>
  <c r="T8" i="39" s="1"/>
  <c r="Q62" i="41"/>
  <c r="R62" i="41" s="1"/>
  <c r="Q9" i="39"/>
  <c r="R9" i="39" s="1"/>
  <c r="S39" i="41"/>
  <c r="T39" i="41" s="1"/>
  <c r="Q24" i="41"/>
  <c r="R24" i="41" s="1"/>
  <c r="S32" i="41"/>
  <c r="T32" i="41" s="1"/>
  <c r="O53" i="41"/>
  <c r="P53" i="41" s="1"/>
  <c r="W60" i="40"/>
  <c r="X60" i="40" s="1"/>
  <c r="O19" i="38"/>
  <c r="P19" i="38" s="1"/>
  <c r="U50" i="40"/>
  <c r="V50" i="40" s="1"/>
  <c r="O16" i="38"/>
  <c r="P16" i="38" s="1"/>
  <c r="Q22" i="41"/>
  <c r="R22" i="41" s="1"/>
  <c r="S54" i="40"/>
  <c r="T54" i="40" s="1"/>
  <c r="Q23" i="38"/>
  <c r="R23" i="38" s="1"/>
  <c r="Q16" i="41"/>
  <c r="R16" i="41" s="1"/>
  <c r="S64" i="41"/>
  <c r="T64" i="41" s="1"/>
  <c r="U8" i="40"/>
  <c r="V8" i="40" s="1"/>
  <c r="O100" i="36"/>
  <c r="P100" i="36" s="1"/>
  <c r="O29" i="33"/>
  <c r="P29" i="33" s="1"/>
  <c r="Q39" i="41"/>
  <c r="R39" i="41" s="1"/>
  <c r="O64" i="41"/>
  <c r="P64" i="41" s="1"/>
  <c r="M13" i="38"/>
  <c r="N13" i="38" s="1"/>
  <c r="W25" i="40"/>
  <c r="X25" i="40" s="1"/>
  <c r="O11" i="38"/>
  <c r="P11" i="38" s="1"/>
  <c r="S61" i="40"/>
  <c r="T61" i="40" s="1"/>
  <c r="W31" i="40"/>
  <c r="X31" i="40" s="1"/>
  <c r="O8" i="39"/>
  <c r="P8" i="39" s="1"/>
  <c r="Q34" i="41"/>
  <c r="R34" i="41" s="1"/>
  <c r="S36" i="40"/>
  <c r="T36" i="40" s="1"/>
  <c r="S29" i="39"/>
  <c r="T29" i="39" s="1"/>
  <c r="W75" i="40"/>
  <c r="X75" i="40" s="1"/>
  <c r="Q76" i="40"/>
  <c r="R76" i="40" s="1"/>
  <c r="O23" i="39"/>
  <c r="P23" i="39" s="1"/>
  <c r="Q32" i="40"/>
  <c r="R32" i="40" s="1"/>
  <c r="S20" i="40"/>
  <c r="T20" i="40" s="1"/>
  <c r="U61" i="40"/>
  <c r="V61" i="40" s="1"/>
  <c r="S22" i="39"/>
  <c r="T22" i="39" s="1"/>
  <c r="O7" i="38"/>
  <c r="P7" i="38" s="1"/>
  <c r="M24" i="38"/>
  <c r="N24" i="38" s="1"/>
  <c r="U32" i="40"/>
  <c r="V32" i="40" s="1"/>
  <c r="S94" i="36"/>
  <c r="T94" i="36" s="1"/>
  <c r="O27" i="33"/>
  <c r="P27" i="33" s="1"/>
  <c r="S15" i="33"/>
  <c r="T15" i="33" s="1"/>
  <c r="S70" i="37"/>
  <c r="T70" i="37" s="1"/>
  <c r="Q49" i="41"/>
  <c r="R49" i="41" s="1"/>
  <c r="M31" i="41"/>
  <c r="N31" i="41" s="1"/>
  <c r="M109" i="36"/>
  <c r="N109" i="36" s="1"/>
  <c r="Q52" i="36"/>
  <c r="R52" i="36" s="1"/>
  <c r="S33" i="36"/>
  <c r="T33" i="36" s="1"/>
  <c r="O62" i="36"/>
  <c r="P62" i="36" s="1"/>
  <c r="Q110" i="36"/>
  <c r="R110" i="36" s="1"/>
  <c r="M40" i="36"/>
  <c r="N40" i="36" s="1"/>
  <c r="O75" i="36"/>
  <c r="P75" i="36" s="1"/>
  <c r="O74" i="36"/>
  <c r="P74" i="36" s="1"/>
  <c r="S118" i="36"/>
  <c r="T118" i="36" s="1"/>
  <c r="F118" i="36" s="1"/>
  <c r="S84" i="36"/>
  <c r="T84" i="36" s="1"/>
  <c r="S63" i="36"/>
  <c r="T63" i="36" s="1"/>
  <c r="M96" i="36"/>
  <c r="N96" i="36" s="1"/>
  <c r="M106" i="36"/>
  <c r="N106" i="36" s="1"/>
  <c r="O118" i="36"/>
  <c r="P118" i="36" s="1"/>
  <c r="M110" i="36"/>
  <c r="N110" i="36" s="1"/>
  <c r="Q86" i="36"/>
  <c r="R86" i="36" s="1"/>
  <c r="S19" i="36"/>
  <c r="T19" i="36" s="1"/>
  <c r="O30" i="36"/>
  <c r="P30" i="36" s="1"/>
  <c r="Q77" i="36"/>
  <c r="R77" i="36" s="1"/>
  <c r="S100" i="36"/>
  <c r="T100" i="36" s="1"/>
  <c r="W42" i="37"/>
  <c r="X42" i="37" s="1"/>
  <c r="O26" i="33"/>
  <c r="P26" i="33" s="1"/>
  <c r="O16" i="33"/>
  <c r="P16" i="33" s="1"/>
  <c r="O10" i="33"/>
  <c r="P10" i="33" s="1"/>
  <c r="O123" i="36"/>
  <c r="P123" i="36" s="1"/>
  <c r="Q26" i="36"/>
  <c r="R26" i="36" s="1"/>
  <c r="Q11" i="33"/>
  <c r="R11" i="33" s="1"/>
  <c r="S135" i="36"/>
  <c r="T135" i="36" s="1"/>
  <c r="O45" i="36"/>
  <c r="P45" i="36" s="1"/>
  <c r="S24" i="39"/>
  <c r="T24" i="39" s="1"/>
  <c r="S37" i="37"/>
  <c r="T37" i="37" s="1"/>
  <c r="U33" i="37"/>
  <c r="V33" i="37" s="1"/>
  <c r="S75" i="37"/>
  <c r="T75" i="37" s="1"/>
  <c r="M58" i="36"/>
  <c r="N58" i="36" s="1"/>
  <c r="O72" i="36"/>
  <c r="P72" i="36" s="1"/>
  <c r="Q103" i="36"/>
  <c r="R103" i="36" s="1"/>
  <c r="Q16" i="38"/>
  <c r="R16" i="38" s="1"/>
  <c r="U67" i="37"/>
  <c r="V67" i="37" s="1"/>
  <c r="S60" i="37"/>
  <c r="T60" i="37" s="1"/>
  <c r="S67" i="37"/>
  <c r="T67" i="37" s="1"/>
  <c r="Q28" i="36"/>
  <c r="R28" i="36" s="1"/>
  <c r="Q19" i="33"/>
  <c r="R19" i="33" s="1"/>
  <c r="O125" i="36"/>
  <c r="P125" i="36" s="1"/>
  <c r="O94" i="36"/>
  <c r="P94" i="36" s="1"/>
  <c r="S48" i="36"/>
  <c r="T48" i="36" s="1"/>
  <c r="U26" i="37"/>
  <c r="V26" i="37" s="1"/>
  <c r="Q39" i="37"/>
  <c r="R39" i="37" s="1"/>
  <c r="O12" i="33"/>
  <c r="P12" i="33" s="1"/>
  <c r="M39" i="36"/>
  <c r="N39" i="36" s="1"/>
  <c r="S116" i="36"/>
  <c r="T116" i="36" s="1"/>
  <c r="M70" i="36"/>
  <c r="N70" i="36" s="1"/>
  <c r="Q24" i="36"/>
  <c r="R24" i="36" s="1"/>
  <c r="U74" i="37"/>
  <c r="V74" i="37" s="1"/>
  <c r="Q23" i="41"/>
  <c r="R23" i="41" s="1"/>
  <c r="Q8" i="38"/>
  <c r="R8" i="38" s="1"/>
  <c r="S74" i="40"/>
  <c r="T74" i="40" s="1"/>
  <c r="O57" i="41"/>
  <c r="P57" i="41" s="1"/>
  <c r="Q21" i="41"/>
  <c r="R21" i="41" s="1"/>
  <c r="Q20" i="39"/>
  <c r="R20" i="39" s="1"/>
  <c r="S61" i="37"/>
  <c r="T61" i="37" s="1"/>
  <c r="W39" i="37"/>
  <c r="X39" i="37" s="1"/>
  <c r="Q46" i="37"/>
  <c r="R46" i="37" s="1"/>
  <c r="S17" i="41"/>
  <c r="T17" i="41" s="1"/>
  <c r="S26" i="40"/>
  <c r="T26" i="40" s="1"/>
  <c r="Q40" i="40"/>
  <c r="R40" i="40" s="1"/>
  <c r="U75" i="37"/>
  <c r="V75" i="37" s="1"/>
  <c r="W46" i="37"/>
  <c r="X46" i="37" s="1"/>
  <c r="W69" i="37"/>
  <c r="X69" i="37" s="1"/>
  <c r="M41" i="41"/>
  <c r="N41" i="41" s="1"/>
  <c r="F41" i="41" s="1"/>
  <c r="Q74" i="37"/>
  <c r="R74" i="37" s="1"/>
  <c r="H74" i="37" s="1"/>
  <c r="M21" i="39"/>
  <c r="N21" i="39" s="1"/>
  <c r="W57" i="40"/>
  <c r="X57" i="40" s="1"/>
  <c r="S22" i="38"/>
  <c r="T22" i="38" s="1"/>
  <c r="O23" i="38"/>
  <c r="P23" i="38" s="1"/>
  <c r="Q11" i="41"/>
  <c r="R11" i="41" s="1"/>
  <c r="O6" i="39"/>
  <c r="P6" i="39" s="1"/>
  <c r="O37" i="36"/>
  <c r="P37" i="36" s="1"/>
  <c r="Q43" i="41"/>
  <c r="R43" i="41" s="1"/>
  <c r="O37" i="41"/>
  <c r="P37" i="41" s="1"/>
  <c r="Q53" i="36"/>
  <c r="R53" i="36" s="1"/>
  <c r="O31" i="36"/>
  <c r="P31" i="36" s="1"/>
  <c r="S41" i="36"/>
  <c r="T41" i="36" s="1"/>
  <c r="S29" i="36"/>
  <c r="T29" i="36" s="1"/>
  <c r="O64" i="36"/>
  <c r="P64" i="36" s="1"/>
  <c r="S87" i="36"/>
  <c r="T87" i="36" s="1"/>
  <c r="Q108" i="36"/>
  <c r="R108" i="36" s="1"/>
  <c r="Q98" i="36"/>
  <c r="R98" i="36" s="1"/>
  <c r="M98" i="36"/>
  <c r="N98" i="36" s="1"/>
  <c r="Q84" i="36"/>
  <c r="R84" i="36" s="1"/>
  <c r="O97" i="36"/>
  <c r="P97" i="36" s="1"/>
  <c r="O129" i="36"/>
  <c r="P129" i="36" s="1"/>
  <c r="O32" i="36"/>
  <c r="P32" i="36" s="1"/>
  <c r="S20" i="36"/>
  <c r="T20" i="36" s="1"/>
  <c r="S54" i="36"/>
  <c r="T54" i="36" s="1"/>
  <c r="M99" i="36"/>
  <c r="N99" i="36" s="1"/>
  <c r="M44" i="36"/>
  <c r="N44" i="36" s="1"/>
  <c r="O68" i="36"/>
  <c r="P68" i="36" s="1"/>
  <c r="S9" i="33"/>
  <c r="T9" i="33" s="1"/>
  <c r="S14" i="33"/>
  <c r="T14" i="33" s="1"/>
  <c r="S26" i="36"/>
  <c r="T26" i="36" s="1"/>
  <c r="S10" i="33"/>
  <c r="T10" i="33" s="1"/>
  <c r="S114" i="36"/>
  <c r="T114" i="36" s="1"/>
  <c r="Q35" i="36"/>
  <c r="R35" i="36" s="1"/>
  <c r="S24" i="33"/>
  <c r="T24" i="33" s="1"/>
  <c r="O124" i="36"/>
  <c r="P124" i="36" s="1"/>
  <c r="O36" i="36"/>
  <c r="P36" i="36" s="1"/>
  <c r="S11" i="41"/>
  <c r="T11" i="41" s="1"/>
  <c r="W19" i="37"/>
  <c r="X19" i="37" s="1"/>
  <c r="S22" i="37"/>
  <c r="T22" i="37" s="1"/>
  <c r="U42" i="37"/>
  <c r="V42" i="37" s="1"/>
  <c r="S35" i="36"/>
  <c r="T35" i="36" s="1"/>
  <c r="Q58" i="36"/>
  <c r="R58" i="36" s="1"/>
  <c r="O103" i="36"/>
  <c r="P103" i="36" s="1"/>
  <c r="O7" i="39"/>
  <c r="P7" i="39" s="1"/>
  <c r="S21" i="37"/>
  <c r="T21" i="37" s="1"/>
  <c r="Q57" i="37"/>
  <c r="R57" i="37" s="1"/>
  <c r="Q12" i="36"/>
  <c r="R12" i="36" s="1"/>
  <c r="S25" i="36"/>
  <c r="T25" i="36" s="1"/>
  <c r="O15" i="33"/>
  <c r="P15" i="33" s="1"/>
  <c r="S6" i="33"/>
  <c r="T6" i="33" s="1"/>
  <c r="O133" i="36"/>
  <c r="P133" i="36" s="1"/>
  <c r="M81" i="36"/>
  <c r="N81" i="36" s="1"/>
  <c r="Q47" i="36"/>
  <c r="R47" i="36" s="1"/>
  <c r="W49" i="37"/>
  <c r="X49" i="37" s="1"/>
  <c r="U73" i="37"/>
  <c r="V73" i="37" s="1"/>
  <c r="S27" i="33"/>
  <c r="T27" i="33" s="1"/>
  <c r="M16" i="33"/>
  <c r="N16" i="33" s="1"/>
  <c r="M103" i="36"/>
  <c r="N103" i="36" s="1"/>
  <c r="S80" i="36"/>
  <c r="T80" i="36" s="1"/>
  <c r="S14" i="36"/>
  <c r="T14" i="36" s="1"/>
  <c r="S49" i="37"/>
  <c r="T49" i="37" s="1"/>
  <c r="O24" i="39"/>
  <c r="P24" i="39" s="1"/>
  <c r="Q8" i="41"/>
  <c r="R8" i="41" s="1"/>
  <c r="S23" i="38"/>
  <c r="T23" i="38" s="1"/>
  <c r="Q54" i="41"/>
  <c r="R54" i="41" s="1"/>
  <c r="U13" i="40"/>
  <c r="V13" i="40" s="1"/>
  <c r="S18" i="39"/>
  <c r="T18" i="39" s="1"/>
  <c r="S8" i="37"/>
  <c r="T8" i="37" s="1"/>
  <c r="W12" i="37"/>
  <c r="X12" i="37" s="1"/>
  <c r="U14" i="37"/>
  <c r="V14" i="37" s="1"/>
  <c r="W15" i="37"/>
  <c r="X15" i="37" s="1"/>
  <c r="S24" i="40"/>
  <c r="T24" i="40" s="1"/>
  <c r="O28" i="39"/>
  <c r="P28" i="39" s="1"/>
  <c r="S72" i="40"/>
  <c r="T72" i="40" s="1"/>
  <c r="U31" i="37"/>
  <c r="V31" i="37" s="1"/>
  <c r="Q133" i="36"/>
  <c r="R133" i="36" s="1"/>
  <c r="Q61" i="41"/>
  <c r="R61" i="41" s="1"/>
  <c r="O49" i="41"/>
  <c r="P49" i="41" s="1"/>
  <c r="M65" i="36"/>
  <c r="N65" i="36" s="1"/>
  <c r="S53" i="36"/>
  <c r="T53" i="36" s="1"/>
  <c r="O108" i="36"/>
  <c r="P108" i="36" s="1"/>
  <c r="Q51" i="36"/>
  <c r="R51" i="36" s="1"/>
  <c r="S88" i="36"/>
  <c r="T88" i="36" s="1"/>
  <c r="M97" i="36"/>
  <c r="N97" i="36" s="1"/>
  <c r="M118" i="36"/>
  <c r="N118" i="36" s="1"/>
  <c r="O29" i="36"/>
  <c r="P29" i="36" s="1"/>
  <c r="M132" i="36"/>
  <c r="N132" i="36" s="1"/>
  <c r="S107" i="36"/>
  <c r="T107" i="36" s="1"/>
  <c r="S129" i="36"/>
  <c r="T129" i="36" s="1"/>
  <c r="Q22" i="36"/>
  <c r="R22" i="36" s="1"/>
  <c r="O44" i="36"/>
  <c r="P44" i="36" s="1"/>
  <c r="M63" i="36"/>
  <c r="N63" i="36" s="1"/>
  <c r="Q73" i="36"/>
  <c r="R73" i="36" s="1"/>
  <c r="M117" i="36"/>
  <c r="N117" i="36" s="1"/>
  <c r="S73" i="36"/>
  <c r="T73" i="36" s="1"/>
  <c r="S36" i="36"/>
  <c r="T36" i="36" s="1"/>
  <c r="S24" i="38"/>
  <c r="T24" i="38" s="1"/>
  <c r="M13" i="33"/>
  <c r="N13" i="33" s="1"/>
  <c r="Q25" i="33"/>
  <c r="R25" i="33" s="1"/>
  <c r="Q14" i="36"/>
  <c r="R14" i="36" s="1"/>
  <c r="S11" i="33"/>
  <c r="T11" i="33" s="1"/>
  <c r="S113" i="36"/>
  <c r="T113" i="36" s="1"/>
  <c r="O6" i="36"/>
  <c r="P6" i="36" s="1"/>
  <c r="Q9" i="33"/>
  <c r="R9" i="33" s="1"/>
  <c r="O116" i="36"/>
  <c r="P116" i="36" s="1"/>
  <c r="S24" i="36"/>
  <c r="T24" i="36" s="1"/>
  <c r="O13" i="39"/>
  <c r="P13" i="39" s="1"/>
  <c r="U39" i="37"/>
  <c r="V39" i="37" s="1"/>
  <c r="S28" i="37"/>
  <c r="T28" i="37" s="1"/>
  <c r="U69" i="37"/>
  <c r="V69" i="37" s="1"/>
  <c r="Q50" i="36"/>
  <c r="R50" i="36" s="1"/>
  <c r="Q89" i="36"/>
  <c r="R89" i="36" s="1"/>
  <c r="O11" i="39"/>
  <c r="P11" i="39" s="1"/>
  <c r="O24" i="41"/>
  <c r="P24" i="41" s="1"/>
  <c r="S42" i="37"/>
  <c r="T42" i="37" s="1"/>
  <c r="W31" i="37"/>
  <c r="X31" i="37" s="1"/>
  <c r="O10" i="36"/>
  <c r="P10" i="36" s="1"/>
  <c r="M25" i="36"/>
  <c r="N25" i="36" s="1"/>
  <c r="Q24" i="33"/>
  <c r="R24" i="33" s="1"/>
  <c r="S12" i="33"/>
  <c r="T12" i="33" s="1"/>
  <c r="S133" i="36"/>
  <c r="T133" i="36" s="1"/>
  <c r="O46" i="36"/>
  <c r="P46" i="36" s="1"/>
  <c r="U20" i="37"/>
  <c r="V20" i="37" s="1"/>
  <c r="S24" i="41"/>
  <c r="T24" i="41" s="1"/>
  <c r="S25" i="33"/>
  <c r="T25" i="33" s="1"/>
  <c r="M17" i="33"/>
  <c r="N17" i="33" s="1"/>
  <c r="F17" i="33" s="1"/>
  <c r="O105" i="36"/>
  <c r="P105" i="36" s="1"/>
  <c r="O69" i="36"/>
  <c r="P69" i="36" s="1"/>
  <c r="Q13" i="36"/>
  <c r="R13" i="36" s="1"/>
  <c r="U64" i="37"/>
  <c r="V64" i="37" s="1"/>
  <c r="M13" i="36"/>
  <c r="N13" i="36" s="1"/>
  <c r="Q57" i="41"/>
  <c r="R57" i="41" s="1"/>
  <c r="S14" i="38"/>
  <c r="T14" i="38" s="1"/>
  <c r="W40" i="40"/>
  <c r="X40" i="40" s="1"/>
  <c r="S56" i="41"/>
  <c r="T56" i="41" s="1"/>
  <c r="Q74" i="40"/>
  <c r="R74" i="40" s="1"/>
  <c r="W9" i="37"/>
  <c r="X9" i="37" s="1"/>
  <c r="S62" i="37"/>
  <c r="T62" i="37" s="1"/>
  <c r="U12" i="37"/>
  <c r="V12" i="37" s="1"/>
  <c r="S38" i="37"/>
  <c r="T38" i="37" s="1"/>
  <c r="U38" i="40"/>
  <c r="V38" i="40" s="1"/>
  <c r="S25" i="39"/>
  <c r="T25" i="39" s="1"/>
  <c r="W55" i="40"/>
  <c r="X55" i="40" s="1"/>
  <c r="W51" i="37"/>
  <c r="X51" i="37" s="1"/>
  <c r="U58" i="37"/>
  <c r="V58" i="37" s="1"/>
  <c r="W56" i="37"/>
  <c r="X56" i="37" s="1"/>
  <c r="M24" i="41"/>
  <c r="N24" i="41" s="1"/>
  <c r="Q7" i="37"/>
  <c r="R7" i="37" s="1"/>
  <c r="U74" i="40"/>
  <c r="V74" i="40" s="1"/>
  <c r="Q9" i="36"/>
  <c r="R9" i="36" s="1"/>
  <c r="Q13" i="41"/>
  <c r="R13" i="41" s="1"/>
  <c r="M43" i="41"/>
  <c r="N43" i="41" s="1"/>
  <c r="S43" i="36"/>
  <c r="T43" i="36" s="1"/>
  <c r="O63" i="36"/>
  <c r="P63" i="36" s="1"/>
  <c r="E63" i="36" s="1"/>
  <c r="M74" i="36"/>
  <c r="N74" i="36" s="1"/>
  <c r="F74" i="36" s="1"/>
  <c r="M121" i="36"/>
  <c r="N121" i="36" s="1"/>
  <c r="Q75" i="36"/>
  <c r="R75" i="36" s="1"/>
  <c r="S97" i="36"/>
  <c r="T97" i="36" s="1"/>
  <c r="O119" i="36"/>
  <c r="P119" i="36" s="1"/>
  <c r="Q19" i="36"/>
  <c r="R19" i="36" s="1"/>
  <c r="Q41" i="36"/>
  <c r="R41" i="36" s="1"/>
  <c r="M131" i="36"/>
  <c r="N131" i="36" s="1"/>
  <c r="Q106" i="36"/>
  <c r="R106" i="36" s="1"/>
  <c r="Q20" i="36"/>
  <c r="R20" i="36" s="1"/>
  <c r="M64" i="36"/>
  <c r="N64" i="36" s="1"/>
  <c r="O96" i="36"/>
  <c r="P96" i="36" s="1"/>
  <c r="S131" i="36"/>
  <c r="T131" i="36" s="1"/>
  <c r="Q87" i="36"/>
  <c r="R87" i="36" s="1"/>
  <c r="O22" i="33"/>
  <c r="P22" i="33" s="1"/>
  <c r="W64" i="37"/>
  <c r="X64" i="37" s="1"/>
  <c r="Q125" i="36"/>
  <c r="R125" i="36" s="1"/>
  <c r="Q8" i="36"/>
  <c r="R8" i="36" s="1"/>
  <c r="Q113" i="36"/>
  <c r="R113" i="36" s="1"/>
  <c r="Q10" i="36"/>
  <c r="R10" i="36" s="1"/>
  <c r="Q26" i="33"/>
  <c r="R26" i="33" s="1"/>
  <c r="O113" i="36"/>
  <c r="P113" i="36" s="1"/>
  <c r="M14" i="36"/>
  <c r="N14" i="36" s="1"/>
  <c r="U31" i="40"/>
  <c r="V31" i="40" s="1"/>
  <c r="S36" i="37"/>
  <c r="T36" i="37" s="1"/>
  <c r="W14" i="37"/>
  <c r="X14" i="37" s="1"/>
  <c r="S26" i="37"/>
  <c r="T26" i="37" s="1"/>
  <c r="O35" i="36"/>
  <c r="P35" i="36" s="1"/>
  <c r="Q81" i="36"/>
  <c r="R81" i="36" s="1"/>
  <c r="M17" i="38"/>
  <c r="N17" i="38" s="1"/>
  <c r="U69" i="40"/>
  <c r="V69" i="40" s="1"/>
  <c r="W7" i="37"/>
  <c r="X7" i="37" s="1"/>
  <c r="U43" i="37"/>
  <c r="V43" i="37" s="1"/>
  <c r="O9" i="36"/>
  <c r="P9" i="36" s="1"/>
  <c r="S28" i="33"/>
  <c r="T28" i="33" s="1"/>
  <c r="Q18" i="33"/>
  <c r="R18" i="33" s="1"/>
  <c r="S122" i="36"/>
  <c r="T122" i="36" s="1"/>
  <c r="S90" i="36"/>
  <c r="T90" i="36" s="1"/>
  <c r="O28" i="36"/>
  <c r="P28" i="36" s="1"/>
  <c r="S66" i="37"/>
  <c r="T66" i="37" s="1"/>
  <c r="S20" i="39"/>
  <c r="T20" i="39" s="1"/>
  <c r="Q17" i="33"/>
  <c r="R17" i="33" s="1"/>
  <c r="M29" i="33"/>
  <c r="N29" i="33" s="1"/>
  <c r="F29" i="33" s="1"/>
  <c r="O112" i="36"/>
  <c r="P112" i="36" s="1"/>
  <c r="S68" i="36"/>
  <c r="T68" i="36" s="1"/>
  <c r="S10" i="36"/>
  <c r="T10" i="36" s="1"/>
  <c r="Q69" i="37"/>
  <c r="R69" i="37" s="1"/>
  <c r="M22" i="33"/>
  <c r="N22" i="33" s="1"/>
  <c r="Q67" i="40"/>
  <c r="R67" i="40" s="1"/>
  <c r="S10" i="40"/>
  <c r="T10" i="40" s="1"/>
  <c r="S18" i="38"/>
  <c r="T18" i="38" s="1"/>
  <c r="S28" i="38"/>
  <c r="T28" i="38" s="1"/>
  <c r="S26" i="41"/>
  <c r="T26" i="41" s="1"/>
  <c r="Q6" i="38"/>
  <c r="R6" i="38" s="1"/>
  <c r="S55" i="40"/>
  <c r="T55" i="40" s="1"/>
  <c r="S10" i="37"/>
  <c r="T10" i="37" s="1"/>
  <c r="U16" i="37"/>
  <c r="V16" i="37" s="1"/>
  <c r="S63" i="37"/>
  <c r="T63" i="37" s="1"/>
  <c r="U7" i="37"/>
  <c r="V7" i="37" s="1"/>
  <c r="U33" i="40"/>
  <c r="V33" i="40" s="1"/>
  <c r="S51" i="41"/>
  <c r="T51" i="41" s="1"/>
  <c r="S37" i="40"/>
  <c r="T37" i="40" s="1"/>
  <c r="U72" i="37"/>
  <c r="V72" i="37" s="1"/>
  <c r="W62" i="37"/>
  <c r="X62" i="37" s="1"/>
  <c r="Q58" i="37"/>
  <c r="R58" i="37" s="1"/>
  <c r="M18" i="38"/>
  <c r="N18" i="38" s="1"/>
  <c r="U64" i="40"/>
  <c r="V64" i="40" s="1"/>
  <c r="Q23" i="39"/>
  <c r="R23" i="39" s="1"/>
  <c r="O25" i="39"/>
  <c r="P25" i="39" s="1"/>
  <c r="M27" i="38"/>
  <c r="N27" i="38" s="1"/>
  <c r="O7" i="41"/>
  <c r="P7" i="41" s="1"/>
  <c r="S19" i="41"/>
  <c r="T19" i="41" s="1"/>
  <c r="O61" i="41"/>
  <c r="P61" i="41" s="1"/>
  <c r="E61" i="41" s="1"/>
  <c r="S66" i="36"/>
  <c r="T66" i="36" s="1"/>
  <c r="M84" i="36"/>
  <c r="N84" i="36" s="1"/>
  <c r="S110" i="36"/>
  <c r="T110" i="36" s="1"/>
  <c r="M129" i="36"/>
  <c r="N129" i="36" s="1"/>
  <c r="Q95" i="36"/>
  <c r="R95" i="36" s="1"/>
  <c r="S119" i="36"/>
  <c r="T119" i="36" s="1"/>
  <c r="Q63" i="36"/>
  <c r="R63" i="36" s="1"/>
  <c r="Q76" i="36"/>
  <c r="R76" i="36" s="1"/>
  <c r="Q62" i="36"/>
  <c r="R62" i="36" s="1"/>
  <c r="Q43" i="36"/>
  <c r="R43" i="36" s="1"/>
  <c r="S44" i="36"/>
  <c r="T44" i="36" s="1"/>
  <c r="S51" i="36"/>
  <c r="T51" i="36" s="1"/>
  <c r="S75" i="36"/>
  <c r="T75" i="36" s="1"/>
  <c r="O99" i="36"/>
  <c r="P99" i="36" s="1"/>
  <c r="O106" i="36"/>
  <c r="P106" i="36" s="1"/>
  <c r="Q132" i="36"/>
  <c r="R132" i="36" s="1"/>
  <c r="Q20" i="33"/>
  <c r="R20" i="33" s="1"/>
  <c r="W55" i="37"/>
  <c r="X55" i="37" s="1"/>
  <c r="S124" i="36"/>
  <c r="T124" i="36" s="1"/>
  <c r="Q134" i="36"/>
  <c r="R134" i="36" s="1"/>
  <c r="W57" i="37"/>
  <c r="X57" i="37" s="1"/>
  <c r="O13" i="33"/>
  <c r="P13" i="33" s="1"/>
  <c r="M92" i="36"/>
  <c r="N92" i="36" s="1"/>
  <c r="U54" i="37"/>
  <c r="V54" i="37" s="1"/>
  <c r="Q112" i="36"/>
  <c r="R112" i="36" s="1"/>
  <c r="Q11" i="36"/>
  <c r="R11" i="36" s="1"/>
  <c r="S7" i="41"/>
  <c r="T7" i="41" s="1"/>
  <c r="S68" i="37"/>
  <c r="T68" i="37" s="1"/>
  <c r="W22" i="37"/>
  <c r="X22" i="37" s="1"/>
  <c r="S9" i="36"/>
  <c r="T9" i="36" s="1"/>
  <c r="S17" i="36"/>
  <c r="T17" i="36" s="1"/>
  <c r="S67" i="36"/>
  <c r="T67" i="36" s="1"/>
  <c r="Q83" i="36"/>
  <c r="R83" i="36" s="1"/>
  <c r="U37" i="40"/>
  <c r="V37" i="40" s="1"/>
  <c r="S57" i="40"/>
  <c r="T57" i="40" s="1"/>
  <c r="W13" i="37"/>
  <c r="X13" i="37" s="1"/>
  <c r="S27" i="37"/>
  <c r="T27" i="37" s="1"/>
  <c r="M15" i="36"/>
  <c r="N15" i="36" s="1"/>
  <c r="S37" i="36"/>
  <c r="T37" i="36" s="1"/>
  <c r="Q16" i="33"/>
  <c r="R16" i="33" s="1"/>
  <c r="S19" i="33"/>
  <c r="T19" i="33" s="1"/>
  <c r="S123" i="36"/>
  <c r="T123" i="36" s="1"/>
  <c r="Q79" i="36"/>
  <c r="R79" i="36" s="1"/>
  <c r="Q17" i="36"/>
  <c r="R17" i="36" s="1"/>
  <c r="Q39" i="40"/>
  <c r="R39" i="40" s="1"/>
  <c r="O18" i="33"/>
  <c r="P18" i="33" s="1"/>
  <c r="O136" i="36"/>
  <c r="P136" i="36" s="1"/>
  <c r="Q101" i="36"/>
  <c r="R101" i="36" s="1"/>
  <c r="Q59" i="36"/>
  <c r="R59" i="36" s="1"/>
  <c r="S8" i="36"/>
  <c r="T8" i="36" s="1"/>
  <c r="S24" i="37"/>
  <c r="T24" i="37" s="1"/>
  <c r="S39" i="40"/>
  <c r="T39" i="40" s="1"/>
  <c r="M7" i="39"/>
  <c r="N7" i="39" s="1"/>
  <c r="S9" i="38"/>
  <c r="T9" i="38" s="1"/>
  <c r="O48" i="41"/>
  <c r="P48" i="41" s="1"/>
  <c r="S18" i="41"/>
  <c r="T18" i="41" s="1"/>
  <c r="U14" i="40"/>
  <c r="V14" i="40" s="1"/>
  <c r="M20" i="38"/>
  <c r="N20" i="38" s="1"/>
  <c r="W27" i="37"/>
  <c r="X27" i="37" s="1"/>
  <c r="S19" i="37"/>
  <c r="T19" i="37" s="1"/>
  <c r="W67" i="37"/>
  <c r="X67" i="37" s="1"/>
  <c r="S33" i="37"/>
  <c r="T33" i="37" s="1"/>
  <c r="S19" i="40"/>
  <c r="T19" i="40" s="1"/>
  <c r="M15" i="33"/>
  <c r="N15" i="33" s="1"/>
  <c r="F15" i="33" s="1"/>
  <c r="S7" i="37"/>
  <c r="T7" i="37" s="1"/>
  <c r="U34" i="37"/>
  <c r="V34" i="37" s="1"/>
  <c r="M26" i="41"/>
  <c r="N26" i="41" s="1"/>
  <c r="Q22" i="38"/>
  <c r="R22" i="38" s="1"/>
  <c r="S56" i="40"/>
  <c r="T56" i="40" s="1"/>
  <c r="Q24" i="39"/>
  <c r="R24" i="39" s="1"/>
  <c r="S60" i="40"/>
  <c r="T60" i="40" s="1"/>
  <c r="S9" i="39"/>
  <c r="T9" i="39" s="1"/>
  <c r="W42" i="40"/>
  <c r="X42" i="40" s="1"/>
  <c r="O31" i="41"/>
  <c r="P31" i="41" s="1"/>
  <c r="S13" i="41"/>
  <c r="T13" i="41" s="1"/>
  <c r="M85" i="36"/>
  <c r="N85" i="36" s="1"/>
  <c r="S96" i="36"/>
  <c r="T96" i="36" s="1"/>
  <c r="S121" i="36"/>
  <c r="T121" i="36" s="1"/>
  <c r="Q23" i="36"/>
  <c r="R23" i="36" s="1"/>
  <c r="M119" i="36"/>
  <c r="N119" i="36" s="1"/>
  <c r="Q118" i="36"/>
  <c r="R118" i="36" s="1"/>
  <c r="M66" i="36"/>
  <c r="N66" i="36" s="1"/>
  <c r="M75" i="36"/>
  <c r="N75" i="36" s="1"/>
  <c r="Q65" i="36"/>
  <c r="R65" i="36" s="1"/>
  <c r="O77" i="36"/>
  <c r="P77" i="36" s="1"/>
  <c r="O109" i="36"/>
  <c r="P109" i="36" s="1"/>
  <c r="Q99" i="36"/>
  <c r="R99" i="36" s="1"/>
  <c r="S99" i="36"/>
  <c r="T99" i="36" s="1"/>
  <c r="O107" i="36"/>
  <c r="P107" i="36" s="1"/>
  <c r="S128" i="36"/>
  <c r="T128" i="36" s="1"/>
  <c r="Q33" i="36"/>
  <c r="R33" i="36" s="1"/>
  <c r="O24" i="33"/>
  <c r="P24" i="33" s="1"/>
  <c r="S136" i="36"/>
  <c r="T136" i="36" s="1"/>
  <c r="Q6" i="33"/>
  <c r="R6" i="33" s="1"/>
  <c r="O122" i="36"/>
  <c r="P122" i="36" s="1"/>
  <c r="Q116" i="36"/>
  <c r="R116" i="36" s="1"/>
  <c r="F116" i="36" s="1"/>
  <c r="S13" i="33"/>
  <c r="T13" i="33" s="1"/>
  <c r="S81" i="36"/>
  <c r="T81" i="36" s="1"/>
  <c r="U55" i="37"/>
  <c r="V55" i="37" s="1"/>
  <c r="Q27" i="33"/>
  <c r="R27" i="33" s="1"/>
  <c r="S92" i="36"/>
  <c r="T92" i="36" s="1"/>
  <c r="U40" i="37"/>
  <c r="V40" i="37" s="1"/>
  <c r="M21" i="38"/>
  <c r="N21" i="38" s="1"/>
  <c r="Q52" i="37"/>
  <c r="R52" i="37" s="1"/>
  <c r="U49" i="37"/>
  <c r="V49" i="37" s="1"/>
  <c r="O12" i="36"/>
  <c r="P12" i="36" s="1"/>
  <c r="Q36" i="36"/>
  <c r="R36" i="36" s="1"/>
  <c r="O61" i="36"/>
  <c r="P61" i="36" s="1"/>
  <c r="O102" i="36"/>
  <c r="P102" i="36" s="1"/>
  <c r="S16" i="41"/>
  <c r="T16" i="41" s="1"/>
  <c r="Q51" i="41"/>
  <c r="R51" i="41" s="1"/>
  <c r="W60" i="37"/>
  <c r="X60" i="37" s="1"/>
  <c r="S40" i="37"/>
  <c r="T40" i="37" s="1"/>
  <c r="S6" i="36"/>
  <c r="T6" i="36" s="1"/>
  <c r="S45" i="36"/>
  <c r="T45" i="36" s="1"/>
  <c r="Q8" i="33"/>
  <c r="R8" i="33" s="1"/>
  <c r="S22" i="33"/>
  <c r="T22" i="33" s="1"/>
  <c r="M114" i="36"/>
  <c r="N114" i="36" s="1"/>
  <c r="S79" i="36"/>
  <c r="T79" i="36" s="1"/>
  <c r="Q34" i="36"/>
  <c r="R34" i="36" s="1"/>
  <c r="S23" i="33"/>
  <c r="T23" i="33" s="1"/>
  <c r="M135" i="36"/>
  <c r="N135" i="36" s="1"/>
  <c r="S50" i="36"/>
  <c r="T50" i="36" s="1"/>
  <c r="S39" i="37"/>
  <c r="T39" i="37" s="1"/>
  <c r="S46" i="37"/>
  <c r="T46" i="37" s="1"/>
  <c r="M26" i="33"/>
  <c r="N26" i="33" s="1"/>
  <c r="O29" i="38"/>
  <c r="P29" i="38" s="1"/>
  <c r="U25" i="40"/>
  <c r="V25" i="40" s="1"/>
  <c r="S22" i="40"/>
  <c r="T22" i="40" s="1"/>
  <c r="Q37" i="41"/>
  <c r="R37" i="41" s="1"/>
  <c r="O98" i="36"/>
  <c r="P98" i="36" s="1"/>
  <c r="F98" i="36" s="1"/>
  <c r="S106" i="36"/>
  <c r="T106" i="36" s="1"/>
  <c r="Q97" i="36"/>
  <c r="R97" i="36" s="1"/>
  <c r="S42" i="36"/>
  <c r="T42" i="36" s="1"/>
  <c r="Q40" i="36"/>
  <c r="R40" i="36" s="1"/>
  <c r="S64" i="36"/>
  <c r="T64" i="36" s="1"/>
  <c r="S86" i="36"/>
  <c r="T86" i="36" s="1"/>
  <c r="O95" i="36"/>
  <c r="P95" i="36" s="1"/>
  <c r="O33" i="36"/>
  <c r="P33" i="36" s="1"/>
  <c r="M76" i="36"/>
  <c r="N76" i="36" s="1"/>
  <c r="Q131" i="36"/>
  <c r="R131" i="36" s="1"/>
  <c r="Q121" i="36"/>
  <c r="R121" i="36" s="1"/>
  <c r="M120" i="36"/>
  <c r="N120" i="36" s="1"/>
  <c r="F120" i="36" s="1"/>
  <c r="Q109" i="36"/>
  <c r="R109" i="36" s="1"/>
  <c r="F109" i="36" s="1"/>
  <c r="Q96" i="36"/>
  <c r="R96" i="36" s="1"/>
  <c r="Q55" i="36"/>
  <c r="R55" i="36" s="1"/>
  <c r="O11" i="33"/>
  <c r="P11" i="33" s="1"/>
  <c r="Q114" i="36"/>
  <c r="R114" i="36" s="1"/>
  <c r="Q135" i="36"/>
  <c r="R135" i="36" s="1"/>
  <c r="M102" i="36"/>
  <c r="N102" i="36" s="1"/>
  <c r="Q105" i="36"/>
  <c r="R105" i="36" s="1"/>
  <c r="Q63" i="37"/>
  <c r="R63" i="37" s="1"/>
  <c r="S26" i="33"/>
  <c r="T26" i="33" s="1"/>
  <c r="Q90" i="36"/>
  <c r="R90" i="36" s="1"/>
  <c r="W61" i="37"/>
  <c r="X61" i="37" s="1"/>
  <c r="S7" i="33"/>
  <c r="T7" i="33" s="1"/>
  <c r="S89" i="36"/>
  <c r="T89" i="36" s="1"/>
  <c r="U15" i="37"/>
  <c r="V15" i="37" s="1"/>
  <c r="W72" i="37"/>
  <c r="X72" i="37" s="1"/>
  <c r="U51" i="37"/>
  <c r="V51" i="37" s="1"/>
  <c r="S12" i="36"/>
  <c r="T12" i="36" s="1"/>
  <c r="Q67" i="36"/>
  <c r="R67" i="36" s="1"/>
  <c r="S102" i="36"/>
  <c r="T102" i="36" s="1"/>
  <c r="S50" i="40"/>
  <c r="T50" i="40" s="1"/>
  <c r="W8" i="37"/>
  <c r="X8" i="37" s="1"/>
  <c r="S43" i="37"/>
  <c r="T43" i="37" s="1"/>
  <c r="U57" i="37"/>
  <c r="V57" i="37" s="1"/>
  <c r="Q15" i="36"/>
  <c r="R15" i="36" s="1"/>
  <c r="Q45" i="36"/>
  <c r="R45" i="36" s="1"/>
  <c r="O23" i="33"/>
  <c r="P23" i="33" s="1"/>
  <c r="Q122" i="36"/>
  <c r="R122" i="36" s="1"/>
  <c r="Q78" i="36"/>
  <c r="R78" i="36" s="1"/>
  <c r="W28" i="37"/>
  <c r="X28" i="37" s="1"/>
  <c r="O20" i="33"/>
  <c r="P20" i="33" s="1"/>
  <c r="Q15" i="33"/>
  <c r="R15" i="33" s="1"/>
  <c r="O135" i="36"/>
  <c r="P135" i="36" s="1"/>
  <c r="Q92" i="36"/>
  <c r="R92" i="36" s="1"/>
  <c r="O48" i="36"/>
  <c r="P48" i="36" s="1"/>
  <c r="U63" i="37"/>
  <c r="V63" i="37" s="1"/>
  <c r="S20" i="37"/>
  <c r="T20" i="37" s="1"/>
  <c r="M24" i="33"/>
  <c r="N24" i="33" s="1"/>
  <c r="M27" i="39"/>
  <c r="N27" i="39" s="1"/>
  <c r="Q9" i="40"/>
  <c r="R9" i="40" s="1"/>
  <c r="Q38" i="40"/>
  <c r="R38" i="40" s="1"/>
  <c r="W46" i="40"/>
  <c r="X46" i="40" s="1"/>
  <c r="S12" i="41"/>
  <c r="T12" i="41" s="1"/>
  <c r="S28" i="41"/>
  <c r="T28" i="41" s="1"/>
  <c r="M26" i="39"/>
  <c r="N26" i="39" s="1"/>
  <c r="W36" i="37"/>
  <c r="X36" i="37" s="1"/>
  <c r="U60" i="37"/>
  <c r="V60" i="37" s="1"/>
  <c r="W6" i="37"/>
  <c r="X6" i="37" s="1"/>
  <c r="O56" i="41"/>
  <c r="P56" i="41" s="1"/>
  <c r="E56" i="41" s="1"/>
  <c r="O23" i="41"/>
  <c r="P23" i="41" s="1"/>
  <c r="W64" i="40"/>
  <c r="X64" i="40" s="1"/>
  <c r="U8" i="37"/>
  <c r="V8" i="37" s="1"/>
  <c r="S44" i="37"/>
  <c r="T44" i="37" s="1"/>
  <c r="S64" i="37"/>
  <c r="T64" i="37" s="1"/>
  <c r="M72" i="36"/>
  <c r="N72" i="36" s="1"/>
  <c r="M14" i="39"/>
  <c r="N14" i="39" s="1"/>
  <c r="O58" i="41"/>
  <c r="P58" i="41" s="1"/>
  <c r="W70" i="40"/>
  <c r="X70" i="40" s="1"/>
  <c r="M49" i="41"/>
  <c r="N49" i="41" s="1"/>
  <c r="Q31" i="41"/>
  <c r="R31" i="41" s="1"/>
  <c r="F31" i="41" s="1"/>
  <c r="O120" i="36"/>
  <c r="P120" i="36" s="1"/>
  <c r="E120" i="36" s="1"/>
  <c r="Q30" i="36"/>
  <c r="R30" i="36" s="1"/>
  <c r="Q85" i="36"/>
  <c r="R85" i="36" s="1"/>
  <c r="Q54" i="36"/>
  <c r="R54" i="36" s="1"/>
  <c r="Q130" i="36"/>
  <c r="R130" i="36" s="1"/>
  <c r="O117" i="36"/>
  <c r="P117" i="36" s="1"/>
  <c r="M73" i="36"/>
  <c r="N73" i="36" s="1"/>
  <c r="S132" i="36"/>
  <c r="T132" i="36" s="1"/>
  <c r="M55" i="36"/>
  <c r="N55" i="36" s="1"/>
  <c r="M88" i="36"/>
  <c r="N88" i="36" s="1"/>
  <c r="O132" i="36"/>
  <c r="P132" i="36" s="1"/>
  <c r="Q21" i="36"/>
  <c r="R21" i="36" s="1"/>
  <c r="M62" i="36"/>
  <c r="N62" i="36" s="1"/>
  <c r="O73" i="36"/>
  <c r="P73" i="36" s="1"/>
  <c r="S91" i="36"/>
  <c r="T91" i="36" s="1"/>
  <c r="S111" i="36"/>
  <c r="T111" i="36" s="1"/>
  <c r="O101" i="36"/>
  <c r="P101" i="36" s="1"/>
  <c r="S14" i="37"/>
  <c r="T14" i="37" s="1"/>
  <c r="S29" i="33"/>
  <c r="T29" i="33" s="1"/>
  <c r="Q70" i="36"/>
  <c r="R70" i="36" s="1"/>
  <c r="W74" i="37"/>
  <c r="X74" i="37" s="1"/>
  <c r="Q14" i="33"/>
  <c r="R14" i="33" s="1"/>
  <c r="O81" i="36"/>
  <c r="P81" i="36" s="1"/>
  <c r="Q40" i="37"/>
  <c r="R40" i="37" s="1"/>
  <c r="Q25" i="38"/>
  <c r="R25" i="38" s="1"/>
  <c r="U50" i="37"/>
  <c r="V50" i="37" s="1"/>
  <c r="S11" i="36"/>
  <c r="T11" i="36" s="1"/>
  <c r="Q61" i="36"/>
  <c r="R61" i="36" s="1"/>
  <c r="Q102" i="36"/>
  <c r="R102" i="36" s="1"/>
  <c r="S26" i="39"/>
  <c r="T26" i="39" s="1"/>
  <c r="W48" i="37"/>
  <c r="X48" i="37" s="1"/>
  <c r="W33" i="37"/>
  <c r="X33" i="37" s="1"/>
  <c r="Q6" i="36"/>
  <c r="R6" i="36" s="1"/>
  <c r="S46" i="36"/>
  <c r="T46" i="36" s="1"/>
  <c r="M23" i="33"/>
  <c r="N23" i="33" s="1"/>
  <c r="O111" i="36"/>
  <c r="P111" i="36" s="1"/>
  <c r="S78" i="36"/>
  <c r="T78" i="36" s="1"/>
  <c r="S7" i="36"/>
  <c r="T7" i="36" s="1"/>
  <c r="U30" i="37"/>
  <c r="V30" i="37" s="1"/>
  <c r="Q7" i="33"/>
  <c r="R7" i="33" s="1"/>
  <c r="O17" i="33"/>
  <c r="P17" i="33" s="1"/>
  <c r="S134" i="36"/>
  <c r="T134" i="36" s="1"/>
  <c r="Q100" i="36"/>
  <c r="R100" i="36" s="1"/>
  <c r="M47" i="36"/>
  <c r="N47" i="36" s="1"/>
  <c r="W52" i="37"/>
  <c r="X52" i="37" s="1"/>
  <c r="M56" i="36"/>
  <c r="N56" i="36" s="1"/>
  <c r="Q29" i="33"/>
  <c r="R29" i="33" s="1"/>
  <c r="S43" i="41"/>
  <c r="T43" i="41" s="1"/>
  <c r="S37" i="41"/>
  <c r="T37" i="41" s="1"/>
  <c r="M130" i="36"/>
  <c r="N130" i="36" s="1"/>
  <c r="Q32" i="36"/>
  <c r="R32" i="36" s="1"/>
  <c r="Q31" i="36"/>
  <c r="R31" i="36" s="1"/>
  <c r="S76" i="36"/>
  <c r="T76" i="36" s="1"/>
  <c r="M53" i="36"/>
  <c r="N53" i="36" s="1"/>
  <c r="O121" i="36"/>
  <c r="P121" i="36" s="1"/>
  <c r="S22" i="36"/>
  <c r="T22" i="36" s="1"/>
  <c r="M51" i="36"/>
  <c r="N51" i="36" s="1"/>
  <c r="M77" i="36"/>
  <c r="N77" i="36" s="1"/>
  <c r="Q42" i="36"/>
  <c r="R42" i="36" s="1"/>
  <c r="O76" i="36"/>
  <c r="P76" i="36" s="1"/>
  <c r="E76" i="36" s="1"/>
  <c r="O21" i="36"/>
  <c r="P21" i="36" s="1"/>
  <c r="U56" i="40"/>
  <c r="V56" i="40" s="1"/>
  <c r="Q74" i="36"/>
  <c r="R74" i="36" s="1"/>
  <c r="S40" i="36"/>
  <c r="T40" i="36" s="1"/>
  <c r="Q44" i="36"/>
  <c r="R44" i="36" s="1"/>
  <c r="S85" i="36"/>
  <c r="T85" i="36" s="1"/>
  <c r="O91" i="36"/>
  <c r="P91" i="36" s="1"/>
  <c r="S70" i="36"/>
  <c r="T70" i="36" s="1"/>
  <c r="Q72" i="36"/>
  <c r="R72" i="36" s="1"/>
  <c r="Q75" i="37"/>
  <c r="R75" i="37" s="1"/>
  <c r="O78" i="36"/>
  <c r="P78" i="36" s="1"/>
  <c r="U46" i="37"/>
  <c r="V46" i="37" s="1"/>
  <c r="O6" i="33"/>
  <c r="P6" i="33" s="1"/>
  <c r="O70" i="36"/>
  <c r="P70" i="36" s="1"/>
  <c r="W75" i="37"/>
  <c r="X75" i="37" s="1"/>
  <c r="M7" i="33"/>
  <c r="N7" i="33" s="1"/>
  <c r="U25" i="37"/>
  <c r="V25" i="37" s="1"/>
  <c r="U76" i="37"/>
  <c r="V76" i="37" s="1"/>
  <c r="S13" i="36"/>
  <c r="T13" i="36" s="1"/>
  <c r="Q46" i="36"/>
  <c r="R46" i="36" s="1"/>
  <c r="Q80" i="36"/>
  <c r="R80" i="36" s="1"/>
  <c r="Q94" i="36"/>
  <c r="R94" i="36" s="1"/>
  <c r="S57" i="41"/>
  <c r="T57" i="41" s="1"/>
  <c r="U32" i="37"/>
  <c r="V32" i="37" s="1"/>
  <c r="W70" i="37"/>
  <c r="X70" i="37" s="1"/>
  <c r="U38" i="37"/>
  <c r="V38" i="37" s="1"/>
  <c r="Q7" i="36"/>
  <c r="R7" i="36" s="1"/>
  <c r="S56" i="36"/>
  <c r="T56" i="36" s="1"/>
  <c r="Q23" i="33"/>
  <c r="R23" i="33" s="1"/>
  <c r="M14" i="33"/>
  <c r="N14" i="33" s="1"/>
  <c r="M113" i="36"/>
  <c r="N113" i="36" s="1"/>
  <c r="M69" i="36"/>
  <c r="N69" i="36" s="1"/>
  <c r="O7" i="36"/>
  <c r="P7" i="36" s="1"/>
  <c r="U24" i="37"/>
  <c r="V24" i="37" s="1"/>
  <c r="Q21" i="33"/>
  <c r="R21" i="33" s="1"/>
  <c r="O14" i="33"/>
  <c r="P14" i="33" s="1"/>
  <c r="S127" i="36"/>
  <c r="T127" i="36" s="1"/>
  <c r="Q91" i="36"/>
  <c r="R91" i="36" s="1"/>
  <c r="Q39" i="36"/>
  <c r="R39" i="36" s="1"/>
  <c r="W25" i="37"/>
  <c r="X25" i="37" s="1"/>
  <c r="Q52" i="41"/>
  <c r="R52" i="41" s="1"/>
  <c r="M33" i="41"/>
  <c r="N33" i="41" s="1"/>
  <c r="U75" i="40"/>
  <c r="V75" i="40" s="1"/>
  <c r="Q26" i="39"/>
  <c r="R26" i="39" s="1"/>
  <c r="Q12" i="39"/>
  <c r="R12" i="39" s="1"/>
  <c r="O33" i="41"/>
  <c r="P33" i="41" s="1"/>
  <c r="Q51" i="37"/>
  <c r="R51" i="37" s="1"/>
  <c r="U28" i="37"/>
  <c r="V28" i="37" s="1"/>
  <c r="S55" i="37"/>
  <c r="T55" i="37" s="1"/>
  <c r="O59" i="41"/>
  <c r="P59" i="41" s="1"/>
  <c r="W7" i="40"/>
  <c r="X7" i="40" s="1"/>
  <c r="S46" i="40"/>
  <c r="T46" i="40" s="1"/>
  <c r="U56" i="37"/>
  <c r="V56" i="37" s="1"/>
  <c r="W16" i="37"/>
  <c r="X16" i="37" s="1"/>
  <c r="W66" i="37"/>
  <c r="X66" i="37" s="1"/>
  <c r="M123" i="36"/>
  <c r="N123" i="36" s="1"/>
  <c r="S54" i="41"/>
  <c r="T54" i="41" s="1"/>
  <c r="W54" i="40"/>
  <c r="X54" i="40" s="1"/>
  <c r="U57" i="40"/>
  <c r="V57" i="40" s="1"/>
  <c r="S23" i="39"/>
  <c r="T23" i="39" s="1"/>
  <c r="S101" i="36"/>
  <c r="T101" i="36" s="1"/>
  <c r="Q19" i="41"/>
  <c r="R19" i="41" s="1"/>
  <c r="M61" i="41"/>
  <c r="N61" i="41" s="1"/>
  <c r="Q120" i="36"/>
  <c r="R120" i="36" s="1"/>
  <c r="S52" i="36"/>
  <c r="T52" i="36" s="1"/>
  <c r="S21" i="36"/>
  <c r="T21" i="36" s="1"/>
  <c r="M87" i="36"/>
  <c r="N87" i="36" s="1"/>
  <c r="M128" i="36"/>
  <c r="N128" i="36" s="1"/>
  <c r="O23" i="36"/>
  <c r="P23" i="36" s="1"/>
  <c r="Q29" i="36"/>
  <c r="R29" i="36" s="1"/>
  <c r="Q66" i="36"/>
  <c r="R66" i="36" s="1"/>
  <c r="O131" i="36"/>
  <c r="P131" i="36" s="1"/>
  <c r="E131" i="36" s="1"/>
  <c r="O43" i="36"/>
  <c r="P43" i="36" s="1"/>
  <c r="S55" i="36"/>
  <c r="T55" i="36" s="1"/>
  <c r="M95" i="36"/>
  <c r="N95" i="36" s="1"/>
  <c r="M108" i="36"/>
  <c r="N108" i="36" s="1"/>
  <c r="S117" i="36"/>
  <c r="T117" i="36" s="1"/>
  <c r="S108" i="36"/>
  <c r="T108" i="36" s="1"/>
  <c r="Q18" i="36"/>
  <c r="R18" i="36" s="1"/>
  <c r="S18" i="33"/>
  <c r="T18" i="33" s="1"/>
  <c r="O56" i="36"/>
  <c r="P56" i="36" s="1"/>
  <c r="S69" i="36"/>
  <c r="T69" i="36" s="1"/>
  <c r="U45" i="37"/>
  <c r="V45" i="37" s="1"/>
  <c r="M19" i="33"/>
  <c r="N19" i="33" s="1"/>
  <c r="M59" i="36"/>
  <c r="N59" i="36" s="1"/>
  <c r="Q70" i="37"/>
  <c r="R70" i="37" s="1"/>
  <c r="M18" i="33"/>
  <c r="N18" i="33" s="1"/>
  <c r="S59" i="36"/>
  <c r="T59" i="36" s="1"/>
  <c r="W24" i="37"/>
  <c r="X24" i="37" s="1"/>
  <c r="Q10" i="37"/>
  <c r="R10" i="37" s="1"/>
  <c r="S74" i="37"/>
  <c r="T74" i="37" s="1"/>
  <c r="S72" i="37"/>
  <c r="T72" i="37" s="1"/>
  <c r="O14" i="36"/>
  <c r="P14" i="36" s="1"/>
  <c r="Q37" i="36"/>
  <c r="R37" i="36" s="1"/>
  <c r="M80" i="36"/>
  <c r="N80" i="36" s="1"/>
  <c r="S112" i="36"/>
  <c r="T112" i="36" s="1"/>
  <c r="Q9" i="37"/>
  <c r="R9" i="37" s="1"/>
  <c r="S54" i="37"/>
  <c r="T54" i="37" s="1"/>
  <c r="W43" i="37"/>
  <c r="X43" i="37" s="1"/>
  <c r="W44" i="37"/>
  <c r="X44" i="37" s="1"/>
  <c r="S34" i="36"/>
  <c r="T34" i="36" s="1"/>
  <c r="Q56" i="36"/>
  <c r="R56" i="36" s="1"/>
  <c r="Q22" i="33"/>
  <c r="R22" i="33" s="1"/>
  <c r="M136" i="36"/>
  <c r="N136" i="36" s="1"/>
  <c r="S105" i="36"/>
  <c r="T105" i="36" s="1"/>
  <c r="Q69" i="36"/>
  <c r="R69" i="36" s="1"/>
  <c r="O8" i="36"/>
  <c r="P8" i="36" s="1"/>
  <c r="U62" i="37"/>
  <c r="V62" i="37" s="1"/>
  <c r="S20" i="33"/>
  <c r="T20" i="33" s="1"/>
  <c r="Q13" i="33"/>
  <c r="R13" i="33" s="1"/>
  <c r="M124" i="36"/>
  <c r="N124" i="36" s="1"/>
  <c r="S83" i="36"/>
  <c r="T83" i="36" s="1"/>
  <c r="O39" i="36"/>
  <c r="P39" i="36" s="1"/>
  <c r="W68" i="37"/>
  <c r="X68" i="37" s="1"/>
  <c r="O32" i="41"/>
  <c r="P32" i="41" s="1"/>
  <c r="M53" i="41"/>
  <c r="N53" i="41" s="1"/>
  <c r="S28" i="40"/>
  <c r="T28" i="40" s="1"/>
  <c r="W9" i="40"/>
  <c r="X9" i="40" s="1"/>
  <c r="U68" i="40"/>
  <c r="V68" i="40" s="1"/>
  <c r="M24" i="39"/>
  <c r="N24" i="39" s="1"/>
  <c r="F24" i="39" s="1"/>
  <c r="O63" i="41"/>
  <c r="P63" i="41" s="1"/>
  <c r="W72" i="40"/>
  <c r="X72" i="40" s="1"/>
  <c r="U6" i="37"/>
  <c r="V6" i="37" s="1"/>
  <c r="Q27" i="37"/>
  <c r="R27" i="37" s="1"/>
  <c r="S57" i="37"/>
  <c r="T57" i="37" s="1"/>
  <c r="S17" i="39"/>
  <c r="T17" i="39" s="1"/>
  <c r="Q27" i="41"/>
  <c r="R27" i="41" s="1"/>
  <c r="S76" i="40"/>
  <c r="T76" i="40" s="1"/>
  <c r="W54" i="37"/>
  <c r="X54" i="37" s="1"/>
  <c r="S18" i="37"/>
  <c r="T18" i="37" s="1"/>
  <c r="M57" i="41"/>
  <c r="N57" i="41" s="1"/>
  <c r="M79" i="36"/>
  <c r="N79" i="36" s="1"/>
  <c r="E79" i="36" s="1"/>
  <c r="O38" i="41"/>
  <c r="P38" i="41" s="1"/>
  <c r="Q16" i="39"/>
  <c r="R16" i="39" s="1"/>
  <c r="S130" i="36"/>
  <c r="T130" i="36" s="1"/>
  <c r="S65" i="36"/>
  <c r="T65" i="36" s="1"/>
  <c r="O66" i="36"/>
  <c r="P66" i="36" s="1"/>
  <c r="O110" i="36"/>
  <c r="P110" i="36" s="1"/>
  <c r="Q117" i="36"/>
  <c r="R117" i="36" s="1"/>
  <c r="O18" i="38"/>
  <c r="P18" i="38" s="1"/>
  <c r="U70" i="40"/>
  <c r="V70" i="40" s="1"/>
  <c r="S28" i="39"/>
  <c r="T28" i="39" s="1"/>
  <c r="E28" i="39" s="1"/>
  <c r="Q70" i="40"/>
  <c r="R70" i="40" s="1"/>
  <c r="U12" i="40"/>
  <c r="V12" i="40" s="1"/>
  <c r="U43" i="40"/>
  <c r="V43" i="40" s="1"/>
  <c r="S14" i="41"/>
  <c r="T14" i="41" s="1"/>
  <c r="Q28" i="38"/>
  <c r="R28" i="38" s="1"/>
  <c r="Q46" i="40"/>
  <c r="R46" i="40" s="1"/>
  <c r="Q42" i="40"/>
  <c r="R42" i="40" s="1"/>
  <c r="W32" i="37"/>
  <c r="X32" i="37" s="1"/>
  <c r="S11" i="39"/>
  <c r="T11" i="39" s="1"/>
  <c r="S69" i="37"/>
  <c r="T69" i="37" s="1"/>
  <c r="Q7" i="39"/>
  <c r="R7" i="39" s="1"/>
  <c r="O6" i="38"/>
  <c r="P6" i="38" s="1"/>
  <c r="E6" i="38" s="1"/>
  <c r="S16" i="33"/>
  <c r="T16" i="33" s="1"/>
  <c r="S125" i="36"/>
  <c r="T125" i="36" s="1"/>
  <c r="W63" i="37"/>
  <c r="X63" i="37" s="1"/>
  <c r="W73" i="37"/>
  <c r="X73" i="37" s="1"/>
  <c r="S73" i="37"/>
  <c r="T73" i="37" s="1"/>
  <c r="S17" i="33"/>
  <c r="T17" i="33" s="1"/>
  <c r="Q123" i="36"/>
  <c r="R123" i="36" s="1"/>
  <c r="S58" i="37"/>
  <c r="T58" i="37" s="1"/>
  <c r="M54" i="36"/>
  <c r="N54" i="36" s="1"/>
  <c r="O40" i="36"/>
  <c r="P40" i="36" s="1"/>
  <c r="S30" i="36"/>
  <c r="T30" i="36" s="1"/>
  <c r="M52" i="36"/>
  <c r="N52" i="36" s="1"/>
  <c r="Q10" i="33"/>
  <c r="R10" i="33" s="1"/>
  <c r="Q29" i="41"/>
  <c r="R29" i="41" s="1"/>
  <c r="S46" i="41"/>
  <c r="T46" i="41" s="1"/>
  <c r="E46" i="41" s="1"/>
  <c r="O17" i="38"/>
  <c r="P17" i="38" s="1"/>
  <c r="S44" i="40"/>
  <c r="T44" i="40" s="1"/>
  <c r="Q17" i="39"/>
  <c r="R17" i="39" s="1"/>
  <c r="M16" i="38"/>
  <c r="N16" i="38" s="1"/>
  <c r="Q36" i="41"/>
  <c r="R36" i="41" s="1"/>
  <c r="S6" i="39"/>
  <c r="T6" i="39" s="1"/>
  <c r="Q47" i="41"/>
  <c r="R47" i="41" s="1"/>
  <c r="Q62" i="40"/>
  <c r="R62" i="40" s="1"/>
  <c r="S56" i="37"/>
  <c r="T56" i="37" s="1"/>
  <c r="O13" i="38"/>
  <c r="P13" i="38" s="1"/>
  <c r="U44" i="37"/>
  <c r="V44" i="37" s="1"/>
  <c r="M13" i="39"/>
  <c r="N13" i="39" s="1"/>
  <c r="S8" i="33"/>
  <c r="T8" i="33" s="1"/>
  <c r="M125" i="36"/>
  <c r="N125" i="36" s="1"/>
  <c r="W37" i="37"/>
  <c r="X37" i="37" s="1"/>
  <c r="U27" i="37"/>
  <c r="V27" i="37" s="1"/>
  <c r="Q76" i="37"/>
  <c r="R76" i="37" s="1"/>
  <c r="O25" i="33"/>
  <c r="P25" i="33" s="1"/>
  <c r="M25" i="33"/>
  <c r="N25" i="33" s="1"/>
  <c r="M42" i="36"/>
  <c r="N42" i="36" s="1"/>
  <c r="M43" i="36"/>
  <c r="N43" i="36" s="1"/>
  <c r="S31" i="36"/>
  <c r="T31" i="36" s="1"/>
  <c r="S61" i="41"/>
  <c r="T61" i="41" s="1"/>
  <c r="U61" i="37"/>
  <c r="V61" i="37" s="1"/>
  <c r="Q6" i="40"/>
  <c r="R6" i="40" s="1"/>
  <c r="O28" i="33"/>
  <c r="P28" i="33" s="1"/>
  <c r="Q28" i="33"/>
  <c r="R28" i="33" s="1"/>
  <c r="Q64" i="37"/>
  <c r="R64" i="37" s="1"/>
  <c r="S39" i="36"/>
  <c r="T39" i="36" s="1"/>
  <c r="S23" i="36"/>
  <c r="T23" i="36" s="1"/>
  <c r="S49" i="41"/>
  <c r="T49" i="41" s="1"/>
  <c r="S63" i="41"/>
  <c r="T63" i="41" s="1"/>
  <c r="W26" i="37"/>
  <c r="X26" i="37" s="1"/>
  <c r="S15" i="38"/>
  <c r="T15" i="38" s="1"/>
  <c r="W40" i="37"/>
  <c r="X40" i="37" s="1"/>
  <c r="O12" i="41"/>
  <c r="P12" i="41" s="1"/>
  <c r="S16" i="38"/>
  <c r="T16" i="38" s="1"/>
  <c r="E16" i="38" s="1"/>
  <c r="M12" i="33"/>
  <c r="N12" i="33" s="1"/>
  <c r="Q12" i="33"/>
  <c r="R12" i="33" s="1"/>
  <c r="O7" i="33"/>
  <c r="P7" i="33" s="1"/>
  <c r="U10" i="37"/>
  <c r="V10" i="37" s="1"/>
  <c r="W50" i="37"/>
  <c r="X50" i="37" s="1"/>
  <c r="Q57" i="36"/>
  <c r="R57" i="36" s="1"/>
  <c r="Q128" i="36"/>
  <c r="R128" i="36" s="1"/>
  <c r="O19" i="41"/>
  <c r="P19" i="41" s="1"/>
  <c r="Q25" i="39"/>
  <c r="R25" i="39" s="1"/>
  <c r="U30" i="40"/>
  <c r="V30" i="40" s="1"/>
  <c r="O20" i="39"/>
  <c r="P20" i="39" s="1"/>
  <c r="S17" i="38"/>
  <c r="T17" i="38" s="1"/>
  <c r="O27" i="38"/>
  <c r="P27" i="38" s="1"/>
  <c r="Q75" i="40"/>
  <c r="R75" i="40" s="1"/>
  <c r="O27" i="39"/>
  <c r="P27" i="39" s="1"/>
  <c r="W67" i="40"/>
  <c r="X67" i="40" s="1"/>
  <c r="Q6" i="39"/>
  <c r="R6" i="39" s="1"/>
  <c r="Q41" i="41"/>
  <c r="R41" i="41" s="1"/>
  <c r="O47" i="41"/>
  <c r="P47" i="41" s="1"/>
  <c r="S58" i="41"/>
  <c r="T58" i="41" s="1"/>
  <c r="S45" i="37"/>
  <c r="T45" i="37" s="1"/>
  <c r="W10" i="37"/>
  <c r="X10" i="37" s="1"/>
  <c r="W49" i="40"/>
  <c r="X49" i="40" s="1"/>
  <c r="U48" i="37"/>
  <c r="V48" i="37" s="1"/>
  <c r="O10" i="38"/>
  <c r="P10" i="38" s="1"/>
  <c r="S38" i="40"/>
  <c r="T38" i="40" s="1"/>
  <c r="S25" i="37"/>
  <c r="T25" i="37" s="1"/>
  <c r="W45" i="37"/>
  <c r="X45" i="37" s="1"/>
  <c r="M48" i="36"/>
  <c r="N48" i="36" s="1"/>
  <c r="S103" i="36"/>
  <c r="T103" i="36" s="1"/>
  <c r="U21" i="37"/>
  <c r="V21" i="37" s="1"/>
  <c r="Q127" i="36"/>
  <c r="R127" i="36" s="1"/>
  <c r="O128" i="36"/>
  <c r="P128" i="36" s="1"/>
  <c r="O86" i="36"/>
  <c r="P86" i="36" s="1"/>
  <c r="O13" i="41"/>
  <c r="P13" i="41" s="1"/>
  <c r="U28" i="40"/>
  <c r="V28" i="40" s="1"/>
  <c r="U40" i="40"/>
  <c r="V40" i="40" s="1"/>
  <c r="Q15" i="39"/>
  <c r="R15" i="39" s="1"/>
  <c r="Q18" i="39"/>
  <c r="R18" i="39" s="1"/>
  <c r="Q72" i="37"/>
  <c r="R72" i="37" s="1"/>
  <c r="H72" i="37" s="1"/>
  <c r="Q36" i="40"/>
  <c r="R36" i="40" s="1"/>
  <c r="U52" i="40"/>
  <c r="V52" i="40" s="1"/>
  <c r="U58" i="40"/>
  <c r="V58" i="40" s="1"/>
  <c r="U6" i="40"/>
  <c r="V6" i="40" s="1"/>
  <c r="U52" i="37"/>
  <c r="V52" i="37" s="1"/>
  <c r="U9" i="37"/>
  <c r="V9" i="37" s="1"/>
  <c r="W38" i="37"/>
  <c r="X38" i="37" s="1"/>
  <c r="U16" i="40"/>
  <c r="V16" i="40" s="1"/>
  <c r="W26" i="40"/>
  <c r="X26" i="40" s="1"/>
  <c r="U68" i="37"/>
  <c r="V68" i="37" s="1"/>
  <c r="S76" i="37"/>
  <c r="T76" i="37" s="1"/>
  <c r="Q48" i="36"/>
  <c r="R48" i="36" s="1"/>
  <c r="Q111" i="36"/>
  <c r="R111" i="36" s="1"/>
  <c r="S9" i="37"/>
  <c r="T9" i="37" s="1"/>
  <c r="O127" i="36"/>
  <c r="P127" i="36" s="1"/>
  <c r="S98" i="36"/>
  <c r="T98" i="36" s="1"/>
  <c r="Q64" i="36"/>
  <c r="R64" i="36" s="1"/>
  <c r="S62" i="36"/>
  <c r="T62" i="36" s="1"/>
  <c r="Q129" i="36"/>
  <c r="R129" i="36" s="1"/>
  <c r="E129" i="36" s="1"/>
  <c r="M37" i="41"/>
  <c r="N37" i="41" s="1"/>
  <c r="Q6" i="37"/>
  <c r="R6" i="37" s="1"/>
  <c r="Q27" i="40"/>
  <c r="R27" i="40" s="1"/>
  <c r="O26" i="39"/>
  <c r="P26" i="39" s="1"/>
  <c r="W45" i="40"/>
  <c r="X45" i="40" s="1"/>
  <c r="Q73" i="37"/>
  <c r="R73" i="37" s="1"/>
  <c r="Q28" i="37"/>
  <c r="R28" i="37" s="1"/>
  <c r="S58" i="40"/>
  <c r="T58" i="40" s="1"/>
  <c r="Q33" i="37"/>
  <c r="R33" i="37" s="1"/>
  <c r="O22" i="38"/>
  <c r="P22" i="38" s="1"/>
  <c r="Q13" i="39"/>
  <c r="R13" i="39" s="1"/>
  <c r="M29" i="39"/>
  <c r="N29" i="39" s="1"/>
  <c r="Q25" i="36"/>
  <c r="R25" i="36" s="1"/>
  <c r="U22" i="37"/>
  <c r="V22" i="37" s="1"/>
  <c r="O34" i="36"/>
  <c r="P34" i="36" s="1"/>
  <c r="M78" i="36"/>
  <c r="N78" i="36" s="1"/>
  <c r="U18" i="37"/>
  <c r="V18" i="37" s="1"/>
  <c r="O19" i="33"/>
  <c r="P19" i="33" s="1"/>
  <c r="M86" i="36"/>
  <c r="N86" i="36" s="1"/>
  <c r="O130" i="36"/>
  <c r="P130" i="36" s="1"/>
  <c r="S32" i="36"/>
  <c r="T32" i="36" s="1"/>
  <c r="Q107" i="36"/>
  <c r="R107" i="36" s="1"/>
  <c r="S31" i="41"/>
  <c r="T31" i="41" s="1"/>
  <c r="S48" i="41"/>
  <c r="T48" i="41" s="1"/>
  <c r="O62" i="41"/>
  <c r="P62" i="41" s="1"/>
  <c r="O22" i="41"/>
  <c r="P22" i="41" s="1"/>
  <c r="O16" i="39"/>
  <c r="P16" i="39" s="1"/>
  <c r="Q72" i="40"/>
  <c r="R72" i="40" s="1"/>
  <c r="Q64" i="41"/>
  <c r="R64" i="41" s="1"/>
  <c r="M112" i="36"/>
  <c r="N112" i="36" s="1"/>
  <c r="E112" i="36" s="1"/>
  <c r="S6" i="37"/>
  <c r="T6" i="37" s="1"/>
  <c r="W69" i="40"/>
  <c r="X69" i="40" s="1"/>
  <c r="S31" i="37"/>
  <c r="T31" i="37" s="1"/>
  <c r="S25" i="38"/>
  <c r="T25" i="38" s="1"/>
  <c r="S44" i="41"/>
  <c r="T44" i="41" s="1"/>
  <c r="S28" i="36"/>
  <c r="T28" i="36" s="1"/>
  <c r="O11" i="36"/>
  <c r="P11" i="36" s="1"/>
  <c r="S18" i="36"/>
  <c r="T18" i="36" s="1"/>
  <c r="O80" i="36"/>
  <c r="P80" i="36" s="1"/>
  <c r="W58" i="37"/>
  <c r="X58" i="37" s="1"/>
  <c r="U13" i="37"/>
  <c r="V13" i="37" s="1"/>
  <c r="O41" i="36"/>
  <c r="P41" i="36" s="1"/>
  <c r="M107" i="36"/>
  <c r="N107" i="36" s="1"/>
  <c r="S109" i="36"/>
  <c r="T109" i="36" s="1"/>
  <c r="M41" i="36"/>
  <c r="N41" i="36" s="1"/>
  <c r="S36" i="41"/>
  <c r="T36" i="41" s="1"/>
  <c r="U55" i="40"/>
  <c r="V55" i="40" s="1"/>
  <c r="S64" i="40"/>
  <c r="T64" i="40" s="1"/>
  <c r="Q7" i="41"/>
  <c r="R7" i="41" s="1"/>
  <c r="Q7" i="40"/>
  <c r="R7" i="40" s="1"/>
  <c r="Q27" i="38"/>
  <c r="R27" i="38" s="1"/>
  <c r="O28" i="38"/>
  <c r="P28" i="38" s="1"/>
  <c r="S69" i="40"/>
  <c r="T69" i="40" s="1"/>
  <c r="Q29" i="39"/>
  <c r="R29" i="39" s="1"/>
  <c r="W18" i="40"/>
  <c r="X18" i="40" s="1"/>
  <c r="Q14" i="39"/>
  <c r="R14" i="39" s="1"/>
  <c r="W48" i="40"/>
  <c r="X48" i="40" s="1"/>
  <c r="U45" i="40"/>
  <c r="V45" i="40" s="1"/>
  <c r="Q60" i="40"/>
  <c r="R60" i="40" s="1"/>
  <c r="U37" i="37"/>
  <c r="V37" i="37" s="1"/>
  <c r="S62" i="40"/>
  <c r="T62" i="40" s="1"/>
  <c r="S34" i="37"/>
  <c r="T34" i="37" s="1"/>
  <c r="Q48" i="41"/>
  <c r="R48" i="41" s="1"/>
  <c r="U67" i="40"/>
  <c r="V67" i="40" s="1"/>
  <c r="O79" i="36"/>
  <c r="P79" i="36" s="1"/>
  <c r="S58" i="36"/>
  <c r="T58" i="36" s="1"/>
  <c r="U36" i="37"/>
  <c r="V36" i="37" s="1"/>
  <c r="S47" i="36"/>
  <c r="T47" i="36" s="1"/>
  <c r="S57" i="36"/>
  <c r="T57" i="36" s="1"/>
  <c r="O47" i="36"/>
  <c r="P47" i="36" s="1"/>
  <c r="O87" i="36"/>
  <c r="P87" i="36" s="1"/>
  <c r="F87" i="36" s="1"/>
  <c r="Q88" i="36"/>
  <c r="R88" i="36" s="1"/>
  <c r="Q119" i="36"/>
  <c r="R119" i="36" s="1"/>
  <c r="M21" i="33"/>
  <c r="N21" i="33" s="1"/>
  <c r="S21" i="33"/>
  <c r="T21" i="33" s="1"/>
  <c r="S72" i="36"/>
  <c r="T72" i="36" s="1"/>
  <c r="BE9" i="8"/>
  <c r="BC12" i="8"/>
  <c r="BE12" i="8"/>
  <c r="BD18" i="8"/>
  <c r="BE11" i="8"/>
  <c r="BC13" i="8"/>
  <c r="BC10" i="8"/>
  <c r="BC14" i="8"/>
  <c r="BE13" i="8"/>
  <c r="G42" i="40"/>
  <c r="J42" i="40" s="1"/>
  <c r="AC42" i="40" s="1"/>
  <c r="G60" i="40"/>
  <c r="J60" i="40" s="1"/>
  <c r="AC60" i="40" s="1"/>
  <c r="G54" i="40"/>
  <c r="J54" i="40" s="1"/>
  <c r="AC54" i="40" s="1"/>
  <c r="AJ11" i="7"/>
  <c r="AG11" i="7" s="1"/>
  <c r="H9" i="53" s="1"/>
  <c r="Y19" i="4"/>
  <c r="Z17" i="4"/>
  <c r="E9" i="6"/>
  <c r="AB14" i="8"/>
  <c r="AC14" i="8" s="1"/>
  <c r="U9" i="32"/>
  <c r="Y24" i="4"/>
  <c r="AK20" i="8"/>
  <c r="AJ20" i="8"/>
  <c r="E10" i="36"/>
  <c r="F72" i="36"/>
  <c r="F10" i="36"/>
  <c r="AE13" i="7"/>
  <c r="AF13" i="7" s="1"/>
  <c r="AG13" i="7" s="1"/>
  <c r="T20" i="32"/>
  <c r="T19" i="32"/>
  <c r="E6" i="36"/>
  <c r="G6" i="36" s="1"/>
  <c r="X6" i="36" s="1"/>
  <c r="F76" i="36"/>
  <c r="S12" i="32"/>
  <c r="V12" i="32" s="1"/>
  <c r="U13" i="32"/>
  <c r="AM19" i="8"/>
  <c r="AR19" i="8"/>
  <c r="AN19" i="8"/>
  <c r="AN20" i="8"/>
  <c r="AM20" i="8"/>
  <c r="AR20" i="8"/>
  <c r="I14" i="7"/>
  <c r="U11" i="32"/>
  <c r="AS10" i="8"/>
  <c r="BE10" i="8" s="1"/>
  <c r="O10" i="32"/>
  <c r="U10" i="32" s="1"/>
  <c r="U14" i="32"/>
  <c r="AJ12" i="7"/>
  <c r="AG12" i="7" s="1"/>
  <c r="H10" i="53" s="1"/>
  <c r="S10" i="32"/>
  <c r="S11" i="32"/>
  <c r="S13" i="32"/>
  <c r="AS14" i="8"/>
  <c r="BJ14" i="8" s="1"/>
  <c r="F14" i="30" s="1"/>
  <c r="X41" i="4"/>
  <c r="O15" i="32" s="1"/>
  <c r="U15" i="32" s="1"/>
  <c r="C15" i="6"/>
  <c r="W39" i="4"/>
  <c r="E14" i="6" s="1"/>
  <c r="X35" i="4"/>
  <c r="I15" i="7" s="1"/>
  <c r="X28" i="4"/>
  <c r="Y27" i="4"/>
  <c r="X29" i="4"/>
  <c r="J15" i="8" s="1"/>
  <c r="Z21" i="4"/>
  <c r="Y23" i="4"/>
  <c r="Y30" i="4"/>
  <c r="F15" i="6"/>
  <c r="G15" i="6"/>
  <c r="J9" i="8"/>
  <c r="G9" i="6"/>
  <c r="F9" i="6"/>
  <c r="D14" i="6"/>
  <c r="G17" i="6"/>
  <c r="F17" i="6"/>
  <c r="G16" i="6"/>
  <c r="F16" i="6"/>
  <c r="G14" i="6"/>
  <c r="F14" i="6"/>
  <c r="S14" i="32"/>
  <c r="S15" i="32"/>
  <c r="D9" i="6"/>
  <c r="V14" i="6"/>
  <c r="AQ6" i="4"/>
  <c r="AP6" i="4"/>
  <c r="AO6" i="4"/>
  <c r="AN6" i="4"/>
  <c r="AM6" i="4"/>
  <c r="AL6" i="4"/>
  <c r="AK6" i="4"/>
  <c r="AJ6" i="4"/>
  <c r="C13" i="6"/>
  <c r="V13" i="6" s="1"/>
  <c r="H16" i="8"/>
  <c r="Y16" i="8" s="1"/>
  <c r="E39" i="36"/>
  <c r="C9" i="30"/>
  <c r="E62" i="36"/>
  <c r="F62" i="36"/>
  <c r="E73" i="36"/>
  <c r="H73" i="36" s="1"/>
  <c r="F73" i="36"/>
  <c r="F117" i="36"/>
  <c r="E117" i="36"/>
  <c r="H117" i="36" s="1"/>
  <c r="E29" i="36"/>
  <c r="H29" i="36" s="1"/>
  <c r="F29" i="36"/>
  <c r="E95" i="36"/>
  <c r="F95" i="36"/>
  <c r="F128" i="36"/>
  <c r="E128" i="36"/>
  <c r="E106" i="36"/>
  <c r="F106" i="36"/>
  <c r="F51" i="36"/>
  <c r="E51" i="36"/>
  <c r="F40" i="36"/>
  <c r="E40" i="36"/>
  <c r="H40" i="36" s="1"/>
  <c r="F84" i="36"/>
  <c r="E84" i="36"/>
  <c r="M15" i="6"/>
  <c r="F37" i="41"/>
  <c r="E37" i="41"/>
  <c r="E107" i="36"/>
  <c r="F107" i="36"/>
  <c r="H42" i="40"/>
  <c r="F39" i="36"/>
  <c r="G73" i="40"/>
  <c r="H37" i="40"/>
  <c r="H19" i="40"/>
  <c r="E7" i="33"/>
  <c r="H74" i="40"/>
  <c r="H26" i="40"/>
  <c r="G12" i="40"/>
  <c r="J12" i="40" s="1"/>
  <c r="AC12" i="40" s="1"/>
  <c r="G38" i="40"/>
  <c r="H38" i="40"/>
  <c r="G20" i="40"/>
  <c r="H14" i="40"/>
  <c r="H6" i="40"/>
  <c r="H24" i="40"/>
  <c r="E17" i="33"/>
  <c r="E19" i="33"/>
  <c r="F23" i="33"/>
  <c r="E23" i="33"/>
  <c r="E15" i="33"/>
  <c r="E13" i="33"/>
  <c r="F13" i="33"/>
  <c r="E29" i="33"/>
  <c r="F27" i="33"/>
  <c r="E27" i="33"/>
  <c r="E21" i="33"/>
  <c r="F21" i="33"/>
  <c r="F9" i="33"/>
  <c r="E9" i="33"/>
  <c r="E11" i="33"/>
  <c r="F11" i="33"/>
  <c r="H11" i="8"/>
  <c r="Y11" i="8" s="1"/>
  <c r="T20" i="4"/>
  <c r="H13" i="8"/>
  <c r="Y13" i="8" s="1"/>
  <c r="V20" i="4"/>
  <c r="H12" i="8"/>
  <c r="Y12" i="8" s="1"/>
  <c r="U20" i="4"/>
  <c r="H10" i="8"/>
  <c r="Y10" i="8" s="1"/>
  <c r="S20" i="4"/>
  <c r="F61" i="41"/>
  <c r="F26" i="39"/>
  <c r="AG15" i="8"/>
  <c r="AL15" i="8"/>
  <c r="AQ15" i="8"/>
  <c r="AL11" i="8"/>
  <c r="AQ11" i="8"/>
  <c r="E72" i="36"/>
  <c r="H6" i="37"/>
  <c r="H22" i="40"/>
  <c r="G22" i="40"/>
  <c r="H21" i="40"/>
  <c r="G21" i="40"/>
  <c r="G6" i="40"/>
  <c r="K6" i="40" s="1"/>
  <c r="AD6" i="40" s="1"/>
  <c r="H67" i="40"/>
  <c r="G19" i="40"/>
  <c r="G51" i="40"/>
  <c r="H51" i="40"/>
  <c r="H57" i="40"/>
  <c r="G57" i="40"/>
  <c r="G76" i="40"/>
  <c r="H76" i="40"/>
  <c r="G33" i="40"/>
  <c r="H33" i="40"/>
  <c r="G75" i="40"/>
  <c r="H75" i="40"/>
  <c r="G70" i="40"/>
  <c r="H70" i="40"/>
  <c r="G40" i="40"/>
  <c r="H40" i="40"/>
  <c r="H45" i="40"/>
  <c r="G45" i="40"/>
  <c r="G69" i="40"/>
  <c r="H69" i="40"/>
  <c r="G58" i="40"/>
  <c r="H58" i="40"/>
  <c r="G37" i="40"/>
  <c r="H44" i="40"/>
  <c r="H28" i="40"/>
  <c r="G28" i="40"/>
  <c r="H15" i="40"/>
  <c r="G15" i="40"/>
  <c r="G27" i="40"/>
  <c r="H27" i="40"/>
  <c r="H52" i="40"/>
  <c r="G52" i="40"/>
  <c r="G46" i="40"/>
  <c r="H46" i="40"/>
  <c r="H9" i="40"/>
  <c r="G9" i="40"/>
  <c r="G39" i="40"/>
  <c r="H39" i="40"/>
  <c r="G66" i="40"/>
  <c r="J66" i="40" s="1"/>
  <c r="AC66" i="40" s="1"/>
  <c r="H18" i="40"/>
  <c r="H50" i="40"/>
  <c r="H10" i="40"/>
  <c r="G10" i="40"/>
  <c r="H34" i="40"/>
  <c r="G34" i="40"/>
  <c r="H16" i="40"/>
  <c r="G16" i="40"/>
  <c r="H63" i="40"/>
  <c r="G63" i="40"/>
  <c r="H64" i="40"/>
  <c r="G64" i="40"/>
  <c r="BJ13" i="8"/>
  <c r="F13" i="30" s="1"/>
  <c r="AL9" i="8"/>
  <c r="AQ9" i="8"/>
  <c r="H9" i="32"/>
  <c r="C9" i="32"/>
  <c r="M9" i="32"/>
  <c r="F89" i="36"/>
  <c r="F46" i="36"/>
  <c r="F6" i="39"/>
  <c r="H17" i="6"/>
  <c r="B17" i="8"/>
  <c r="L17" i="7"/>
  <c r="B17" i="32"/>
  <c r="F57" i="36"/>
  <c r="H26" i="37"/>
  <c r="G43" i="40"/>
  <c r="H32" i="40"/>
  <c r="G7" i="40"/>
  <c r="I7" i="40" s="1"/>
  <c r="AB7" i="40" s="1"/>
  <c r="H36" i="40"/>
  <c r="H72" i="40"/>
  <c r="G31" i="40"/>
  <c r="J31" i="40" s="1"/>
  <c r="AC31" i="40" s="1"/>
  <c r="H62" i="40"/>
  <c r="G74" i="40"/>
  <c r="H12" i="40"/>
  <c r="G48" i="40"/>
  <c r="J48" i="40" s="1"/>
  <c r="AC48" i="40" s="1"/>
  <c r="H60" i="40"/>
  <c r="G13" i="40"/>
  <c r="G30" i="40"/>
  <c r="J30" i="40" s="1"/>
  <c r="AC30" i="40" s="1"/>
  <c r="H8" i="40"/>
  <c r="H73" i="40"/>
  <c r="G20" i="37"/>
  <c r="J20" i="37" s="1"/>
  <c r="AC20" i="37" s="1"/>
  <c r="H20" i="40"/>
  <c r="E24" i="38"/>
  <c r="T18" i="5"/>
  <c r="B17" i="6" s="1"/>
  <c r="U18" i="5"/>
  <c r="F18" i="36"/>
  <c r="F101" i="36"/>
  <c r="F18" i="39"/>
  <c r="E26" i="39"/>
  <c r="E12" i="36"/>
  <c r="G62" i="40"/>
  <c r="H31" i="40"/>
  <c r="E90" i="36"/>
  <c r="F112" i="36"/>
  <c r="G72" i="40"/>
  <c r="J72" i="40" s="1"/>
  <c r="AC72" i="40" s="1"/>
  <c r="F79" i="36"/>
  <c r="F24" i="38"/>
  <c r="H30" i="40"/>
  <c r="G26" i="40"/>
  <c r="E6" i="39"/>
  <c r="F6" i="38"/>
  <c r="G49" i="40"/>
  <c r="G50" i="40"/>
  <c r="G49" i="37"/>
  <c r="G8" i="40"/>
  <c r="K8" i="40" s="1"/>
  <c r="AD8" i="40" s="1"/>
  <c r="G74" i="37"/>
  <c r="J74" i="37" s="1"/>
  <c r="AC74" i="37" s="1"/>
  <c r="E45" i="36"/>
  <c r="H13" i="40"/>
  <c r="F18" i="38"/>
  <c r="G14" i="40"/>
  <c r="J14" i="40" s="1"/>
  <c r="AC14" i="40" s="1"/>
  <c r="F6" i="36"/>
  <c r="H6" i="36" s="1"/>
  <c r="H43" i="40"/>
  <c r="E18" i="39"/>
  <c r="E100" i="36"/>
  <c r="F7" i="36"/>
  <c r="E18" i="38"/>
  <c r="H7" i="37"/>
  <c r="G7" i="37"/>
  <c r="G32" i="40"/>
  <c r="H8" i="37"/>
  <c r="G8" i="37"/>
  <c r="E68" i="36"/>
  <c r="G36" i="40"/>
  <c r="J36" i="40" s="1"/>
  <c r="AC36" i="40" s="1"/>
  <c r="H7" i="40"/>
  <c r="G13" i="37"/>
  <c r="H13" i="37"/>
  <c r="G50" i="37"/>
  <c r="J50" i="37" s="1"/>
  <c r="AC50" i="37" s="1"/>
  <c r="H48" i="40"/>
  <c r="H54" i="40"/>
  <c r="H31" i="37"/>
  <c r="G31" i="37"/>
  <c r="G73" i="37"/>
  <c r="H73" i="37"/>
  <c r="E34" i="36"/>
  <c r="H38" i="37"/>
  <c r="F11" i="36"/>
  <c r="G44" i="37"/>
  <c r="J44" i="37" s="1"/>
  <c r="AC44" i="37" s="1"/>
  <c r="E9" i="36"/>
  <c r="E24" i="36"/>
  <c r="F67" i="36"/>
  <c r="H66" i="40"/>
  <c r="G25" i="40"/>
  <c r="G56" i="40"/>
  <c r="F111" i="36"/>
  <c r="H32" i="37"/>
  <c r="G32" i="37"/>
  <c r="J32" i="37" s="1"/>
  <c r="AC32" i="37" s="1"/>
  <c r="E35" i="36"/>
  <c r="E133" i="36"/>
  <c r="G56" i="37"/>
  <c r="J56" i="37" s="1"/>
  <c r="AC56" i="37" s="1"/>
  <c r="G24" i="40"/>
  <c r="J24" i="40" s="1"/>
  <c r="AC24" i="40" s="1"/>
  <c r="G55" i="40"/>
  <c r="O19" i="5"/>
  <c r="H62" i="37"/>
  <c r="G44" i="40"/>
  <c r="G18" i="40"/>
  <c r="J18" i="40" s="1"/>
  <c r="AC18" i="40" s="1"/>
  <c r="E134" i="36"/>
  <c r="G37" i="37"/>
  <c r="H37" i="37"/>
  <c r="H68" i="40"/>
  <c r="G68" i="40"/>
  <c r="G68" i="37"/>
  <c r="J68" i="37" s="1"/>
  <c r="AC68" i="37" s="1"/>
  <c r="G66" i="37"/>
  <c r="H66" i="37"/>
  <c r="G43" i="37"/>
  <c r="H43" i="37"/>
  <c r="H67" i="37"/>
  <c r="G67" i="37"/>
  <c r="F22" i="39"/>
  <c r="F22" i="38"/>
  <c r="E22" i="38"/>
  <c r="G61" i="37"/>
  <c r="H61" i="37"/>
  <c r="G25" i="37"/>
  <c r="H25" i="37"/>
  <c r="H19" i="37"/>
  <c r="G19" i="37"/>
  <c r="G24" i="37"/>
  <c r="H24" i="37"/>
  <c r="H55" i="37"/>
  <c r="G55" i="37"/>
  <c r="G61" i="40"/>
  <c r="H61" i="40"/>
  <c r="J13" i="40"/>
  <c r="AC13" i="40" s="1"/>
  <c r="F44" i="41"/>
  <c r="E44" i="41"/>
  <c r="E47" i="41"/>
  <c r="F47" i="41"/>
  <c r="J37" i="40"/>
  <c r="AC37" i="40" s="1"/>
  <c r="F38" i="41"/>
  <c r="E38" i="41"/>
  <c r="F42" i="41"/>
  <c r="E42" i="41"/>
  <c r="F28" i="41"/>
  <c r="E28" i="41"/>
  <c r="I8" i="40"/>
  <c r="AB8" i="40" s="1"/>
  <c r="E34" i="41"/>
  <c r="F34" i="41"/>
  <c r="J43" i="40"/>
  <c r="AC43" i="40" s="1"/>
  <c r="F23" i="41"/>
  <c r="E23" i="41"/>
  <c r="E58" i="41"/>
  <c r="F58" i="41"/>
  <c r="J20" i="40"/>
  <c r="AC20" i="40" s="1"/>
  <c r="F12" i="41"/>
  <c r="E12" i="41"/>
  <c r="E64" i="41"/>
  <c r="F64" i="41"/>
  <c r="F8" i="41"/>
  <c r="E8" i="41"/>
  <c r="G8" i="41" s="1"/>
  <c r="X8" i="41" s="1"/>
  <c r="J67" i="40"/>
  <c r="AC67" i="40" s="1"/>
  <c r="J56" i="40"/>
  <c r="AC56" i="40" s="1"/>
  <c r="E36" i="41"/>
  <c r="F36" i="41"/>
  <c r="F22" i="41"/>
  <c r="E22" i="41"/>
  <c r="E32" i="41"/>
  <c r="F32" i="41"/>
  <c r="E62" i="41"/>
  <c r="F62" i="41"/>
  <c r="F7" i="41"/>
  <c r="E7" i="41"/>
  <c r="E39" i="41"/>
  <c r="F39" i="41"/>
  <c r="E59" i="41"/>
  <c r="F59" i="41"/>
  <c r="E17" i="41"/>
  <c r="F17" i="41"/>
  <c r="E63" i="41"/>
  <c r="F63" i="41"/>
  <c r="E9" i="41"/>
  <c r="G9" i="41" s="1"/>
  <c r="X9" i="41" s="1"/>
  <c r="F9" i="41"/>
  <c r="J74" i="40"/>
  <c r="AC74" i="40" s="1"/>
  <c r="E48" i="41"/>
  <c r="F48" i="41"/>
  <c r="E54" i="41"/>
  <c r="F54" i="41"/>
  <c r="F6" i="41"/>
  <c r="E6" i="41"/>
  <c r="J38" i="40"/>
  <c r="AC38" i="40" s="1"/>
  <c r="E52" i="41"/>
  <c r="F52" i="41"/>
  <c r="E27" i="41"/>
  <c r="F27" i="41"/>
  <c r="E18" i="41"/>
  <c r="F18" i="41"/>
  <c r="F29" i="41"/>
  <c r="E29" i="41"/>
  <c r="J73" i="40"/>
  <c r="AC73" i="40" s="1"/>
  <c r="J62" i="40"/>
  <c r="AC62" i="40" s="1"/>
  <c r="J19" i="40"/>
  <c r="AC19" i="40" s="1"/>
  <c r="BI12" i="8"/>
  <c r="E12" i="30" s="1"/>
  <c r="BJ12" i="8"/>
  <c r="F12" i="30" s="1"/>
  <c r="BI9" i="8"/>
  <c r="E9" i="30" s="1"/>
  <c r="BI10" i="8"/>
  <c r="E10" i="30" s="1"/>
  <c r="BI14" i="8"/>
  <c r="E14" i="30" s="1"/>
  <c r="BI11" i="8"/>
  <c r="E11" i="30" s="1"/>
  <c r="BI13" i="8"/>
  <c r="E13" i="30" s="1"/>
  <c r="J22" i="37"/>
  <c r="AC22" i="37" s="1"/>
  <c r="J16" i="37"/>
  <c r="AC16" i="37" s="1"/>
  <c r="K16" i="37"/>
  <c r="I16" i="37"/>
  <c r="J28" i="37"/>
  <c r="AC28" i="37" s="1"/>
  <c r="J46" i="37"/>
  <c r="AC46" i="37" s="1"/>
  <c r="J34" i="37"/>
  <c r="AC34" i="37" s="1"/>
  <c r="J70" i="37"/>
  <c r="AC70" i="37" s="1"/>
  <c r="J58" i="37"/>
  <c r="AC58" i="37" s="1"/>
  <c r="J76" i="37"/>
  <c r="AC76" i="37" s="1"/>
  <c r="J52" i="37"/>
  <c r="AC52" i="37" s="1"/>
  <c r="J64" i="37"/>
  <c r="AC64" i="37" s="1"/>
  <c r="J40" i="37"/>
  <c r="AC40" i="37" s="1"/>
  <c r="H7" i="36"/>
  <c r="G7" i="36"/>
  <c r="X7" i="36" s="1"/>
  <c r="H81" i="36"/>
  <c r="H70" i="36"/>
  <c r="H92" i="36"/>
  <c r="H114" i="36"/>
  <c r="H125" i="36"/>
  <c r="G10" i="36"/>
  <c r="X10" i="36" s="1"/>
  <c r="G12" i="36"/>
  <c r="X12" i="36" s="1"/>
  <c r="G13" i="36"/>
  <c r="G14" i="36"/>
  <c r="X14" i="36" s="1"/>
  <c r="H14" i="36"/>
  <c r="H37" i="36"/>
  <c r="H103" i="36"/>
  <c r="H15" i="36"/>
  <c r="G15" i="36"/>
  <c r="X15" i="36" s="1"/>
  <c r="H48" i="36"/>
  <c r="H59" i="36"/>
  <c r="H26" i="36"/>
  <c r="H136" i="36"/>
  <c r="H36" i="36"/>
  <c r="G11" i="36"/>
  <c r="H47" i="36"/>
  <c r="H25" i="36"/>
  <c r="AH16" i="4"/>
  <c r="P5" i="4"/>
  <c r="E116" i="36" l="1"/>
  <c r="F16" i="39"/>
  <c r="G54" i="37"/>
  <c r="E24" i="33"/>
  <c r="F96" i="36"/>
  <c r="E87" i="36"/>
  <c r="E22" i="39"/>
  <c r="E12" i="39"/>
  <c r="E21" i="41"/>
  <c r="F6" i="33"/>
  <c r="F56" i="41"/>
  <c r="E98" i="36"/>
  <c r="F43" i="36"/>
  <c r="F131" i="36"/>
  <c r="F63" i="36"/>
  <c r="F46" i="41"/>
  <c r="F12" i="38"/>
  <c r="E24" i="39"/>
  <c r="E118" i="36"/>
  <c r="E109" i="36"/>
  <c r="E31" i="41"/>
  <c r="F65" i="36"/>
  <c r="F129" i="36"/>
  <c r="E41" i="41"/>
  <c r="E127" i="36"/>
  <c r="F61" i="36"/>
  <c r="E94" i="36"/>
  <c r="G36" i="37"/>
  <c r="F8" i="36"/>
  <c r="F16" i="38"/>
  <c r="F21" i="41"/>
  <c r="E26" i="38"/>
  <c r="H54" i="37"/>
  <c r="E65" i="36"/>
  <c r="E41" i="36"/>
  <c r="F28" i="39"/>
  <c r="E16" i="39"/>
  <c r="E14" i="33"/>
  <c r="F41" i="36"/>
  <c r="E96" i="36"/>
  <c r="F12" i="39"/>
  <c r="E43" i="36"/>
  <c r="E18" i="33"/>
  <c r="E74" i="36"/>
  <c r="F94" i="36"/>
  <c r="F127" i="36"/>
  <c r="E61" i="36"/>
  <c r="H36" i="37"/>
  <c r="F24" i="33"/>
  <c r="E6" i="33"/>
  <c r="AO5" i="4"/>
  <c r="C52" i="67" s="1"/>
  <c r="C9" i="6"/>
  <c r="V9" i="6" s="1"/>
  <c r="E12" i="33"/>
  <c r="G60" i="37"/>
  <c r="J60" i="37" s="1"/>
  <c r="AC60" i="37" s="1"/>
  <c r="G6" i="37"/>
  <c r="H60" i="37"/>
  <c r="G72" i="37"/>
  <c r="E26" i="33"/>
  <c r="E28" i="33"/>
  <c r="F12" i="33"/>
  <c r="F18" i="33"/>
  <c r="F26" i="33"/>
  <c r="F14" i="33"/>
  <c r="F28" i="33"/>
  <c r="C10" i="6"/>
  <c r="V10" i="6" s="1"/>
  <c r="AP5" i="4"/>
  <c r="O25" i="38"/>
  <c r="P25" i="38" s="1"/>
  <c r="O20" i="36"/>
  <c r="P20" i="36" s="1"/>
  <c r="O90" i="36"/>
  <c r="P90" i="36" s="1"/>
  <c r="O8" i="33"/>
  <c r="P8" i="33" s="1"/>
  <c r="O54" i="36"/>
  <c r="P54" i="36" s="1"/>
  <c r="S16" i="40"/>
  <c r="T16" i="40" s="1"/>
  <c r="S15" i="40"/>
  <c r="T15" i="40" s="1"/>
  <c r="O9" i="38"/>
  <c r="P9" i="38" s="1"/>
  <c r="O53" i="36"/>
  <c r="P53" i="36" s="1"/>
  <c r="O25" i="36"/>
  <c r="P25" i="36" s="1"/>
  <c r="O22" i="36"/>
  <c r="P22" i="36" s="1"/>
  <c r="O21" i="33"/>
  <c r="P21" i="33" s="1"/>
  <c r="O57" i="36"/>
  <c r="P57" i="36" s="1"/>
  <c r="O85" i="36"/>
  <c r="P85" i="36" s="1"/>
  <c r="O11" i="41"/>
  <c r="P11" i="41" s="1"/>
  <c r="S12" i="37"/>
  <c r="T12" i="37" s="1"/>
  <c r="S13" i="40"/>
  <c r="T13" i="40" s="1"/>
  <c r="S34" i="40"/>
  <c r="T34" i="40" s="1"/>
  <c r="S30" i="37"/>
  <c r="T30" i="37" s="1"/>
  <c r="O8" i="38"/>
  <c r="P8" i="38" s="1"/>
  <c r="S16" i="37"/>
  <c r="T16" i="37" s="1"/>
  <c r="O84" i="36"/>
  <c r="P84" i="36" s="1"/>
  <c r="O20" i="38"/>
  <c r="P20" i="38" s="1"/>
  <c r="F20" i="38" s="1"/>
  <c r="O29" i="41"/>
  <c r="P29" i="41" s="1"/>
  <c r="O26" i="36"/>
  <c r="P26" i="36" s="1"/>
  <c r="O55" i="36"/>
  <c r="P55" i="36" s="1"/>
  <c r="O43" i="41"/>
  <c r="P43" i="41" s="1"/>
  <c r="S50" i="37"/>
  <c r="T50" i="37" s="1"/>
  <c r="O59" i="36"/>
  <c r="P59" i="36" s="1"/>
  <c r="S15" i="37"/>
  <c r="T15" i="37" s="1"/>
  <c r="S48" i="40"/>
  <c r="T48" i="40" s="1"/>
  <c r="O14" i="38"/>
  <c r="P14" i="38" s="1"/>
  <c r="F14" i="38" s="1"/>
  <c r="O51" i="36"/>
  <c r="P51" i="36" s="1"/>
  <c r="O15" i="39"/>
  <c r="P15" i="39" s="1"/>
  <c r="S33" i="40"/>
  <c r="T33" i="40" s="1"/>
  <c r="O92" i="36"/>
  <c r="P92" i="36" s="1"/>
  <c r="O89" i="36"/>
  <c r="P89" i="36" s="1"/>
  <c r="O17" i="36"/>
  <c r="P17" i="36" s="1"/>
  <c r="S13" i="37"/>
  <c r="T13" i="37" s="1"/>
  <c r="O14" i="41"/>
  <c r="P14" i="41" s="1"/>
  <c r="S30" i="40"/>
  <c r="T30" i="40" s="1"/>
  <c r="O9" i="39"/>
  <c r="P9" i="39" s="1"/>
  <c r="O21" i="39"/>
  <c r="P21" i="39" s="1"/>
  <c r="O19" i="36"/>
  <c r="P19" i="36" s="1"/>
  <c r="O18" i="36"/>
  <c r="P18" i="36" s="1"/>
  <c r="O28" i="41"/>
  <c r="P28" i="41" s="1"/>
  <c r="S49" i="40"/>
  <c r="T49" i="40" s="1"/>
  <c r="O42" i="41"/>
  <c r="P42" i="41" s="1"/>
  <c r="S32" i="37"/>
  <c r="T32" i="37" s="1"/>
  <c r="O83" i="36"/>
  <c r="P83" i="36" s="1"/>
  <c r="O24" i="36"/>
  <c r="P24" i="36" s="1"/>
  <c r="O26" i="41"/>
  <c r="P26" i="41" s="1"/>
  <c r="S12" i="40"/>
  <c r="T12" i="40" s="1"/>
  <c r="O14" i="39"/>
  <c r="P14" i="39" s="1"/>
  <c r="O21" i="38"/>
  <c r="P21" i="38" s="1"/>
  <c r="O9" i="33"/>
  <c r="P9" i="33" s="1"/>
  <c r="O44" i="41"/>
  <c r="P44" i="41" s="1"/>
  <c r="S52" i="37"/>
  <c r="T52" i="37" s="1"/>
  <c r="O88" i="36"/>
  <c r="P88" i="36" s="1"/>
  <c r="O58" i="36"/>
  <c r="P58" i="36" s="1"/>
  <c r="S32" i="40"/>
  <c r="T32" i="40" s="1"/>
  <c r="O27" i="41"/>
  <c r="P27" i="41" s="1"/>
  <c r="O15" i="38"/>
  <c r="P15" i="38" s="1"/>
  <c r="S14" i="40"/>
  <c r="T14" i="40" s="1"/>
  <c r="S51" i="37"/>
  <c r="T51" i="37" s="1"/>
  <c r="O50" i="36"/>
  <c r="P50" i="36" s="1"/>
  <c r="S48" i="37"/>
  <c r="T48" i="37" s="1"/>
  <c r="S51" i="40"/>
  <c r="T51" i="40" s="1"/>
  <c r="O52" i="36"/>
  <c r="P52" i="36" s="1"/>
  <c r="E52" i="36" s="1"/>
  <c r="M9" i="33"/>
  <c r="N9" i="33" s="1"/>
  <c r="M11" i="41"/>
  <c r="N11" i="41" s="1"/>
  <c r="M19" i="36"/>
  <c r="N19" i="36" s="1"/>
  <c r="Q16" i="37"/>
  <c r="R16" i="37" s="1"/>
  <c r="Q13" i="40"/>
  <c r="R13" i="40" s="1"/>
  <c r="M17" i="36"/>
  <c r="N17" i="36" s="1"/>
  <c r="M29" i="41"/>
  <c r="N29" i="41" s="1"/>
  <c r="M20" i="39"/>
  <c r="N20" i="39" s="1"/>
  <c r="M9" i="38"/>
  <c r="N9" i="38" s="1"/>
  <c r="M24" i="36"/>
  <c r="N24" i="36" s="1"/>
  <c r="F24" i="36" s="1"/>
  <c r="M12" i="41"/>
  <c r="N12" i="41" s="1"/>
  <c r="M8" i="38"/>
  <c r="N8" i="38" s="1"/>
  <c r="E8" i="38" s="1"/>
  <c r="Q13" i="37"/>
  <c r="R13" i="37" s="1"/>
  <c r="M9" i="39"/>
  <c r="N9" i="39" s="1"/>
  <c r="M13" i="41"/>
  <c r="N13" i="41" s="1"/>
  <c r="M26" i="36"/>
  <c r="N26" i="36" s="1"/>
  <c r="Q15" i="40"/>
  <c r="R15" i="40" s="1"/>
  <c r="Q30" i="37"/>
  <c r="R30" i="37" s="1"/>
  <c r="Q50" i="37"/>
  <c r="R50" i="37" s="1"/>
  <c r="H50" i="37" s="1"/>
  <c r="M23" i="36"/>
  <c r="N23" i="36" s="1"/>
  <c r="M8" i="33"/>
  <c r="N8" i="33" s="1"/>
  <c r="Q12" i="40"/>
  <c r="R12" i="40" s="1"/>
  <c r="M51" i="41"/>
  <c r="N51" i="41" s="1"/>
  <c r="Q14" i="40"/>
  <c r="R14" i="40" s="1"/>
  <c r="M20" i="33"/>
  <c r="N20" i="33" s="1"/>
  <c r="Q15" i="37"/>
  <c r="R15" i="37" s="1"/>
  <c r="M8" i="39"/>
  <c r="N8" i="39" s="1"/>
  <c r="Q14" i="37"/>
  <c r="R14" i="37" s="1"/>
  <c r="Q49" i="37"/>
  <c r="R49" i="37" s="1"/>
  <c r="H49" i="37" s="1"/>
  <c r="M21" i="36"/>
  <c r="N21" i="36" s="1"/>
  <c r="M14" i="41"/>
  <c r="N14" i="41" s="1"/>
  <c r="M18" i="36"/>
  <c r="N18" i="36" s="1"/>
  <c r="E18" i="36" s="1"/>
  <c r="M28" i="41"/>
  <c r="N28" i="41" s="1"/>
  <c r="M20" i="36"/>
  <c r="N20" i="36" s="1"/>
  <c r="Q16" i="40"/>
  <c r="R16" i="40" s="1"/>
  <c r="Q49" i="40"/>
  <c r="R49" i="40" s="1"/>
  <c r="H49" i="40" s="1"/>
  <c r="Q18" i="40"/>
  <c r="R18" i="40" s="1"/>
  <c r="M11" i="38"/>
  <c r="N11" i="38" s="1"/>
  <c r="M34" i="36"/>
  <c r="N34" i="36" s="1"/>
  <c r="F34" i="36" s="1"/>
  <c r="M10" i="38"/>
  <c r="N10" i="38" s="1"/>
  <c r="Q18" i="37"/>
  <c r="R18" i="37" s="1"/>
  <c r="M33" i="36"/>
  <c r="N33" i="36" s="1"/>
  <c r="M19" i="41"/>
  <c r="N19" i="41" s="1"/>
  <c r="Q19" i="37"/>
  <c r="R19" i="37" s="1"/>
  <c r="M35" i="36"/>
  <c r="N35" i="36" s="1"/>
  <c r="F35" i="36" s="1"/>
  <c r="Q21" i="37"/>
  <c r="R21" i="37" s="1"/>
  <c r="M36" i="36"/>
  <c r="N36" i="36" s="1"/>
  <c r="M10" i="39"/>
  <c r="N10" i="39" s="1"/>
  <c r="M37" i="36"/>
  <c r="N37" i="36" s="1"/>
  <c r="Q22" i="40"/>
  <c r="R22" i="40" s="1"/>
  <c r="M105" i="36"/>
  <c r="N105" i="36" s="1"/>
  <c r="Q44" i="40"/>
  <c r="R44" i="40" s="1"/>
  <c r="Q19" i="40"/>
  <c r="R19" i="40" s="1"/>
  <c r="M32" i="36"/>
  <c r="N32" i="36" s="1"/>
  <c r="M28" i="36"/>
  <c r="N28" i="36" s="1"/>
  <c r="M29" i="36"/>
  <c r="N29" i="36" s="1"/>
  <c r="Q22" i="37"/>
  <c r="R22" i="37" s="1"/>
  <c r="M10" i="33"/>
  <c r="N10" i="33" s="1"/>
  <c r="M16" i="41"/>
  <c r="N16" i="41" s="1"/>
  <c r="F16" i="41" s="1"/>
  <c r="Q21" i="40"/>
  <c r="R21" i="40" s="1"/>
  <c r="M31" i="36"/>
  <c r="N31" i="36" s="1"/>
  <c r="M11" i="33"/>
  <c r="N11" i="33" s="1"/>
  <c r="M11" i="39"/>
  <c r="N11" i="39" s="1"/>
  <c r="M17" i="41"/>
  <c r="N17" i="41" s="1"/>
  <c r="M30" i="36"/>
  <c r="N30" i="36" s="1"/>
  <c r="Q20" i="40"/>
  <c r="R20" i="40" s="1"/>
  <c r="M18" i="41"/>
  <c r="N18" i="41" s="1"/>
  <c r="Q20" i="37"/>
  <c r="R20" i="37" s="1"/>
  <c r="H20" i="37" s="1"/>
  <c r="M22" i="36"/>
  <c r="N22" i="36" s="1"/>
  <c r="AI19" i="5"/>
  <c r="AH19" i="5"/>
  <c r="AG19" i="5"/>
  <c r="X9" i="6"/>
  <c r="AN5" i="4"/>
  <c r="E22" i="33"/>
  <c r="E16" i="33"/>
  <c r="E28" i="38"/>
  <c r="G42" i="37"/>
  <c r="H42" i="37"/>
  <c r="F28" i="38"/>
  <c r="F16" i="33"/>
  <c r="F22" i="33"/>
  <c r="BC9" i="8"/>
  <c r="BF9" i="8" s="1"/>
  <c r="J10" i="30"/>
  <c r="O10" i="30" s="1"/>
  <c r="AD10" i="6"/>
  <c r="D8" i="53" s="1"/>
  <c r="M10" i="53"/>
  <c r="BI18" i="65" s="1"/>
  <c r="K22" i="37"/>
  <c r="AD16" i="37"/>
  <c r="I22" i="37"/>
  <c r="AB22" i="37" s="1"/>
  <c r="AB16" i="37"/>
  <c r="H11" i="36"/>
  <c r="X11" i="36"/>
  <c r="H13" i="36"/>
  <c r="X13" i="36"/>
  <c r="G12" i="30"/>
  <c r="N12" i="30" s="1"/>
  <c r="BC11" i="8"/>
  <c r="BF11" i="8" s="1"/>
  <c r="J11" i="30"/>
  <c r="O11" i="30" s="1"/>
  <c r="AD11" i="6"/>
  <c r="BD20" i="8"/>
  <c r="BD19" i="8"/>
  <c r="BI15" i="8"/>
  <c r="E15" i="30" s="1"/>
  <c r="BC15" i="8"/>
  <c r="BE14" i="8"/>
  <c r="BF14" i="8" s="1"/>
  <c r="AA15" i="8"/>
  <c r="AB15" i="8" s="1"/>
  <c r="AA9" i="8"/>
  <c r="AB9" i="8" s="1"/>
  <c r="D14" i="30"/>
  <c r="K14" i="30" s="1"/>
  <c r="J6" i="40"/>
  <c r="AC6" i="40" s="1"/>
  <c r="I6" i="40"/>
  <c r="AB6" i="40" s="1"/>
  <c r="AB26" i="4"/>
  <c r="AB16" i="4"/>
  <c r="Z19" i="4"/>
  <c r="AA17" i="4"/>
  <c r="V13" i="32"/>
  <c r="G13" i="30" s="1"/>
  <c r="N13" i="30" s="1"/>
  <c r="V14" i="32"/>
  <c r="G14" i="30" s="1"/>
  <c r="N14" i="30" s="1"/>
  <c r="Z24" i="4"/>
  <c r="C13" i="30"/>
  <c r="H10" i="36"/>
  <c r="J12" i="30"/>
  <c r="O12" i="30" s="1"/>
  <c r="AD12" i="6"/>
  <c r="D10" i="53" s="1"/>
  <c r="W9" i="6"/>
  <c r="D15" i="6"/>
  <c r="W15" i="6" s="1"/>
  <c r="BJ10" i="8"/>
  <c r="F10" i="30" s="1"/>
  <c r="W14" i="6"/>
  <c r="V15" i="6"/>
  <c r="M16" i="32"/>
  <c r="H16" i="32"/>
  <c r="C16" i="32"/>
  <c r="V11" i="32"/>
  <c r="X14" i="6"/>
  <c r="V10" i="32"/>
  <c r="V15" i="32"/>
  <c r="M13" i="53" s="1"/>
  <c r="BL18" i="65" s="1"/>
  <c r="AJ14" i="7"/>
  <c r="AE14" i="7"/>
  <c r="AF14" i="7" s="1"/>
  <c r="X39" i="4"/>
  <c r="AS15" i="8" s="1"/>
  <c r="BE15" i="8" s="1"/>
  <c r="Y41" i="4"/>
  <c r="Y28" i="4"/>
  <c r="AJ15" i="7"/>
  <c r="AE15" i="7"/>
  <c r="AF15" i="7" s="1"/>
  <c r="Y35" i="4"/>
  <c r="I16" i="7" s="1"/>
  <c r="Z30" i="4"/>
  <c r="Z23" i="4"/>
  <c r="AA21" i="4"/>
  <c r="H17" i="8"/>
  <c r="Y17" i="8" s="1"/>
  <c r="Y29" i="4"/>
  <c r="J16" i="8" s="1"/>
  <c r="Z27" i="4"/>
  <c r="E13" i="6"/>
  <c r="G13" i="6"/>
  <c r="F13" i="6"/>
  <c r="E11" i="6"/>
  <c r="G11" i="6"/>
  <c r="F11" i="6"/>
  <c r="F10" i="6"/>
  <c r="G10" i="6"/>
  <c r="F12" i="6"/>
  <c r="G12" i="6"/>
  <c r="AT88" i="4"/>
  <c r="AT64" i="4"/>
  <c r="AT76" i="4"/>
  <c r="AT52" i="4"/>
  <c r="AT101" i="4"/>
  <c r="AT42" i="4"/>
  <c r="AT87" i="4"/>
  <c r="AT63" i="4"/>
  <c r="AT51" i="4"/>
  <c r="AT100" i="4"/>
  <c r="AT75" i="4"/>
  <c r="AT86" i="4"/>
  <c r="AT62" i="4"/>
  <c r="AT74" i="4"/>
  <c r="AT99" i="4"/>
  <c r="AT50" i="4"/>
  <c r="AT43" i="4"/>
  <c r="AT85" i="4"/>
  <c r="AT61" i="4"/>
  <c r="AT97" i="4"/>
  <c r="AT73" i="4"/>
  <c r="AT49" i="4"/>
  <c r="AT91" i="4"/>
  <c r="AT102" i="4"/>
  <c r="AT84" i="4"/>
  <c r="AT60" i="4"/>
  <c r="AT48" i="4"/>
  <c r="AT96" i="4"/>
  <c r="AT72" i="4"/>
  <c r="AT90" i="4"/>
  <c r="AT83" i="4"/>
  <c r="AT59" i="4"/>
  <c r="AT47" i="4"/>
  <c r="AT95" i="4"/>
  <c r="AT71" i="4"/>
  <c r="AT67" i="4"/>
  <c r="AT78" i="4"/>
  <c r="AT66" i="4"/>
  <c r="AT46" i="4"/>
  <c r="AT82" i="4"/>
  <c r="AT58" i="4"/>
  <c r="AT94" i="4"/>
  <c r="AT70" i="4"/>
  <c r="AT31" i="4"/>
  <c r="AT106" i="4"/>
  <c r="AT81" i="4"/>
  <c r="AT57" i="4"/>
  <c r="AT33" i="4"/>
  <c r="AT45" i="4"/>
  <c r="AT93" i="4"/>
  <c r="AT69" i="4"/>
  <c r="AT54" i="4"/>
  <c r="AT32" i="4"/>
  <c r="AT80" i="4"/>
  <c r="AT56" i="4"/>
  <c r="AT105" i="4"/>
  <c r="AT44" i="4"/>
  <c r="AT92" i="4"/>
  <c r="AT68" i="4"/>
  <c r="AT55" i="4"/>
  <c r="AT79" i="4"/>
  <c r="AT89" i="4"/>
  <c r="AT65" i="4"/>
  <c r="AT104" i="4"/>
  <c r="AT103" i="4"/>
  <c r="AT98" i="4"/>
  <c r="AT77" i="4"/>
  <c r="AT53" i="4"/>
  <c r="AB21" i="4"/>
  <c r="AT18" i="4"/>
  <c r="AT35" i="4"/>
  <c r="AB25" i="4"/>
  <c r="E19" i="32" s="1"/>
  <c r="AT11" i="4"/>
  <c r="AT26" i="4"/>
  <c r="AB18" i="4"/>
  <c r="AT15" i="4"/>
  <c r="AT40" i="4"/>
  <c r="AT17" i="4"/>
  <c r="AT13" i="4"/>
  <c r="AT38" i="4"/>
  <c r="AT19" i="4"/>
  <c r="AT8" i="4"/>
  <c r="AT21" i="4"/>
  <c r="AT36" i="4"/>
  <c r="AT25" i="4"/>
  <c r="AT23" i="4"/>
  <c r="AT24" i="4"/>
  <c r="AT14" i="4"/>
  <c r="AT29" i="4"/>
  <c r="AB17" i="4"/>
  <c r="AT28" i="4"/>
  <c r="AT27" i="4"/>
  <c r="AT9" i="4"/>
  <c r="AT12" i="4"/>
  <c r="AT34" i="4"/>
  <c r="AT10" i="4"/>
  <c r="AT22" i="4"/>
  <c r="AT20" i="4"/>
  <c r="AT7" i="4"/>
  <c r="AT30" i="4"/>
  <c r="AT41" i="4"/>
  <c r="AT16" i="4"/>
  <c r="AT39" i="4"/>
  <c r="AB20" i="4"/>
  <c r="AT37" i="4"/>
  <c r="J10" i="8"/>
  <c r="D10" i="6"/>
  <c r="J12" i="8"/>
  <c r="D12" i="6"/>
  <c r="E12" i="6"/>
  <c r="J13" i="8"/>
  <c r="D13" i="6"/>
  <c r="J11" i="8"/>
  <c r="D11" i="6"/>
  <c r="E10" i="6"/>
  <c r="AE14" i="6"/>
  <c r="E12" i="53" s="1"/>
  <c r="D7" i="53"/>
  <c r="H11" i="53"/>
  <c r="H7" i="53"/>
  <c r="J9" i="30"/>
  <c r="O9" i="30" s="1"/>
  <c r="I12" i="53"/>
  <c r="H84" i="36"/>
  <c r="H51" i="36"/>
  <c r="H128" i="36"/>
  <c r="H106" i="36"/>
  <c r="H95" i="36"/>
  <c r="H62" i="36"/>
  <c r="M16" i="6"/>
  <c r="C16" i="6"/>
  <c r="H37" i="41"/>
  <c r="J37" i="41"/>
  <c r="J7" i="40"/>
  <c r="AC7" i="40" s="1"/>
  <c r="K7" i="40"/>
  <c r="AD7" i="40" s="1"/>
  <c r="AD14" i="8"/>
  <c r="BJ11" i="8"/>
  <c r="F11" i="30" s="1"/>
  <c r="AG16" i="8"/>
  <c r="AD13" i="6"/>
  <c r="J13" i="30"/>
  <c r="AL16" i="8"/>
  <c r="AQ16" i="8"/>
  <c r="J72" i="37"/>
  <c r="AC72" i="37" s="1"/>
  <c r="I6" i="37"/>
  <c r="AB6" i="37" s="1"/>
  <c r="K6" i="37"/>
  <c r="AD6" i="37" s="1"/>
  <c r="J6" i="37"/>
  <c r="AC6" i="37" s="1"/>
  <c r="J64" i="40"/>
  <c r="AC64" i="40" s="1"/>
  <c r="J10" i="40"/>
  <c r="AC10" i="40" s="1"/>
  <c r="K10" i="40"/>
  <c r="AD10" i="40" s="1"/>
  <c r="I10" i="40"/>
  <c r="AB10" i="40" s="1"/>
  <c r="J69" i="40"/>
  <c r="AC69" i="40" s="1"/>
  <c r="J76" i="40"/>
  <c r="AC76" i="40" s="1"/>
  <c r="J28" i="40"/>
  <c r="AC28" i="40" s="1"/>
  <c r="J45" i="40"/>
  <c r="AC45" i="40" s="1"/>
  <c r="J57" i="40"/>
  <c r="AC57" i="40" s="1"/>
  <c r="J16" i="40"/>
  <c r="AC16" i="40" s="1"/>
  <c r="J40" i="40"/>
  <c r="AC40" i="40" s="1"/>
  <c r="J21" i="40"/>
  <c r="AC21" i="40" s="1"/>
  <c r="J63" i="40"/>
  <c r="AC63" i="40" s="1"/>
  <c r="J34" i="40"/>
  <c r="AC34" i="40" s="1"/>
  <c r="J39" i="40"/>
  <c r="AC39" i="40" s="1"/>
  <c r="J46" i="40"/>
  <c r="AC46" i="40" s="1"/>
  <c r="J27" i="40"/>
  <c r="AC27" i="40" s="1"/>
  <c r="J58" i="40"/>
  <c r="AC58" i="40" s="1"/>
  <c r="J70" i="40"/>
  <c r="AC70" i="40" s="1"/>
  <c r="J33" i="40"/>
  <c r="AC33" i="40" s="1"/>
  <c r="J22" i="40"/>
  <c r="AC22" i="40" s="1"/>
  <c r="J75" i="40"/>
  <c r="AC75" i="40" s="1"/>
  <c r="J51" i="40"/>
  <c r="AC51" i="40" s="1"/>
  <c r="K9" i="40"/>
  <c r="AD9" i="40" s="1"/>
  <c r="I9" i="40"/>
  <c r="AB9" i="40" s="1"/>
  <c r="J9" i="40"/>
  <c r="AC9" i="40" s="1"/>
  <c r="J52" i="40"/>
  <c r="AC52" i="40" s="1"/>
  <c r="J15" i="40"/>
  <c r="AC15" i="40" s="1"/>
  <c r="BF10" i="8"/>
  <c r="BJ9" i="8"/>
  <c r="F9" i="30" s="1"/>
  <c r="S9" i="32"/>
  <c r="V9" i="32" s="1"/>
  <c r="AI17" i="7"/>
  <c r="H18" i="6"/>
  <c r="B18" i="8"/>
  <c r="L18" i="7"/>
  <c r="B18" i="32"/>
  <c r="L7" i="40"/>
  <c r="H12" i="36"/>
  <c r="H9" i="41"/>
  <c r="H8" i="41"/>
  <c r="H8" i="36"/>
  <c r="G9" i="36"/>
  <c r="J50" i="40"/>
  <c r="AC50" i="40" s="1"/>
  <c r="T19" i="5"/>
  <c r="B18" i="6" s="1"/>
  <c r="U19" i="5"/>
  <c r="J49" i="37"/>
  <c r="AC49" i="37" s="1"/>
  <c r="J26" i="40"/>
  <c r="AC26" i="40" s="1"/>
  <c r="J25" i="40"/>
  <c r="AC25" i="40" s="1"/>
  <c r="J49" i="40"/>
  <c r="AC49" i="40" s="1"/>
  <c r="J8" i="40"/>
  <c r="J32" i="40"/>
  <c r="AC32" i="40" s="1"/>
  <c r="J31" i="37"/>
  <c r="AC31" i="37" s="1"/>
  <c r="J13" i="37"/>
  <c r="AC13" i="37" s="1"/>
  <c r="K8" i="37"/>
  <c r="AD8" i="37" s="1"/>
  <c r="I8" i="37"/>
  <c r="AB8" i="37" s="1"/>
  <c r="J8" i="37"/>
  <c r="AC8" i="37" s="1"/>
  <c r="I7" i="37"/>
  <c r="AB7" i="37" s="1"/>
  <c r="K7" i="37"/>
  <c r="AD7" i="37" s="1"/>
  <c r="J7" i="37"/>
  <c r="AC7" i="37" s="1"/>
  <c r="J73" i="37"/>
  <c r="AC73" i="37" s="1"/>
  <c r="J55" i="40"/>
  <c r="AC55" i="40" s="1"/>
  <c r="J44" i="40"/>
  <c r="AC44" i="40" s="1"/>
  <c r="O20" i="5"/>
  <c r="J36" i="37"/>
  <c r="AC36" i="37" s="1"/>
  <c r="J37" i="37"/>
  <c r="AC37" i="37" s="1"/>
  <c r="J68" i="40"/>
  <c r="AC68" i="40" s="1"/>
  <c r="J67" i="37"/>
  <c r="AC67" i="37" s="1"/>
  <c r="J66" i="37"/>
  <c r="AC66" i="37" s="1"/>
  <c r="J42" i="37"/>
  <c r="AC42" i="37" s="1"/>
  <c r="J43" i="37"/>
  <c r="AC43" i="37" s="1"/>
  <c r="J55" i="37"/>
  <c r="AC55" i="37" s="1"/>
  <c r="J61" i="40"/>
  <c r="AC61" i="40" s="1"/>
  <c r="J24" i="37"/>
  <c r="AC24" i="37" s="1"/>
  <c r="J19" i="37"/>
  <c r="AC19" i="37" s="1"/>
  <c r="J54" i="37"/>
  <c r="AC54" i="37" s="1"/>
  <c r="J25" i="37"/>
  <c r="AC25" i="37" s="1"/>
  <c r="J61" i="37"/>
  <c r="AC61" i="37" s="1"/>
  <c r="L6" i="40"/>
  <c r="G7" i="41"/>
  <c r="G6" i="41"/>
  <c r="BF13" i="8"/>
  <c r="BF12" i="8"/>
  <c r="L16" i="37"/>
  <c r="L22" i="37"/>
  <c r="I28" i="37"/>
  <c r="AB28" i="37" s="1"/>
  <c r="Q5" i="4"/>
  <c r="AH17" i="4"/>
  <c r="E14" i="38" l="1"/>
  <c r="E20" i="38"/>
  <c r="F52" i="36"/>
  <c r="F8" i="38"/>
  <c r="E50" i="36"/>
  <c r="F50" i="36"/>
  <c r="E14" i="39"/>
  <c r="F14" i="39"/>
  <c r="E54" i="36"/>
  <c r="F54" i="36"/>
  <c r="E26" i="41"/>
  <c r="F26" i="41"/>
  <c r="F83" i="36"/>
  <c r="E83" i="36"/>
  <c r="F85" i="36"/>
  <c r="E85" i="36"/>
  <c r="E11" i="41"/>
  <c r="F11" i="41"/>
  <c r="E51" i="41"/>
  <c r="F51" i="41"/>
  <c r="E16" i="41"/>
  <c r="F32" i="36"/>
  <c r="E32" i="36"/>
  <c r="E21" i="36"/>
  <c r="F21" i="36"/>
  <c r="F19" i="36"/>
  <c r="E19" i="36"/>
  <c r="F30" i="36"/>
  <c r="E30" i="36"/>
  <c r="E105" i="36"/>
  <c r="F105" i="36"/>
  <c r="E28" i="36"/>
  <c r="F28" i="36"/>
  <c r="E17" i="36"/>
  <c r="F17" i="36"/>
  <c r="E8" i="39"/>
  <c r="F8" i="39"/>
  <c r="F20" i="39"/>
  <c r="E20" i="39"/>
  <c r="F10" i="39"/>
  <c r="E10" i="39"/>
  <c r="F10" i="38"/>
  <c r="E10" i="38"/>
  <c r="H48" i="37"/>
  <c r="G48" i="37"/>
  <c r="J48" i="37" s="1"/>
  <c r="AC48" i="37" s="1"/>
  <c r="H12" i="37"/>
  <c r="G12" i="37"/>
  <c r="J12" i="37" s="1"/>
  <c r="AC12" i="37" s="1"/>
  <c r="H18" i="37"/>
  <c r="G18" i="37"/>
  <c r="J18" i="37" s="1"/>
  <c r="AC18" i="37" s="1"/>
  <c r="G30" i="37"/>
  <c r="J30" i="37" s="1"/>
  <c r="AC30" i="37" s="1"/>
  <c r="H30" i="37"/>
  <c r="F8" i="33"/>
  <c r="E8" i="33"/>
  <c r="E20" i="33"/>
  <c r="F20" i="33"/>
  <c r="E10" i="33"/>
  <c r="F10" i="33"/>
  <c r="O16" i="32"/>
  <c r="U16" i="32" s="1"/>
  <c r="AA9" i="6"/>
  <c r="AB9" i="6" s="1"/>
  <c r="C7" i="53" s="1"/>
  <c r="AH20" i="5"/>
  <c r="AI20" i="5"/>
  <c r="AG20" i="5"/>
  <c r="D9" i="53"/>
  <c r="P14" i="30"/>
  <c r="O13" i="30"/>
  <c r="H6" i="41"/>
  <c r="X6" i="41"/>
  <c r="H7" i="41"/>
  <c r="X7" i="41"/>
  <c r="H9" i="36"/>
  <c r="X9" i="36"/>
  <c r="K28" i="37"/>
  <c r="AD22" i="37"/>
  <c r="L8" i="40"/>
  <c r="AC8" i="40"/>
  <c r="AC4" i="40" s="1"/>
  <c r="C66" i="67" s="1"/>
  <c r="BC16" i="8"/>
  <c r="D9" i="30"/>
  <c r="K9" i="30" s="1"/>
  <c r="P9" i="30" s="1"/>
  <c r="AC9" i="8"/>
  <c r="AD9" i="8" s="1"/>
  <c r="AC15" i="8"/>
  <c r="D15" i="30"/>
  <c r="K15" i="30" s="1"/>
  <c r="P15" i="30" s="1"/>
  <c r="AA11" i="8"/>
  <c r="AB11" i="8" s="1"/>
  <c r="AA13" i="8"/>
  <c r="AB13" i="8" s="1"/>
  <c r="AA12" i="8"/>
  <c r="AB12" i="8" s="1"/>
  <c r="AA16" i="8"/>
  <c r="AB16" i="8" s="1"/>
  <c r="AA10" i="8"/>
  <c r="AB10" i="8" s="1"/>
  <c r="AC26" i="4"/>
  <c r="AC16" i="4"/>
  <c r="M12" i="53"/>
  <c r="BK18" i="65" s="1"/>
  <c r="M11" i="53"/>
  <c r="BJ18" i="65" s="1"/>
  <c r="AA19" i="4"/>
  <c r="W11" i="6"/>
  <c r="AA24" i="4"/>
  <c r="AA14" i="6"/>
  <c r="AB14" i="6" s="1"/>
  <c r="D16" i="6"/>
  <c r="W16" i="6" s="1"/>
  <c r="BF15" i="8"/>
  <c r="E15" i="6"/>
  <c r="X15" i="6" s="1"/>
  <c r="AA15" i="6" s="1"/>
  <c r="B15" i="30" s="1"/>
  <c r="S16" i="32"/>
  <c r="BJ15" i="8"/>
  <c r="F15" i="30" s="1"/>
  <c r="M17" i="32"/>
  <c r="H17" i="32"/>
  <c r="C17" i="32"/>
  <c r="M9" i="53"/>
  <c r="BH18" i="65" s="1"/>
  <c r="G11" i="30"/>
  <c r="N11" i="30" s="1"/>
  <c r="G15" i="30"/>
  <c r="N15" i="30" s="1"/>
  <c r="M8" i="53"/>
  <c r="BG18" i="65" s="1"/>
  <c r="G10" i="30"/>
  <c r="N10" i="30" s="1"/>
  <c r="AG14" i="7"/>
  <c r="C14" i="30"/>
  <c r="W13" i="6"/>
  <c r="X11" i="6"/>
  <c r="W12" i="6"/>
  <c r="Y39" i="4"/>
  <c r="Z41" i="4"/>
  <c r="O17" i="32" s="1"/>
  <c r="U17" i="32" s="1"/>
  <c r="W10" i="6"/>
  <c r="AJ16" i="7"/>
  <c r="AE16" i="7"/>
  <c r="AF16" i="7" s="1"/>
  <c r="Z35" i="4"/>
  <c r="I17" i="7" s="1"/>
  <c r="C15" i="30"/>
  <c r="AG15" i="7"/>
  <c r="Z28" i="4"/>
  <c r="H18" i="8"/>
  <c r="Y18" i="8" s="1"/>
  <c r="Z29" i="4"/>
  <c r="J17" i="8" s="1"/>
  <c r="F18" i="6"/>
  <c r="G18" i="6"/>
  <c r="X13" i="6"/>
  <c r="AA23" i="4"/>
  <c r="AA27" i="4"/>
  <c r="AA30" i="4"/>
  <c r="X10" i="6"/>
  <c r="X12" i="6"/>
  <c r="F19" i="6"/>
  <c r="G19" i="6"/>
  <c r="AU89" i="4"/>
  <c r="AU65" i="4"/>
  <c r="AU102" i="4"/>
  <c r="AU77" i="4"/>
  <c r="AU53" i="4"/>
  <c r="AU92" i="4"/>
  <c r="AU88" i="4"/>
  <c r="AU64" i="4"/>
  <c r="AU76" i="4"/>
  <c r="AU52" i="4"/>
  <c r="AU101" i="4"/>
  <c r="AU87" i="4"/>
  <c r="AU63" i="4"/>
  <c r="AU51" i="4"/>
  <c r="AU100" i="4"/>
  <c r="AU75" i="4"/>
  <c r="AU86" i="4"/>
  <c r="AU62" i="4"/>
  <c r="AU74" i="4"/>
  <c r="AU50" i="4"/>
  <c r="AU85" i="4"/>
  <c r="AU61" i="4"/>
  <c r="AU99" i="4"/>
  <c r="AU97" i="4"/>
  <c r="AU73" i="4"/>
  <c r="AU49" i="4"/>
  <c r="AU80" i="4"/>
  <c r="AU84" i="4"/>
  <c r="AU60" i="4"/>
  <c r="AU48" i="4"/>
  <c r="AU96" i="4"/>
  <c r="AU72" i="4"/>
  <c r="AU32" i="4"/>
  <c r="AU104" i="4"/>
  <c r="AU83" i="4"/>
  <c r="AU59" i="4"/>
  <c r="AU47" i="4"/>
  <c r="AU95" i="4"/>
  <c r="AU71" i="4"/>
  <c r="AU44" i="4"/>
  <c r="AU68" i="4"/>
  <c r="AU103" i="4"/>
  <c r="AU46" i="4"/>
  <c r="AU82" i="4"/>
  <c r="AU58" i="4"/>
  <c r="AU94" i="4"/>
  <c r="AU70" i="4"/>
  <c r="AU56" i="4"/>
  <c r="AU106" i="4"/>
  <c r="AU81" i="4"/>
  <c r="AU57" i="4"/>
  <c r="AU33" i="4"/>
  <c r="AU45" i="4"/>
  <c r="AU93" i="4"/>
  <c r="AU69" i="4"/>
  <c r="AU91" i="4"/>
  <c r="AU67" i="4"/>
  <c r="AU42" i="4"/>
  <c r="AU55" i="4"/>
  <c r="AU78" i="4"/>
  <c r="AU105" i="4"/>
  <c r="AU79" i="4"/>
  <c r="AU43" i="4"/>
  <c r="AU31" i="4"/>
  <c r="AU54" i="4"/>
  <c r="AU90" i="4"/>
  <c r="AU66" i="4"/>
  <c r="AU98" i="4"/>
  <c r="AU9" i="4"/>
  <c r="AU12" i="4"/>
  <c r="AU18" i="4"/>
  <c r="AU35" i="4"/>
  <c r="AC21" i="4"/>
  <c r="AU11" i="4"/>
  <c r="AC18" i="4"/>
  <c r="AU26" i="4"/>
  <c r="AU15" i="4"/>
  <c r="AU40" i="4"/>
  <c r="AU13" i="4"/>
  <c r="AU17" i="4"/>
  <c r="AU38" i="4"/>
  <c r="AU19" i="4"/>
  <c r="AU8" i="4"/>
  <c r="AU21" i="4"/>
  <c r="AU36" i="4"/>
  <c r="AU25" i="4"/>
  <c r="AU23" i="4"/>
  <c r="AU24" i="4"/>
  <c r="AU14" i="4"/>
  <c r="AU29" i="4"/>
  <c r="AC17" i="4"/>
  <c r="AU28" i="4"/>
  <c r="AU27" i="4"/>
  <c r="AC25" i="4"/>
  <c r="E20" i="32" s="1"/>
  <c r="AU37" i="4"/>
  <c r="AU34" i="4"/>
  <c r="AU10" i="4"/>
  <c r="AU22" i="4"/>
  <c r="AC20" i="4"/>
  <c r="AU20" i="4"/>
  <c r="AU7" i="4"/>
  <c r="AU30" i="4"/>
  <c r="AU41" i="4"/>
  <c r="AU16" i="4"/>
  <c r="AU39" i="4"/>
  <c r="AT6" i="4"/>
  <c r="K10" i="53"/>
  <c r="L10" i="53" s="1"/>
  <c r="K11" i="53"/>
  <c r="L11" i="53" s="1"/>
  <c r="K7" i="53"/>
  <c r="L7" i="53" s="1"/>
  <c r="K8" i="53"/>
  <c r="L8" i="53" s="1"/>
  <c r="K9" i="53"/>
  <c r="L9" i="53" s="1"/>
  <c r="K12" i="53"/>
  <c r="L12" i="53" s="1"/>
  <c r="M7" i="53"/>
  <c r="BF18" i="65" s="1"/>
  <c r="D11" i="53"/>
  <c r="M17" i="6"/>
  <c r="C17" i="6"/>
  <c r="V16" i="6"/>
  <c r="G9" i="30"/>
  <c r="N9" i="30" s="1"/>
  <c r="BK14" i="8"/>
  <c r="L14" i="30" s="1"/>
  <c r="BK9" i="8"/>
  <c r="L9" i="30" s="1"/>
  <c r="L10" i="40"/>
  <c r="BI16" i="8"/>
  <c r="E16" i="30" s="1"/>
  <c r="AG17" i="8"/>
  <c r="AQ17" i="8"/>
  <c r="L6" i="37"/>
  <c r="L9" i="40"/>
  <c r="AI18" i="7"/>
  <c r="H19" i="6"/>
  <c r="L19" i="7"/>
  <c r="B19" i="8"/>
  <c r="B19" i="32"/>
  <c r="AH18" i="4"/>
  <c r="L7" i="37"/>
  <c r="H18" i="41"/>
  <c r="J18" i="41" s="1"/>
  <c r="L8" i="37"/>
  <c r="U20" i="5"/>
  <c r="T20" i="5"/>
  <c r="B19" i="6" s="1"/>
  <c r="BK10" i="8"/>
  <c r="O21" i="5"/>
  <c r="BK11" i="8"/>
  <c r="BK13" i="8"/>
  <c r="BK12" i="8"/>
  <c r="L28" i="37"/>
  <c r="I34" i="37"/>
  <c r="AB34" i="37" s="1"/>
  <c r="I9" i="30" l="1"/>
  <c r="B9" i="30"/>
  <c r="AC4" i="37"/>
  <c r="C62" i="67" s="1"/>
  <c r="V16" i="32"/>
  <c r="AG21" i="5"/>
  <c r="AH21" i="5"/>
  <c r="AI21" i="5"/>
  <c r="AE9" i="6"/>
  <c r="AI9" i="6" s="1"/>
  <c r="G7" i="53" s="1"/>
  <c r="AE15" i="6"/>
  <c r="E13" i="53" s="1"/>
  <c r="I13" i="53"/>
  <c r="I7" i="53"/>
  <c r="H9" i="30"/>
  <c r="Y9" i="30" s="1"/>
  <c r="AA11" i="6"/>
  <c r="B11" i="30" s="1"/>
  <c r="AD15" i="8"/>
  <c r="K34" i="37"/>
  <c r="AD28" i="37"/>
  <c r="BC17" i="8"/>
  <c r="AC16" i="8"/>
  <c r="D16" i="30"/>
  <c r="K16" i="30" s="1"/>
  <c r="P16" i="30" s="1"/>
  <c r="D10" i="30"/>
  <c r="K10" i="30" s="1"/>
  <c r="P10" i="30" s="1"/>
  <c r="AC10" i="8"/>
  <c r="D12" i="30"/>
  <c r="K12" i="30" s="1"/>
  <c r="P12" i="30" s="1"/>
  <c r="AC12" i="8"/>
  <c r="AC13" i="8"/>
  <c r="I11" i="53" s="1"/>
  <c r="D13" i="30"/>
  <c r="K13" i="30" s="1"/>
  <c r="P13" i="30" s="1"/>
  <c r="AC11" i="8"/>
  <c r="AD11" i="8" s="1"/>
  <c r="D11" i="30"/>
  <c r="K11" i="30" s="1"/>
  <c r="P11" i="30" s="1"/>
  <c r="AA17" i="8"/>
  <c r="AB17" i="8" s="1"/>
  <c r="AC19" i="4"/>
  <c r="AB19" i="4"/>
  <c r="B14" i="30"/>
  <c r="BK15" i="8"/>
  <c r="L15" i="30" s="1"/>
  <c r="K13" i="53"/>
  <c r="L13" i="53" s="1"/>
  <c r="AC24" i="4"/>
  <c r="AB24" i="4"/>
  <c r="C12" i="53"/>
  <c r="I14" i="30"/>
  <c r="AA12" i="6"/>
  <c r="AB12" i="6" s="1"/>
  <c r="D17" i="6"/>
  <c r="W17" i="6" s="1"/>
  <c r="AB15" i="6"/>
  <c r="C13" i="53" s="1"/>
  <c r="AA13" i="6"/>
  <c r="AB13" i="6" s="1"/>
  <c r="C11" i="53" s="1"/>
  <c r="G16" i="30"/>
  <c r="N16" i="30" s="1"/>
  <c r="M14" i="53"/>
  <c r="BM18" i="65" s="1"/>
  <c r="H18" i="32"/>
  <c r="C18" i="32"/>
  <c r="M18" i="32"/>
  <c r="S17" i="32"/>
  <c r="V17" i="32" s="1"/>
  <c r="AD14" i="6"/>
  <c r="J14" i="30"/>
  <c r="O14" i="30" s="1"/>
  <c r="H12" i="53"/>
  <c r="AS16" i="8"/>
  <c r="E16" i="6"/>
  <c r="X16" i="6" s="1"/>
  <c r="AA16" i="6" s="1"/>
  <c r="AA10" i="6"/>
  <c r="AB10" i="6" s="1"/>
  <c r="AS17" i="8"/>
  <c r="BE17" i="8" s="1"/>
  <c r="AA41" i="4"/>
  <c r="Z39" i="4"/>
  <c r="E17" i="6" s="1"/>
  <c r="X17" i="6" s="1"/>
  <c r="AA28" i="4"/>
  <c r="D18" i="6" s="1"/>
  <c r="W18" i="6" s="1"/>
  <c r="AD15" i="6"/>
  <c r="J15" i="30"/>
  <c r="O15" i="30" s="1"/>
  <c r="H13" i="53"/>
  <c r="AJ17" i="7"/>
  <c r="AE17" i="7"/>
  <c r="AF17" i="7" s="1"/>
  <c r="AA35" i="4"/>
  <c r="I18" i="7" s="1"/>
  <c r="AG16" i="7"/>
  <c r="C16" i="30"/>
  <c r="AC27" i="4"/>
  <c r="AB27" i="4"/>
  <c r="AC23" i="4"/>
  <c r="AB23" i="4"/>
  <c r="H19" i="8"/>
  <c r="Y19" i="8" s="1"/>
  <c r="AA29" i="4"/>
  <c r="AC30" i="4"/>
  <c r="AB30" i="4"/>
  <c r="G20" i="6"/>
  <c r="F20" i="6"/>
  <c r="AU6" i="4"/>
  <c r="AJ5" i="4" s="1"/>
  <c r="C48" i="67" s="1"/>
  <c r="V17" i="6"/>
  <c r="M18" i="6"/>
  <c r="C18" i="6"/>
  <c r="BL14" i="8"/>
  <c r="M14" i="30" s="1"/>
  <c r="BL9" i="8"/>
  <c r="M9" i="30" s="1"/>
  <c r="BL15" i="8"/>
  <c r="M15" i="30" s="1"/>
  <c r="AQ18" i="8"/>
  <c r="AG18" i="8"/>
  <c r="BL12" i="8"/>
  <c r="M12" i="30" s="1"/>
  <c r="L12" i="30"/>
  <c r="BL10" i="8"/>
  <c r="M10" i="30" s="1"/>
  <c r="L10" i="30"/>
  <c r="BL13" i="8"/>
  <c r="M13" i="30" s="1"/>
  <c r="L13" i="30"/>
  <c r="BL11" i="8"/>
  <c r="M11" i="30" s="1"/>
  <c r="L11" i="30"/>
  <c r="BI17" i="8"/>
  <c r="E17" i="30" s="1"/>
  <c r="H20" i="6"/>
  <c r="B20" i="8"/>
  <c r="L20" i="7"/>
  <c r="B20" i="32"/>
  <c r="AI19" i="7"/>
  <c r="I38" i="37"/>
  <c r="AB38" i="37" s="1"/>
  <c r="I32" i="37"/>
  <c r="AB32" i="37" s="1"/>
  <c r="K32" i="37"/>
  <c r="H27" i="41"/>
  <c r="J27" i="41" s="1"/>
  <c r="K20" i="37"/>
  <c r="H24" i="41"/>
  <c r="J24" i="41" s="1"/>
  <c r="H23" i="41"/>
  <c r="J23" i="41" s="1"/>
  <c r="T21" i="5"/>
  <c r="B20" i="6" s="1"/>
  <c r="U21" i="5"/>
  <c r="L38" i="37"/>
  <c r="I44" i="37"/>
  <c r="AB44" i="37" s="1"/>
  <c r="L34" i="37"/>
  <c r="I40" i="37"/>
  <c r="AB40" i="37" s="1"/>
  <c r="AD13" i="8" l="1"/>
  <c r="AL9" i="6"/>
  <c r="AH9" i="6"/>
  <c r="O18" i="32"/>
  <c r="U18" i="32" s="1"/>
  <c r="AK9" i="6"/>
  <c r="E7" i="53"/>
  <c r="N7" i="53" s="1"/>
  <c r="Q7" i="53" s="1"/>
  <c r="X9" i="30"/>
  <c r="AB9" i="30"/>
  <c r="AM9" i="30" s="1"/>
  <c r="W9" i="30"/>
  <c r="AE9" i="30" s="1"/>
  <c r="AB11" i="6"/>
  <c r="C9" i="53" s="1"/>
  <c r="I9" i="53"/>
  <c r="I10" i="53"/>
  <c r="AE12" i="6"/>
  <c r="AK12" i="6" s="1"/>
  <c r="AE16" i="6"/>
  <c r="AD12" i="8"/>
  <c r="I8" i="53"/>
  <c r="AE13" i="6"/>
  <c r="AK13" i="6" s="1"/>
  <c r="AD16" i="8"/>
  <c r="I14" i="53"/>
  <c r="AE10" i="6"/>
  <c r="E8" i="53" s="1"/>
  <c r="K40" i="37"/>
  <c r="AD34" i="37"/>
  <c r="AD10" i="8"/>
  <c r="K26" i="37"/>
  <c r="AD26" i="37" s="1"/>
  <c r="AD20" i="37"/>
  <c r="K38" i="37"/>
  <c r="AD32" i="37"/>
  <c r="AE11" i="6"/>
  <c r="E9" i="53" s="1"/>
  <c r="D17" i="30"/>
  <c r="K17" i="30" s="1"/>
  <c r="P17" i="30" s="1"/>
  <c r="AC17" i="8"/>
  <c r="BC18" i="8"/>
  <c r="BE16" i="8"/>
  <c r="BF16" i="8" s="1"/>
  <c r="B12" i="30"/>
  <c r="I15" i="30"/>
  <c r="H15" i="30" s="1"/>
  <c r="AB15" i="30" s="1"/>
  <c r="AO15" i="30" s="1"/>
  <c r="AI15" i="6"/>
  <c r="G13" i="53" s="1"/>
  <c r="B13" i="30"/>
  <c r="H14" i="30"/>
  <c r="AB14" i="30" s="1"/>
  <c r="AM14" i="30" s="1"/>
  <c r="G17" i="30"/>
  <c r="N17" i="30" s="1"/>
  <c r="M15" i="53"/>
  <c r="BN18" i="65" s="1"/>
  <c r="M19" i="32"/>
  <c r="H19" i="32"/>
  <c r="C19" i="32"/>
  <c r="I13" i="30"/>
  <c r="H13" i="30" s="1"/>
  <c r="X13" i="30" s="1"/>
  <c r="S18" i="32"/>
  <c r="AB16" i="6"/>
  <c r="B16" i="30"/>
  <c r="B10" i="30"/>
  <c r="BJ16" i="8"/>
  <c r="F16" i="30" s="1"/>
  <c r="E18" i="6"/>
  <c r="X18" i="6" s="1"/>
  <c r="J18" i="8"/>
  <c r="AA17" i="6"/>
  <c r="AB17" i="6" s="1"/>
  <c r="AK14" i="6"/>
  <c r="AI14" i="6"/>
  <c r="G12" i="53" s="1"/>
  <c r="D12" i="53"/>
  <c r="AL14" i="6"/>
  <c r="AH14" i="6"/>
  <c r="BJ17" i="8"/>
  <c r="F17" i="30" s="1"/>
  <c r="AA39" i="4"/>
  <c r="AS18" i="8"/>
  <c r="BE18" i="8" s="1"/>
  <c r="AB41" i="4"/>
  <c r="O19" i="32" s="1"/>
  <c r="U19" i="32" s="1"/>
  <c r="AD16" i="6"/>
  <c r="J16" i="30"/>
  <c r="O16" i="30" s="1"/>
  <c r="H14" i="53"/>
  <c r="AE18" i="7"/>
  <c r="AF18" i="7" s="1"/>
  <c r="AJ18" i="7"/>
  <c r="AC35" i="4"/>
  <c r="I20" i="7" s="1"/>
  <c r="AJ20" i="7" s="1"/>
  <c r="AB35" i="4"/>
  <c r="C17" i="30"/>
  <c r="AG17" i="7"/>
  <c r="D13" i="53"/>
  <c r="N13" i="53" s="1"/>
  <c r="AK15" i="6"/>
  <c r="AH15" i="6"/>
  <c r="AL15" i="6"/>
  <c r="AC28" i="4"/>
  <c r="AB28" i="4"/>
  <c r="AB29" i="4"/>
  <c r="J19" i="8" s="1"/>
  <c r="AI10" i="6"/>
  <c r="G8" i="53" s="1"/>
  <c r="F7" i="53"/>
  <c r="AH10" i="6"/>
  <c r="I12" i="30"/>
  <c r="H12" i="30" s="1"/>
  <c r="X12" i="30" s="1"/>
  <c r="C10" i="53"/>
  <c r="C8" i="53"/>
  <c r="I10" i="30"/>
  <c r="H10" i="30" s="1"/>
  <c r="Y10" i="30" s="1"/>
  <c r="P7" i="53"/>
  <c r="AD7" i="53" s="1"/>
  <c r="AP7" i="53"/>
  <c r="AQ7" i="53" s="1"/>
  <c r="V18" i="6"/>
  <c r="M19" i="6"/>
  <c r="C19" i="6"/>
  <c r="BF17" i="8"/>
  <c r="AG20" i="8"/>
  <c r="AG19" i="8"/>
  <c r="BI18" i="8"/>
  <c r="E18" i="30" s="1"/>
  <c r="AQ19" i="8"/>
  <c r="AI20" i="7"/>
  <c r="K68" i="37"/>
  <c r="AD68" i="37" s="1"/>
  <c r="H28" i="41"/>
  <c r="J28" i="41" s="1"/>
  <c r="H32" i="41"/>
  <c r="J32" i="41" s="1"/>
  <c r="L32" i="37"/>
  <c r="H29" i="41"/>
  <c r="J29" i="41" s="1"/>
  <c r="I50" i="37"/>
  <c r="AB50" i="37" s="1"/>
  <c r="L44" i="37"/>
  <c r="L40" i="37"/>
  <c r="I46" i="37"/>
  <c r="AB46" i="37" s="1"/>
  <c r="AO9" i="30" l="1"/>
  <c r="AP9" i="30"/>
  <c r="AL9" i="30"/>
  <c r="AQ9" i="30"/>
  <c r="AH12" i="6"/>
  <c r="AI12" i="6"/>
  <c r="G10" i="53" s="1"/>
  <c r="AN9" i="30"/>
  <c r="AK9" i="30"/>
  <c r="E10" i="53"/>
  <c r="V18" i="32"/>
  <c r="AF9" i="30"/>
  <c r="AG9" i="30" s="1"/>
  <c r="AL12" i="6"/>
  <c r="AI13" i="6"/>
  <c r="G11" i="53" s="1"/>
  <c r="E11" i="53"/>
  <c r="AP11" i="53" s="1"/>
  <c r="AQ11" i="53" s="1"/>
  <c r="AL13" i="6"/>
  <c r="AH13" i="6"/>
  <c r="AI11" i="6"/>
  <c r="G9" i="53" s="1"/>
  <c r="AL11" i="6"/>
  <c r="AH11" i="6"/>
  <c r="AK11" i="6"/>
  <c r="I11" i="30"/>
  <c r="H11" i="30" s="1"/>
  <c r="AB11" i="30" s="1"/>
  <c r="AM11" i="30" s="1"/>
  <c r="AE17" i="6"/>
  <c r="E14" i="53"/>
  <c r="AL10" i="6"/>
  <c r="AK10" i="6"/>
  <c r="AD17" i="8"/>
  <c r="I15" i="53"/>
  <c r="K44" i="37"/>
  <c r="AD38" i="37"/>
  <c r="K46" i="37"/>
  <c r="AD40" i="37"/>
  <c r="BL16" i="8"/>
  <c r="M16" i="30" s="1"/>
  <c r="BK16" i="8"/>
  <c r="L16" i="30" s="1"/>
  <c r="K14" i="53"/>
  <c r="L14" i="53" s="1"/>
  <c r="AA19" i="8"/>
  <c r="AB19" i="8" s="1"/>
  <c r="AA18" i="8"/>
  <c r="AB18" i="8" s="1"/>
  <c r="BC19" i="8"/>
  <c r="BI20" i="8"/>
  <c r="E20" i="30" s="1"/>
  <c r="F9" i="53"/>
  <c r="U18" i="65" s="1"/>
  <c r="AN15" i="30"/>
  <c r="Y15" i="30"/>
  <c r="AM15" i="30"/>
  <c r="W15" i="30"/>
  <c r="AE15" i="30" s="1"/>
  <c r="AP15" i="30"/>
  <c r="AP14" i="30"/>
  <c r="AL14" i="30"/>
  <c r="B17" i="30"/>
  <c r="AQ14" i="30"/>
  <c r="AK14" i="30"/>
  <c r="AO14" i="30"/>
  <c r="AK15" i="30"/>
  <c r="AL15" i="30"/>
  <c r="AN14" i="30"/>
  <c r="AQ15" i="30"/>
  <c r="I16" i="30"/>
  <c r="H16" i="30" s="1"/>
  <c r="AB16" i="30" s="1"/>
  <c r="AQ16" i="30" s="1"/>
  <c r="C14" i="53"/>
  <c r="AI16" i="6"/>
  <c r="G14" i="53" s="1"/>
  <c r="Y14" i="30"/>
  <c r="X15" i="30"/>
  <c r="S18" i="65"/>
  <c r="AT7" i="53"/>
  <c r="D19" i="6"/>
  <c r="W19" i="6" s="1"/>
  <c r="W13" i="30"/>
  <c r="AE13" i="30" s="1"/>
  <c r="AB13" i="30"/>
  <c r="AL13" i="30" s="1"/>
  <c r="Y13" i="30"/>
  <c r="W14" i="30"/>
  <c r="AE14" i="30" s="1"/>
  <c r="AA18" i="6"/>
  <c r="AB18" i="6" s="1"/>
  <c r="C16" i="53" s="1"/>
  <c r="X14" i="30"/>
  <c r="AE20" i="7"/>
  <c r="AF20" i="7" s="1"/>
  <c r="C20" i="30" s="1"/>
  <c r="BJ18" i="8"/>
  <c r="F18" i="30" s="1"/>
  <c r="M16" i="53"/>
  <c r="BO18" i="65" s="1"/>
  <c r="G18" i="30"/>
  <c r="N18" i="30" s="1"/>
  <c r="S19" i="32"/>
  <c r="V19" i="32" s="1"/>
  <c r="AC41" i="4"/>
  <c r="O20" i="32" s="1"/>
  <c r="U20" i="32" s="1"/>
  <c r="C20" i="32"/>
  <c r="H20" i="32"/>
  <c r="M20" i="32"/>
  <c r="AC29" i="4"/>
  <c r="D20" i="6" s="1"/>
  <c r="W20" i="6" s="1"/>
  <c r="H20" i="8"/>
  <c r="Y20" i="8" s="1"/>
  <c r="N12" i="53"/>
  <c r="F12" i="53"/>
  <c r="AP12" i="53"/>
  <c r="AQ12" i="53" s="1"/>
  <c r="J20" i="8"/>
  <c r="AA20" i="8" s="1"/>
  <c r="AC39" i="4"/>
  <c r="AB39" i="4"/>
  <c r="AS19" i="8" s="1"/>
  <c r="BE19" i="8" s="1"/>
  <c r="F13" i="53"/>
  <c r="AD17" i="6"/>
  <c r="AI17" i="6" s="1"/>
  <c r="G15" i="53" s="1"/>
  <c r="H15" i="53"/>
  <c r="J17" i="30"/>
  <c r="O17" i="30" s="1"/>
  <c r="L19" i="6"/>
  <c r="I19" i="7"/>
  <c r="C18" i="30"/>
  <c r="AG18" i="7"/>
  <c r="AP13" i="53"/>
  <c r="AQ13" i="53" s="1"/>
  <c r="AL16" i="6"/>
  <c r="AK16" i="6"/>
  <c r="D14" i="53"/>
  <c r="AH16" i="6"/>
  <c r="F10" i="53"/>
  <c r="N10" i="53"/>
  <c r="P10" i="53" s="1"/>
  <c r="AD10" i="53" s="1"/>
  <c r="Y12" i="30"/>
  <c r="W12" i="30"/>
  <c r="AB12" i="30"/>
  <c r="AO12" i="30" s="1"/>
  <c r="X10" i="30"/>
  <c r="W10" i="30"/>
  <c r="AE10" i="30" s="1"/>
  <c r="AB10" i="30"/>
  <c r="AM10" i="30" s="1"/>
  <c r="F8" i="53"/>
  <c r="N8" i="53"/>
  <c r="AP8" i="53"/>
  <c r="AQ8" i="53" s="1"/>
  <c r="AP10" i="53"/>
  <c r="AQ10" i="53" s="1"/>
  <c r="P13" i="53"/>
  <c r="AD13" i="53" s="1"/>
  <c r="Q13" i="53"/>
  <c r="N9" i="53"/>
  <c r="AP9" i="53"/>
  <c r="AQ9" i="53" s="1"/>
  <c r="K15" i="53"/>
  <c r="L15" i="53" s="1"/>
  <c r="C15" i="53"/>
  <c r="V19" i="6"/>
  <c r="I17" i="30"/>
  <c r="M20" i="6"/>
  <c r="C20" i="6"/>
  <c r="BK17" i="8"/>
  <c r="L17" i="30" s="1"/>
  <c r="AQ20" i="8"/>
  <c r="BC20" i="8" s="1"/>
  <c r="BF18" i="8"/>
  <c r="BI19" i="8"/>
  <c r="E19" i="30" s="1"/>
  <c r="H24" i="36"/>
  <c r="H33" i="41"/>
  <c r="J33" i="41" s="1"/>
  <c r="H34" i="41"/>
  <c r="J34" i="41" s="1"/>
  <c r="L50" i="37"/>
  <c r="I56" i="37"/>
  <c r="AB56" i="37" s="1"/>
  <c r="L46" i="37"/>
  <c r="I52" i="37"/>
  <c r="AB52" i="37" s="1"/>
  <c r="F11" i="53" l="1"/>
  <c r="N11" i="53"/>
  <c r="Q11" i="53" s="1"/>
  <c r="AS20" i="8"/>
  <c r="BE20" i="8" s="1"/>
  <c r="AG20" i="7"/>
  <c r="AP11" i="30"/>
  <c r="X11" i="30"/>
  <c r="Y11" i="30"/>
  <c r="AL11" i="30"/>
  <c r="AN11" i="30"/>
  <c r="AO11" i="30"/>
  <c r="AK11" i="30"/>
  <c r="AQ11" i="30"/>
  <c r="W11" i="30"/>
  <c r="AE11" i="30" s="1"/>
  <c r="E15" i="53"/>
  <c r="K52" i="37"/>
  <c r="AD46" i="37"/>
  <c r="K50" i="37"/>
  <c r="AD44" i="37"/>
  <c r="AT9" i="53"/>
  <c r="AU9" i="53" s="1"/>
  <c r="CH18" i="65" s="1"/>
  <c r="D18" i="30"/>
  <c r="K18" i="30" s="1"/>
  <c r="P18" i="30" s="1"/>
  <c r="AC18" i="8"/>
  <c r="D19" i="30"/>
  <c r="K19" i="30" s="1"/>
  <c r="P19" i="30" s="1"/>
  <c r="AC19" i="8"/>
  <c r="AO13" i="30"/>
  <c r="AK13" i="30"/>
  <c r="AQ13" i="30"/>
  <c r="F14" i="53"/>
  <c r="Z18" i="65" s="1"/>
  <c r="AM13" i="30"/>
  <c r="AN13" i="30"/>
  <c r="AP13" i="30"/>
  <c r="I18" i="30"/>
  <c r="X18" i="65"/>
  <c r="AT12" i="53"/>
  <c r="B18" i="30"/>
  <c r="V18" i="65"/>
  <c r="AT10" i="53"/>
  <c r="W18" i="65"/>
  <c r="AT11" i="53"/>
  <c r="T18" i="65"/>
  <c r="AT8" i="53"/>
  <c r="Y18" i="65"/>
  <c r="AT13" i="53"/>
  <c r="U114" i="65"/>
  <c r="AH114" i="65" s="1"/>
  <c r="AU114" i="65" s="1"/>
  <c r="BH114" i="65" s="1"/>
  <c r="BU114" i="65" s="1"/>
  <c r="CH114" i="65" s="1"/>
  <c r="U128" i="65"/>
  <c r="AH128" i="65" s="1"/>
  <c r="AU128" i="65" s="1"/>
  <c r="BH128" i="65" s="1"/>
  <c r="BU128" i="65" s="1"/>
  <c r="CH128" i="65" s="1"/>
  <c r="U103" i="65"/>
  <c r="AH103" i="65" s="1"/>
  <c r="AU103" i="65" s="1"/>
  <c r="BH103" i="65" s="1"/>
  <c r="BU103" i="65" s="1"/>
  <c r="CH103" i="65" s="1"/>
  <c r="U89" i="65"/>
  <c r="AH89" i="65" s="1"/>
  <c r="AU89" i="65" s="1"/>
  <c r="BH89" i="65" s="1"/>
  <c r="BU89" i="65" s="1"/>
  <c r="CH89" i="65" s="1"/>
  <c r="U72" i="65"/>
  <c r="AH72" i="65" s="1"/>
  <c r="AU72" i="65" s="1"/>
  <c r="BH72" i="65" s="1"/>
  <c r="BU72" i="65" s="1"/>
  <c r="CH72" i="65" s="1"/>
  <c r="U65" i="65"/>
  <c r="AH65" i="65" s="1"/>
  <c r="AU65" i="65" s="1"/>
  <c r="BH65" i="65" s="1"/>
  <c r="BU65" i="65" s="1"/>
  <c r="CH65" i="65" s="1"/>
  <c r="U70" i="65"/>
  <c r="AH70" i="65" s="1"/>
  <c r="AU70" i="65" s="1"/>
  <c r="BH70" i="65" s="1"/>
  <c r="BU70" i="65" s="1"/>
  <c r="CH70" i="65" s="1"/>
  <c r="U41" i="65"/>
  <c r="AH41" i="65" s="1"/>
  <c r="AU41" i="65" s="1"/>
  <c r="BH41" i="65" s="1"/>
  <c r="AH29" i="65"/>
  <c r="AU29" i="65" s="1"/>
  <c r="BH29" i="65" s="1"/>
  <c r="BU29" i="65" s="1"/>
  <c r="CH29" i="65" s="1"/>
  <c r="AH27" i="65"/>
  <c r="AU27" i="65" s="1"/>
  <c r="BH27" i="65" s="1"/>
  <c r="BU27" i="65" s="1"/>
  <c r="CH27" i="65" s="1"/>
  <c r="U113" i="65"/>
  <c r="AH113" i="65" s="1"/>
  <c r="AU113" i="65" s="1"/>
  <c r="BH113" i="65" s="1"/>
  <c r="BU113" i="65" s="1"/>
  <c r="CH113" i="65" s="1"/>
  <c r="U127" i="65"/>
  <c r="AH127" i="65" s="1"/>
  <c r="AU127" i="65" s="1"/>
  <c r="BH127" i="65" s="1"/>
  <c r="BU127" i="65" s="1"/>
  <c r="CH127" i="65" s="1"/>
  <c r="U102" i="65"/>
  <c r="AH102" i="65" s="1"/>
  <c r="AU102" i="65" s="1"/>
  <c r="BH102" i="65" s="1"/>
  <c r="BU102" i="65" s="1"/>
  <c r="CH102" i="65" s="1"/>
  <c r="U94" i="65"/>
  <c r="AH94" i="65" s="1"/>
  <c r="AU94" i="65" s="1"/>
  <c r="BH94" i="65" s="1"/>
  <c r="BU94" i="65" s="1"/>
  <c r="CH94" i="65" s="1"/>
  <c r="U82" i="65"/>
  <c r="AH82" i="65" s="1"/>
  <c r="AU82" i="65" s="1"/>
  <c r="BH82" i="65" s="1"/>
  <c r="BU82" i="65" s="1"/>
  <c r="CH82" i="65" s="1"/>
  <c r="U64" i="65"/>
  <c r="AH64" i="65" s="1"/>
  <c r="AU64" i="65" s="1"/>
  <c r="BH64" i="65" s="1"/>
  <c r="BU64" i="65" s="1"/>
  <c r="CH64" i="65" s="1"/>
  <c r="U52" i="65"/>
  <c r="AH52" i="65" s="1"/>
  <c r="AU52" i="65" s="1"/>
  <c r="BH52" i="65" s="1"/>
  <c r="BU52" i="65" s="1"/>
  <c r="CH52" i="65" s="1"/>
  <c r="U40" i="65"/>
  <c r="AH40" i="65" s="1"/>
  <c r="AU40" i="65" s="1"/>
  <c r="BH40" i="65" s="1"/>
  <c r="AH28" i="65"/>
  <c r="AU28" i="65" s="1"/>
  <c r="BH28" i="65" s="1"/>
  <c r="BU28" i="65" s="1"/>
  <c r="CH28" i="65" s="1"/>
  <c r="U112" i="65"/>
  <c r="AH112" i="65" s="1"/>
  <c r="AU112" i="65" s="1"/>
  <c r="BH112" i="65" s="1"/>
  <c r="BU112" i="65" s="1"/>
  <c r="CH112" i="65" s="1"/>
  <c r="U126" i="65"/>
  <c r="AH126" i="65" s="1"/>
  <c r="AU126" i="65" s="1"/>
  <c r="BH126" i="65" s="1"/>
  <c r="BU126" i="65" s="1"/>
  <c r="CH126" i="65" s="1"/>
  <c r="U101" i="65"/>
  <c r="AH101" i="65" s="1"/>
  <c r="AU101" i="65" s="1"/>
  <c r="BH101" i="65" s="1"/>
  <c r="BU101" i="65" s="1"/>
  <c r="CH101" i="65" s="1"/>
  <c r="U97" i="65"/>
  <c r="AH97" i="65" s="1"/>
  <c r="AU97" i="65" s="1"/>
  <c r="BH97" i="65" s="1"/>
  <c r="BU97" i="65" s="1"/>
  <c r="CH97" i="65" s="1"/>
  <c r="U88" i="65"/>
  <c r="AH88" i="65" s="1"/>
  <c r="AU88" i="65" s="1"/>
  <c r="BH88" i="65" s="1"/>
  <c r="BU88" i="65" s="1"/>
  <c r="CH88" i="65" s="1"/>
  <c r="U63" i="65"/>
  <c r="AH63" i="65" s="1"/>
  <c r="AU63" i="65" s="1"/>
  <c r="BH63" i="65" s="1"/>
  <c r="BU63" i="65" s="1"/>
  <c r="CH63" i="65" s="1"/>
  <c r="U51" i="65"/>
  <c r="AH51" i="65" s="1"/>
  <c r="AU51" i="65" s="1"/>
  <c r="BH51" i="65" s="1"/>
  <c r="BU51" i="65" s="1"/>
  <c r="CH51" i="65" s="1"/>
  <c r="U39" i="65"/>
  <c r="AH39" i="65" s="1"/>
  <c r="AU39" i="65" s="1"/>
  <c r="BH39" i="65" s="1"/>
  <c r="BU39" i="65" s="1"/>
  <c r="CH39" i="65" s="1"/>
  <c r="U54" i="65"/>
  <c r="AH54" i="65" s="1"/>
  <c r="AU54" i="65" s="1"/>
  <c r="BH54" i="65" s="1"/>
  <c r="BU54" i="65" s="1"/>
  <c r="CH54" i="65" s="1"/>
  <c r="U111" i="65"/>
  <c r="AH111" i="65" s="1"/>
  <c r="AU111" i="65" s="1"/>
  <c r="BH111" i="65" s="1"/>
  <c r="BU111" i="65" s="1"/>
  <c r="CH111" i="65" s="1"/>
  <c r="U125" i="65"/>
  <c r="AH125" i="65" s="1"/>
  <c r="AU125" i="65" s="1"/>
  <c r="BH125" i="65" s="1"/>
  <c r="BU125" i="65" s="1"/>
  <c r="CH125" i="65" s="1"/>
  <c r="U100" i="65"/>
  <c r="AH100" i="65" s="1"/>
  <c r="AU100" i="65" s="1"/>
  <c r="BH100" i="65" s="1"/>
  <c r="BU100" i="65" s="1"/>
  <c r="CH100" i="65" s="1"/>
  <c r="U81" i="65"/>
  <c r="AH81" i="65" s="1"/>
  <c r="AU81" i="65" s="1"/>
  <c r="BH81" i="65" s="1"/>
  <c r="BU81" i="65" s="1"/>
  <c r="CH81" i="65" s="1"/>
  <c r="U87" i="65"/>
  <c r="AH87" i="65" s="1"/>
  <c r="AU87" i="65" s="1"/>
  <c r="BH87" i="65" s="1"/>
  <c r="BU87" i="65" s="1"/>
  <c r="CH87" i="65" s="1"/>
  <c r="U62" i="65"/>
  <c r="AH62" i="65" s="1"/>
  <c r="AU62" i="65" s="1"/>
  <c r="BH62" i="65" s="1"/>
  <c r="U50" i="65"/>
  <c r="AH50" i="65" s="1"/>
  <c r="AU50" i="65" s="1"/>
  <c r="BH50" i="65" s="1"/>
  <c r="BU50" i="65" s="1"/>
  <c r="CH50" i="65" s="1"/>
  <c r="U38" i="65"/>
  <c r="AH38" i="65" s="1"/>
  <c r="AU38" i="65" s="1"/>
  <c r="BH38" i="65" s="1"/>
  <c r="BU38" i="65" s="1"/>
  <c r="CH38" i="65" s="1"/>
  <c r="U53" i="65"/>
  <c r="AH53" i="65" s="1"/>
  <c r="AU53" i="65" s="1"/>
  <c r="BH53" i="65" s="1"/>
  <c r="BU53" i="65" s="1"/>
  <c r="CH53" i="65" s="1"/>
  <c r="U110" i="65"/>
  <c r="AH110" i="65" s="1"/>
  <c r="AU110" i="65" s="1"/>
  <c r="BH110" i="65" s="1"/>
  <c r="BU110" i="65" s="1"/>
  <c r="CH110" i="65" s="1"/>
  <c r="U124" i="65"/>
  <c r="AH124" i="65" s="1"/>
  <c r="AU124" i="65" s="1"/>
  <c r="BH124" i="65" s="1"/>
  <c r="BU124" i="65" s="1"/>
  <c r="CH124" i="65" s="1"/>
  <c r="U99" i="65"/>
  <c r="AH99" i="65" s="1"/>
  <c r="AU99" i="65" s="1"/>
  <c r="BH99" i="65" s="1"/>
  <c r="BU99" i="65" s="1"/>
  <c r="CH99" i="65" s="1"/>
  <c r="U80" i="65"/>
  <c r="AH80" i="65" s="1"/>
  <c r="AU80" i="65" s="1"/>
  <c r="BH80" i="65" s="1"/>
  <c r="BU80" i="65" s="1"/>
  <c r="CH80" i="65" s="1"/>
  <c r="U86" i="65"/>
  <c r="AH86" i="65" s="1"/>
  <c r="AU86" i="65" s="1"/>
  <c r="BH86" i="65" s="1"/>
  <c r="BU86" i="65" s="1"/>
  <c r="CH86" i="65" s="1"/>
  <c r="U61" i="65"/>
  <c r="AH61" i="65" s="1"/>
  <c r="AU61" i="65" s="1"/>
  <c r="BH61" i="65" s="1"/>
  <c r="BU61" i="65" s="1"/>
  <c r="CH61" i="65" s="1"/>
  <c r="U49" i="65"/>
  <c r="AH49" i="65" s="1"/>
  <c r="AU49" i="65" s="1"/>
  <c r="BH49" i="65" s="1"/>
  <c r="BU49" i="65" s="1"/>
  <c r="CH49" i="65" s="1"/>
  <c r="U37" i="65"/>
  <c r="AH37" i="65" s="1"/>
  <c r="AU37" i="65" s="1"/>
  <c r="BH37" i="65" s="1"/>
  <c r="BU37" i="65" s="1"/>
  <c r="CH37" i="65" s="1"/>
  <c r="AH19" i="65"/>
  <c r="AU19" i="65" s="1"/>
  <c r="BH19" i="65" s="1"/>
  <c r="BU19" i="65" s="1"/>
  <c r="CH19" i="65" s="1"/>
  <c r="U109" i="65"/>
  <c r="AH109" i="65" s="1"/>
  <c r="AU109" i="65" s="1"/>
  <c r="BH109" i="65" s="1"/>
  <c r="BU109" i="65" s="1"/>
  <c r="CH109" i="65" s="1"/>
  <c r="U123" i="65"/>
  <c r="AH123" i="65" s="1"/>
  <c r="AU123" i="65" s="1"/>
  <c r="BH123" i="65" s="1"/>
  <c r="BU123" i="65" s="1"/>
  <c r="CH123" i="65" s="1"/>
  <c r="U98" i="65"/>
  <c r="AH98" i="65" s="1"/>
  <c r="AU98" i="65" s="1"/>
  <c r="BH98" i="65" s="1"/>
  <c r="BU98" i="65" s="1"/>
  <c r="CH98" i="65" s="1"/>
  <c r="U79" i="65"/>
  <c r="AH79" i="65" s="1"/>
  <c r="AU79" i="65" s="1"/>
  <c r="BH79" i="65" s="1"/>
  <c r="BU79" i="65" s="1"/>
  <c r="CH79" i="65" s="1"/>
  <c r="U85" i="65"/>
  <c r="AH85" i="65" s="1"/>
  <c r="AU85" i="65" s="1"/>
  <c r="BH85" i="65" s="1"/>
  <c r="BU85" i="65" s="1"/>
  <c r="CH85" i="65" s="1"/>
  <c r="U60" i="65"/>
  <c r="AH60" i="65" s="1"/>
  <c r="AU60" i="65" s="1"/>
  <c r="BH60" i="65" s="1"/>
  <c r="BU60" i="65" s="1"/>
  <c r="CH60" i="65" s="1"/>
  <c r="U48" i="65"/>
  <c r="AH48" i="65" s="1"/>
  <c r="AU48" i="65" s="1"/>
  <c r="BH48" i="65" s="1"/>
  <c r="BU48" i="65" s="1"/>
  <c r="CH48" i="65" s="1"/>
  <c r="U36" i="65"/>
  <c r="AH36" i="65" s="1"/>
  <c r="AU36" i="65" s="1"/>
  <c r="BH36" i="65" s="1"/>
  <c r="BU36" i="65" s="1"/>
  <c r="CH36" i="65" s="1"/>
  <c r="AH20" i="65"/>
  <c r="AU20" i="65" s="1"/>
  <c r="BH20" i="65" s="1"/>
  <c r="BU20" i="65" s="1"/>
  <c r="CH20" i="65" s="1"/>
  <c r="U108" i="65"/>
  <c r="AH108" i="65" s="1"/>
  <c r="AU108" i="65" s="1"/>
  <c r="BH108" i="65" s="1"/>
  <c r="BU108" i="65" s="1"/>
  <c r="CH108" i="65" s="1"/>
  <c r="U122" i="65"/>
  <c r="AH122" i="65" s="1"/>
  <c r="AU122" i="65" s="1"/>
  <c r="BH122" i="65" s="1"/>
  <c r="BU122" i="65" s="1"/>
  <c r="CH122" i="65" s="1"/>
  <c r="U96" i="65"/>
  <c r="AH96" i="65" s="1"/>
  <c r="AU96" i="65" s="1"/>
  <c r="BH96" i="65" s="1"/>
  <c r="BU96" i="65" s="1"/>
  <c r="CH96" i="65" s="1"/>
  <c r="U78" i="65"/>
  <c r="AH78" i="65" s="1"/>
  <c r="AU78" i="65" s="1"/>
  <c r="BH78" i="65" s="1"/>
  <c r="BU78" i="65" s="1"/>
  <c r="CH78" i="65" s="1"/>
  <c r="U84" i="65"/>
  <c r="AH84" i="65" s="1"/>
  <c r="AU84" i="65" s="1"/>
  <c r="BH84" i="65" s="1"/>
  <c r="BU84" i="65" s="1"/>
  <c r="CH84" i="65" s="1"/>
  <c r="U59" i="65"/>
  <c r="AH59" i="65" s="1"/>
  <c r="AU59" i="65" s="1"/>
  <c r="BH59" i="65" s="1"/>
  <c r="BU59" i="65" s="1"/>
  <c r="CH59" i="65" s="1"/>
  <c r="U47" i="65"/>
  <c r="AH47" i="65" s="1"/>
  <c r="AU47" i="65" s="1"/>
  <c r="BH47" i="65" s="1"/>
  <c r="BU47" i="65" s="1"/>
  <c r="CH47" i="65" s="1"/>
  <c r="U35" i="65"/>
  <c r="AH35" i="65" s="1"/>
  <c r="AU35" i="65" s="1"/>
  <c r="BH35" i="65" s="1"/>
  <c r="BU35" i="65" s="1"/>
  <c r="CH35" i="65" s="1"/>
  <c r="AH21" i="65"/>
  <c r="AU21" i="65" s="1"/>
  <c r="BH21" i="65" s="1"/>
  <c r="BU21" i="65" s="1"/>
  <c r="CH21" i="65" s="1"/>
  <c r="U119" i="65"/>
  <c r="AH119" i="65" s="1"/>
  <c r="AU119" i="65" s="1"/>
  <c r="BH119" i="65" s="1"/>
  <c r="BU119" i="65" s="1"/>
  <c r="CH119" i="65" s="1"/>
  <c r="U120" i="65"/>
  <c r="AH120" i="65" s="1"/>
  <c r="AU120" i="65" s="1"/>
  <c r="BH120" i="65" s="1"/>
  <c r="BU120" i="65" s="1"/>
  <c r="CH120" i="65" s="1"/>
  <c r="U121" i="65"/>
  <c r="AH121" i="65" s="1"/>
  <c r="AU121" i="65" s="1"/>
  <c r="BH121" i="65" s="1"/>
  <c r="BU121" i="65" s="1"/>
  <c r="CH121" i="65" s="1"/>
  <c r="U95" i="65"/>
  <c r="AH95" i="65" s="1"/>
  <c r="AU95" i="65" s="1"/>
  <c r="BH95" i="65" s="1"/>
  <c r="BU95" i="65" s="1"/>
  <c r="CH95" i="65" s="1"/>
  <c r="U77" i="65"/>
  <c r="AH77" i="65" s="1"/>
  <c r="AU77" i="65" s="1"/>
  <c r="BH77" i="65" s="1"/>
  <c r="BU77" i="65" s="1"/>
  <c r="CH77" i="65" s="1"/>
  <c r="U83" i="65"/>
  <c r="AH83" i="65" s="1"/>
  <c r="AU83" i="65" s="1"/>
  <c r="BH83" i="65" s="1"/>
  <c r="BU83" i="65" s="1"/>
  <c r="CH83" i="65" s="1"/>
  <c r="U58" i="65"/>
  <c r="AH58" i="65" s="1"/>
  <c r="AU58" i="65" s="1"/>
  <c r="BH58" i="65" s="1"/>
  <c r="BU58" i="65" s="1"/>
  <c r="CH58" i="65" s="1"/>
  <c r="U46" i="65"/>
  <c r="AH46" i="65" s="1"/>
  <c r="AU46" i="65" s="1"/>
  <c r="BH46" i="65" s="1"/>
  <c r="BU46" i="65" s="1"/>
  <c r="CH46" i="65" s="1"/>
  <c r="U34" i="65"/>
  <c r="AH34" i="65" s="1"/>
  <c r="AU34" i="65" s="1"/>
  <c r="BH34" i="65" s="1"/>
  <c r="BU34" i="65" s="1"/>
  <c r="CH34" i="65" s="1"/>
  <c r="AH22" i="65"/>
  <c r="AU22" i="65" s="1"/>
  <c r="BH22" i="65" s="1"/>
  <c r="BU22" i="65" s="1"/>
  <c r="CH22" i="65" s="1"/>
  <c r="U118" i="65"/>
  <c r="AH118" i="65" s="1"/>
  <c r="AU118" i="65" s="1"/>
  <c r="BH118" i="65" s="1"/>
  <c r="BU118" i="65" s="1"/>
  <c r="CH118" i="65" s="1"/>
  <c r="U132" i="65"/>
  <c r="AH132" i="65" s="1"/>
  <c r="AU132" i="65" s="1"/>
  <c r="BH132" i="65" s="1"/>
  <c r="BU132" i="65" s="1"/>
  <c r="CH132" i="65" s="1"/>
  <c r="U107" i="65"/>
  <c r="AH107" i="65" s="1"/>
  <c r="AU107" i="65" s="1"/>
  <c r="BH107" i="65" s="1"/>
  <c r="BU107" i="65" s="1"/>
  <c r="CH107" i="65" s="1"/>
  <c r="U93" i="65"/>
  <c r="AH93" i="65" s="1"/>
  <c r="AU93" i="65" s="1"/>
  <c r="BH93" i="65" s="1"/>
  <c r="BU93" i="65" s="1"/>
  <c r="CH93" i="65" s="1"/>
  <c r="U76" i="65"/>
  <c r="AH76" i="65" s="1"/>
  <c r="AU76" i="65" s="1"/>
  <c r="BH76" i="65" s="1"/>
  <c r="BU76" i="65" s="1"/>
  <c r="CH76" i="65" s="1"/>
  <c r="U71" i="65"/>
  <c r="AH71" i="65" s="1"/>
  <c r="AU71" i="65" s="1"/>
  <c r="BH71" i="65" s="1"/>
  <c r="BU71" i="65" s="1"/>
  <c r="CH71" i="65" s="1"/>
  <c r="U57" i="65"/>
  <c r="AH57" i="65" s="1"/>
  <c r="AU57" i="65" s="1"/>
  <c r="BH57" i="65" s="1"/>
  <c r="BU57" i="65" s="1"/>
  <c r="CH57" i="65" s="1"/>
  <c r="U45" i="65"/>
  <c r="AH45" i="65" s="1"/>
  <c r="AU45" i="65" s="1"/>
  <c r="BH45" i="65" s="1"/>
  <c r="U33" i="65"/>
  <c r="AH33" i="65" s="1"/>
  <c r="AU33" i="65" s="1"/>
  <c r="BH33" i="65" s="1"/>
  <c r="BU33" i="65" s="1"/>
  <c r="CH33" i="65" s="1"/>
  <c r="AH23" i="65"/>
  <c r="AU23" i="65" s="1"/>
  <c r="BH23" i="65" s="1"/>
  <c r="BU23" i="65" s="1"/>
  <c r="CH23" i="65" s="1"/>
  <c r="U115" i="65"/>
  <c r="AH115" i="65" s="1"/>
  <c r="AU115" i="65" s="1"/>
  <c r="BH115" i="65" s="1"/>
  <c r="BU115" i="65" s="1"/>
  <c r="CH115" i="65" s="1"/>
  <c r="U129" i="65"/>
  <c r="AH129" i="65" s="1"/>
  <c r="AU129" i="65" s="1"/>
  <c r="BH129" i="65" s="1"/>
  <c r="BU129" i="65" s="1"/>
  <c r="CH129" i="65" s="1"/>
  <c r="U104" i="65"/>
  <c r="AH104" i="65" s="1"/>
  <c r="AU104" i="65" s="1"/>
  <c r="BH104" i="65" s="1"/>
  <c r="BU104" i="65" s="1"/>
  <c r="CH104" i="65" s="1"/>
  <c r="U90" i="65"/>
  <c r="AH90" i="65" s="1"/>
  <c r="AU90" i="65" s="1"/>
  <c r="BH90" i="65" s="1"/>
  <c r="BU90" i="65" s="1"/>
  <c r="CH90" i="65" s="1"/>
  <c r="U73" i="65"/>
  <c r="AH73" i="65" s="1"/>
  <c r="AU73" i="65" s="1"/>
  <c r="BH73" i="65" s="1"/>
  <c r="BU73" i="65" s="1"/>
  <c r="CH73" i="65" s="1"/>
  <c r="U66" i="65"/>
  <c r="AH66" i="65" s="1"/>
  <c r="AU66" i="65" s="1"/>
  <c r="BH66" i="65" s="1"/>
  <c r="BU66" i="65" s="1"/>
  <c r="CH66" i="65" s="1"/>
  <c r="U69" i="65"/>
  <c r="AH69" i="65" s="1"/>
  <c r="AU69" i="65" s="1"/>
  <c r="BH69" i="65" s="1"/>
  <c r="BU69" i="65" s="1"/>
  <c r="CH69" i="65" s="1"/>
  <c r="U42" i="65"/>
  <c r="AH42" i="65" s="1"/>
  <c r="AU42" i="65" s="1"/>
  <c r="BH42" i="65" s="1"/>
  <c r="U30" i="65"/>
  <c r="AH30" i="65" s="1"/>
  <c r="AU30" i="65" s="1"/>
  <c r="BH30" i="65" s="1"/>
  <c r="BU30" i="65" s="1"/>
  <c r="CH30" i="65" s="1"/>
  <c r="AH26" i="65"/>
  <c r="AU26" i="65" s="1"/>
  <c r="BH26" i="65" s="1"/>
  <c r="BU26" i="65" s="1"/>
  <c r="CH26" i="65" s="1"/>
  <c r="U92" i="65"/>
  <c r="AH92" i="65" s="1"/>
  <c r="AU92" i="65" s="1"/>
  <c r="BH92" i="65" s="1"/>
  <c r="BU92" i="65" s="1"/>
  <c r="CH92" i="65" s="1"/>
  <c r="AH24" i="65"/>
  <c r="AU24" i="65" s="1"/>
  <c r="BH24" i="65" s="1"/>
  <c r="BU24" i="65" s="1"/>
  <c r="CH24" i="65" s="1"/>
  <c r="U91" i="65"/>
  <c r="AH91" i="65" s="1"/>
  <c r="AU91" i="65" s="1"/>
  <c r="BH91" i="65" s="1"/>
  <c r="BU91" i="65" s="1"/>
  <c r="CH91" i="65" s="1"/>
  <c r="AH25" i="65"/>
  <c r="AU25" i="65" s="1"/>
  <c r="BH25" i="65" s="1"/>
  <c r="BU25" i="65" s="1"/>
  <c r="CH25" i="65" s="1"/>
  <c r="U43" i="65"/>
  <c r="AH43" i="65" s="1"/>
  <c r="AU43" i="65" s="1"/>
  <c r="BH43" i="65" s="1"/>
  <c r="U106" i="65"/>
  <c r="AH106" i="65" s="1"/>
  <c r="AU106" i="65" s="1"/>
  <c r="BH106" i="65" s="1"/>
  <c r="BU106" i="65" s="1"/>
  <c r="CH106" i="65" s="1"/>
  <c r="U75" i="65"/>
  <c r="AH75" i="65" s="1"/>
  <c r="AU75" i="65" s="1"/>
  <c r="BH75" i="65" s="1"/>
  <c r="BU75" i="65" s="1"/>
  <c r="CH75" i="65" s="1"/>
  <c r="U130" i="65"/>
  <c r="AH130" i="65" s="1"/>
  <c r="AU130" i="65" s="1"/>
  <c r="BH130" i="65" s="1"/>
  <c r="BU130" i="65" s="1"/>
  <c r="CH130" i="65" s="1"/>
  <c r="U74" i="65"/>
  <c r="AH74" i="65" s="1"/>
  <c r="AU74" i="65" s="1"/>
  <c r="BH74" i="65" s="1"/>
  <c r="BU74" i="65" s="1"/>
  <c r="CH74" i="65" s="1"/>
  <c r="U68" i="65"/>
  <c r="AH68" i="65" s="1"/>
  <c r="AU68" i="65" s="1"/>
  <c r="BH68" i="65" s="1"/>
  <c r="BU68" i="65" s="1"/>
  <c r="CH68" i="65" s="1"/>
  <c r="U32" i="65"/>
  <c r="AH32" i="65" s="1"/>
  <c r="AU32" i="65" s="1"/>
  <c r="BH32" i="65" s="1"/>
  <c r="BU32" i="65" s="1"/>
  <c r="CH32" i="65" s="1"/>
  <c r="U67" i="65"/>
  <c r="AH67" i="65" s="1"/>
  <c r="AU67" i="65" s="1"/>
  <c r="BH67" i="65" s="1"/>
  <c r="BU67" i="65" s="1"/>
  <c r="CH67" i="65" s="1"/>
  <c r="U117" i="65"/>
  <c r="AH117" i="65" s="1"/>
  <c r="AU117" i="65" s="1"/>
  <c r="BH117" i="65" s="1"/>
  <c r="BU117" i="65" s="1"/>
  <c r="CH117" i="65" s="1"/>
  <c r="U56" i="65"/>
  <c r="AH56" i="65" s="1"/>
  <c r="AU56" i="65" s="1"/>
  <c r="BH56" i="65" s="1"/>
  <c r="BU56" i="65" s="1"/>
  <c r="CH56" i="65" s="1"/>
  <c r="U116" i="65"/>
  <c r="AH116" i="65" s="1"/>
  <c r="AU116" i="65" s="1"/>
  <c r="BH116" i="65" s="1"/>
  <c r="BU116" i="65" s="1"/>
  <c r="CH116" i="65" s="1"/>
  <c r="U55" i="65"/>
  <c r="AH55" i="65" s="1"/>
  <c r="AU55" i="65" s="1"/>
  <c r="BH55" i="65" s="1"/>
  <c r="BU55" i="65" s="1"/>
  <c r="CH55" i="65" s="1"/>
  <c r="U131" i="65"/>
  <c r="AH131" i="65" s="1"/>
  <c r="AU131" i="65" s="1"/>
  <c r="BH131" i="65" s="1"/>
  <c r="BU131" i="65" s="1"/>
  <c r="CH131" i="65" s="1"/>
  <c r="U44" i="65"/>
  <c r="AH44" i="65" s="1"/>
  <c r="AU44" i="65" s="1"/>
  <c r="BH44" i="65" s="1"/>
  <c r="U105" i="65"/>
  <c r="AH105" i="65" s="1"/>
  <c r="AU105" i="65" s="1"/>
  <c r="BH105" i="65" s="1"/>
  <c r="BU105" i="65" s="1"/>
  <c r="CH105" i="65" s="1"/>
  <c r="U31" i="65"/>
  <c r="AH31" i="65" s="1"/>
  <c r="AU31" i="65" s="1"/>
  <c r="BH31" i="65" s="1"/>
  <c r="BU31" i="65" s="1"/>
  <c r="CH31" i="65" s="1"/>
  <c r="AU7" i="53"/>
  <c r="CF18" i="65" s="1"/>
  <c r="BS18" i="65"/>
  <c r="S34" i="65"/>
  <c r="AF34" i="65" s="1"/>
  <c r="AS34" i="65" s="1"/>
  <c r="BF34" i="65" s="1"/>
  <c r="BS34" i="65" s="1"/>
  <c r="CF34" i="65" s="1"/>
  <c r="S130" i="65"/>
  <c r="AF130" i="65" s="1"/>
  <c r="AS130" i="65" s="1"/>
  <c r="BF130" i="65" s="1"/>
  <c r="BS130" i="65" s="1"/>
  <c r="CF130" i="65" s="1"/>
  <c r="S106" i="65"/>
  <c r="AF106" i="65" s="1"/>
  <c r="AS106" i="65" s="1"/>
  <c r="BF106" i="65" s="1"/>
  <c r="BS106" i="65" s="1"/>
  <c r="CF106" i="65" s="1"/>
  <c r="S94" i="65"/>
  <c r="AF94" i="65" s="1"/>
  <c r="AS94" i="65" s="1"/>
  <c r="BF94" i="65" s="1"/>
  <c r="BS94" i="65" s="1"/>
  <c r="CF94" i="65" s="1"/>
  <c r="S87" i="65"/>
  <c r="AF87" i="65" s="1"/>
  <c r="AS87" i="65" s="1"/>
  <c r="BF87" i="65" s="1"/>
  <c r="BS87" i="65" s="1"/>
  <c r="CF87" i="65" s="1"/>
  <c r="S74" i="65"/>
  <c r="AF74" i="65" s="1"/>
  <c r="AS74" i="65" s="1"/>
  <c r="BF74" i="65" s="1"/>
  <c r="BS74" i="65" s="1"/>
  <c r="CF74" i="65" s="1"/>
  <c r="S64" i="65"/>
  <c r="AF64" i="65" s="1"/>
  <c r="AS64" i="65" s="1"/>
  <c r="BF64" i="65" s="1"/>
  <c r="BS64" i="65" s="1"/>
  <c r="CF64" i="65" s="1"/>
  <c r="S49" i="65"/>
  <c r="AF49" i="65" s="1"/>
  <c r="AS49" i="65" s="1"/>
  <c r="BF49" i="65" s="1"/>
  <c r="BS49" i="65" s="1"/>
  <c r="CF49" i="65" s="1"/>
  <c r="S37" i="65"/>
  <c r="AF37" i="65" s="1"/>
  <c r="AS37" i="65" s="1"/>
  <c r="BF37" i="65" s="1"/>
  <c r="BS37" i="65" s="1"/>
  <c r="CF37" i="65" s="1"/>
  <c r="AF26" i="65"/>
  <c r="AS26" i="65" s="1"/>
  <c r="BF26" i="65" s="1"/>
  <c r="BS26" i="65" s="1"/>
  <c r="AF28" i="65"/>
  <c r="AS28" i="65" s="1"/>
  <c r="BF28" i="65" s="1"/>
  <c r="BS28" i="65" s="1"/>
  <c r="CF28" i="65" s="1"/>
  <c r="S129" i="65"/>
  <c r="AF129" i="65" s="1"/>
  <c r="AS129" i="65" s="1"/>
  <c r="BF129" i="65" s="1"/>
  <c r="BS129" i="65" s="1"/>
  <c r="CF129" i="65" s="1"/>
  <c r="S105" i="65"/>
  <c r="AF105" i="65" s="1"/>
  <c r="AS105" i="65" s="1"/>
  <c r="BF105" i="65" s="1"/>
  <c r="BS105" i="65" s="1"/>
  <c r="CF105" i="65" s="1"/>
  <c r="S112" i="65"/>
  <c r="AF112" i="65" s="1"/>
  <c r="AS112" i="65" s="1"/>
  <c r="BF112" i="65" s="1"/>
  <c r="BS112" i="65" s="1"/>
  <c r="CF112" i="65" s="1"/>
  <c r="S86" i="65"/>
  <c r="AF86" i="65" s="1"/>
  <c r="AS86" i="65" s="1"/>
  <c r="BF86" i="65" s="1"/>
  <c r="BS86" i="65" s="1"/>
  <c r="CF86" i="65" s="1"/>
  <c r="S73" i="65"/>
  <c r="AF73" i="65" s="1"/>
  <c r="AS73" i="65" s="1"/>
  <c r="BF73" i="65" s="1"/>
  <c r="BS73" i="65" s="1"/>
  <c r="CF73" i="65" s="1"/>
  <c r="S63" i="65"/>
  <c r="AF63" i="65" s="1"/>
  <c r="AS63" i="65" s="1"/>
  <c r="BF63" i="65" s="1"/>
  <c r="BS63" i="65" s="1"/>
  <c r="CF63" i="65" s="1"/>
  <c r="S48" i="65"/>
  <c r="AF48" i="65" s="1"/>
  <c r="AS48" i="65" s="1"/>
  <c r="BF48" i="65" s="1"/>
  <c r="BS48" i="65" s="1"/>
  <c r="CF48" i="65" s="1"/>
  <c r="S36" i="65"/>
  <c r="AF36" i="65" s="1"/>
  <c r="AS36" i="65" s="1"/>
  <c r="BF36" i="65" s="1"/>
  <c r="BS36" i="65" s="1"/>
  <c r="CF36" i="65" s="1"/>
  <c r="AF27" i="65"/>
  <c r="AS27" i="65" s="1"/>
  <c r="BF27" i="65" s="1"/>
  <c r="BS27" i="65" s="1"/>
  <c r="AF29" i="65"/>
  <c r="AS29" i="65" s="1"/>
  <c r="BF29" i="65" s="1"/>
  <c r="BS29" i="65" s="1"/>
  <c r="CF29" i="65" s="1"/>
  <c r="S128" i="65"/>
  <c r="AF128" i="65" s="1"/>
  <c r="AS128" i="65" s="1"/>
  <c r="BF128" i="65" s="1"/>
  <c r="BS128" i="65" s="1"/>
  <c r="CF128" i="65" s="1"/>
  <c r="S104" i="65"/>
  <c r="AF104" i="65" s="1"/>
  <c r="AS104" i="65" s="1"/>
  <c r="BF104" i="65" s="1"/>
  <c r="BS104" i="65" s="1"/>
  <c r="CF104" i="65" s="1"/>
  <c r="S110" i="65"/>
  <c r="AF110" i="65" s="1"/>
  <c r="AS110" i="65" s="1"/>
  <c r="BF110" i="65" s="1"/>
  <c r="BS110" i="65" s="1"/>
  <c r="CF110" i="65" s="1"/>
  <c r="S85" i="65"/>
  <c r="AF85" i="65" s="1"/>
  <c r="AS85" i="65" s="1"/>
  <c r="BF85" i="65" s="1"/>
  <c r="BS85" i="65" s="1"/>
  <c r="CF85" i="65" s="1"/>
  <c r="S72" i="65"/>
  <c r="AF72" i="65" s="1"/>
  <c r="AS72" i="65" s="1"/>
  <c r="BF72" i="65" s="1"/>
  <c r="BS72" i="65" s="1"/>
  <c r="CF72" i="65" s="1"/>
  <c r="S62" i="65"/>
  <c r="AF62" i="65" s="1"/>
  <c r="AS62" i="65" s="1"/>
  <c r="BF62" i="65" s="1"/>
  <c r="S47" i="65"/>
  <c r="AF47" i="65" s="1"/>
  <c r="AS47" i="65" s="1"/>
  <c r="BF47" i="65" s="1"/>
  <c r="BS47" i="65" s="1"/>
  <c r="CF47" i="65" s="1"/>
  <c r="S56" i="65"/>
  <c r="AF56" i="65" s="1"/>
  <c r="AS56" i="65" s="1"/>
  <c r="BF56" i="65" s="1"/>
  <c r="BS56" i="65" s="1"/>
  <c r="CF56" i="65" s="1"/>
  <c r="S30" i="65"/>
  <c r="AF30" i="65" s="1"/>
  <c r="AS30" i="65" s="1"/>
  <c r="BF30" i="65" s="1"/>
  <c r="BS30" i="65" s="1"/>
  <c r="CF30" i="65" s="1"/>
  <c r="S127" i="65"/>
  <c r="AF127" i="65" s="1"/>
  <c r="AS127" i="65" s="1"/>
  <c r="BF127" i="65" s="1"/>
  <c r="BS127" i="65" s="1"/>
  <c r="CF127" i="65" s="1"/>
  <c r="S103" i="65"/>
  <c r="AF103" i="65" s="1"/>
  <c r="AS103" i="65" s="1"/>
  <c r="BF103" i="65" s="1"/>
  <c r="BS103" i="65" s="1"/>
  <c r="CF103" i="65" s="1"/>
  <c r="S108" i="65"/>
  <c r="AF108" i="65" s="1"/>
  <c r="AS108" i="65" s="1"/>
  <c r="BF108" i="65" s="1"/>
  <c r="BS108" i="65" s="1"/>
  <c r="CF108" i="65" s="1"/>
  <c r="S84" i="65"/>
  <c r="AF84" i="65" s="1"/>
  <c r="AS84" i="65" s="1"/>
  <c r="BF84" i="65" s="1"/>
  <c r="BS84" i="65" s="1"/>
  <c r="CF84" i="65" s="1"/>
  <c r="S71" i="65"/>
  <c r="AF71" i="65" s="1"/>
  <c r="AS71" i="65" s="1"/>
  <c r="BF71" i="65" s="1"/>
  <c r="BS71" i="65" s="1"/>
  <c r="CF71" i="65" s="1"/>
  <c r="S61" i="65"/>
  <c r="AF61" i="65" s="1"/>
  <c r="AS61" i="65" s="1"/>
  <c r="BF61" i="65" s="1"/>
  <c r="BS61" i="65" s="1"/>
  <c r="CF61" i="65" s="1"/>
  <c r="S46" i="65"/>
  <c r="AF46" i="65" s="1"/>
  <c r="AS46" i="65" s="1"/>
  <c r="BF46" i="65" s="1"/>
  <c r="BS46" i="65" s="1"/>
  <c r="CF46" i="65" s="1"/>
  <c r="S54" i="65"/>
  <c r="AF54" i="65" s="1"/>
  <c r="AS54" i="65" s="1"/>
  <c r="BF54" i="65" s="1"/>
  <c r="BS54" i="65" s="1"/>
  <c r="CF54" i="65" s="1"/>
  <c r="S31" i="65"/>
  <c r="AF31" i="65" s="1"/>
  <c r="AS31" i="65" s="1"/>
  <c r="BF31" i="65" s="1"/>
  <c r="BS31" i="65" s="1"/>
  <c r="CF31" i="65" s="1"/>
  <c r="S119" i="65"/>
  <c r="AF119" i="65" s="1"/>
  <c r="AS119" i="65" s="1"/>
  <c r="BF119" i="65" s="1"/>
  <c r="BS119" i="65" s="1"/>
  <c r="CF119" i="65" s="1"/>
  <c r="S126" i="65"/>
  <c r="AF126" i="65" s="1"/>
  <c r="AS126" i="65" s="1"/>
  <c r="BF126" i="65" s="1"/>
  <c r="BS126" i="65" s="1"/>
  <c r="CF126" i="65" s="1"/>
  <c r="S102" i="65"/>
  <c r="AF102" i="65" s="1"/>
  <c r="AS102" i="65" s="1"/>
  <c r="BF102" i="65" s="1"/>
  <c r="BS102" i="65" s="1"/>
  <c r="CF102" i="65" s="1"/>
  <c r="S113" i="65"/>
  <c r="AF113" i="65" s="1"/>
  <c r="AS113" i="65" s="1"/>
  <c r="BF113" i="65" s="1"/>
  <c r="BS113" i="65" s="1"/>
  <c r="CF113" i="65" s="1"/>
  <c r="S83" i="65"/>
  <c r="AF83" i="65" s="1"/>
  <c r="AS83" i="65" s="1"/>
  <c r="BF83" i="65" s="1"/>
  <c r="BS83" i="65" s="1"/>
  <c r="CF83" i="65" s="1"/>
  <c r="S70" i="65"/>
  <c r="AF70" i="65" s="1"/>
  <c r="AS70" i="65" s="1"/>
  <c r="BF70" i="65" s="1"/>
  <c r="BS70" i="65" s="1"/>
  <c r="CF70" i="65" s="1"/>
  <c r="S60" i="65"/>
  <c r="AF60" i="65" s="1"/>
  <c r="AS60" i="65" s="1"/>
  <c r="BF60" i="65" s="1"/>
  <c r="BS60" i="65" s="1"/>
  <c r="CF60" i="65" s="1"/>
  <c r="S45" i="65"/>
  <c r="AF45" i="65" s="1"/>
  <c r="AS45" i="65" s="1"/>
  <c r="BF45" i="65" s="1"/>
  <c r="BS45" i="65" s="1"/>
  <c r="CF45" i="65" s="1"/>
  <c r="S53" i="65"/>
  <c r="AF53" i="65" s="1"/>
  <c r="AS53" i="65" s="1"/>
  <c r="BF53" i="65" s="1"/>
  <c r="BS53" i="65" s="1"/>
  <c r="CF53" i="65" s="1"/>
  <c r="S32" i="65"/>
  <c r="AF32" i="65" s="1"/>
  <c r="AS32" i="65" s="1"/>
  <c r="BF32" i="65" s="1"/>
  <c r="BS32" i="65" s="1"/>
  <c r="CF32" i="65" s="1"/>
  <c r="S118" i="65"/>
  <c r="AF118" i="65" s="1"/>
  <c r="AS118" i="65" s="1"/>
  <c r="BF118" i="65" s="1"/>
  <c r="BS118" i="65" s="1"/>
  <c r="CF118" i="65" s="1"/>
  <c r="S125" i="65"/>
  <c r="AF125" i="65" s="1"/>
  <c r="AS125" i="65" s="1"/>
  <c r="BF125" i="65" s="1"/>
  <c r="BS125" i="65" s="1"/>
  <c r="CF125" i="65" s="1"/>
  <c r="S101" i="65"/>
  <c r="AF101" i="65" s="1"/>
  <c r="AS101" i="65" s="1"/>
  <c r="BF101" i="65" s="1"/>
  <c r="BS101" i="65" s="1"/>
  <c r="CF101" i="65" s="1"/>
  <c r="S111" i="65"/>
  <c r="AF111" i="65" s="1"/>
  <c r="AS111" i="65" s="1"/>
  <c r="BF111" i="65" s="1"/>
  <c r="BS111" i="65" s="1"/>
  <c r="CF111" i="65" s="1"/>
  <c r="S81" i="65"/>
  <c r="AF81" i="65" s="1"/>
  <c r="AS81" i="65" s="1"/>
  <c r="BF81" i="65" s="1"/>
  <c r="BS81" i="65" s="1"/>
  <c r="CF81" i="65" s="1"/>
  <c r="S69" i="65"/>
  <c r="AF69" i="65" s="1"/>
  <c r="AS69" i="65" s="1"/>
  <c r="BF69" i="65" s="1"/>
  <c r="BS69" i="65" s="1"/>
  <c r="CF69" i="65" s="1"/>
  <c r="S59" i="65"/>
  <c r="AF59" i="65" s="1"/>
  <c r="AS59" i="65" s="1"/>
  <c r="BF59" i="65" s="1"/>
  <c r="BS59" i="65" s="1"/>
  <c r="CF59" i="65" s="1"/>
  <c r="S44" i="65"/>
  <c r="AF44" i="65" s="1"/>
  <c r="AS44" i="65" s="1"/>
  <c r="BF44" i="65" s="1"/>
  <c r="BS44" i="65" s="1"/>
  <c r="CF44" i="65" s="1"/>
  <c r="AF19" i="65"/>
  <c r="AS19" i="65" s="1"/>
  <c r="BF19" i="65" s="1"/>
  <c r="BS19" i="65" s="1"/>
  <c r="CF19" i="65" s="1"/>
  <c r="S33" i="65"/>
  <c r="AF33" i="65" s="1"/>
  <c r="AS33" i="65" s="1"/>
  <c r="BF33" i="65" s="1"/>
  <c r="BS33" i="65" s="1"/>
  <c r="CF33" i="65" s="1"/>
  <c r="S117" i="65"/>
  <c r="AF117" i="65" s="1"/>
  <c r="AS117" i="65" s="1"/>
  <c r="BF117" i="65" s="1"/>
  <c r="BS117" i="65" s="1"/>
  <c r="CF117" i="65" s="1"/>
  <c r="S124" i="65"/>
  <c r="AF124" i="65" s="1"/>
  <c r="AS124" i="65" s="1"/>
  <c r="BF124" i="65" s="1"/>
  <c r="BS124" i="65" s="1"/>
  <c r="CF124" i="65" s="1"/>
  <c r="S100" i="65"/>
  <c r="AF100" i="65" s="1"/>
  <c r="AS100" i="65" s="1"/>
  <c r="BF100" i="65" s="1"/>
  <c r="BS100" i="65" s="1"/>
  <c r="CF100" i="65" s="1"/>
  <c r="S109" i="65"/>
  <c r="AF109" i="65" s="1"/>
  <c r="AS109" i="65" s="1"/>
  <c r="BF109" i="65" s="1"/>
  <c r="BS109" i="65" s="1"/>
  <c r="CF109" i="65" s="1"/>
  <c r="S80" i="65"/>
  <c r="AF80" i="65" s="1"/>
  <c r="AS80" i="65" s="1"/>
  <c r="BF80" i="65" s="1"/>
  <c r="BS80" i="65" s="1"/>
  <c r="CF80" i="65" s="1"/>
  <c r="S82" i="65"/>
  <c r="AF82" i="65" s="1"/>
  <c r="AS82" i="65" s="1"/>
  <c r="BF82" i="65" s="1"/>
  <c r="BS82" i="65" s="1"/>
  <c r="CF82" i="65" s="1"/>
  <c r="S58" i="65"/>
  <c r="AF58" i="65" s="1"/>
  <c r="AS58" i="65" s="1"/>
  <c r="BF58" i="65" s="1"/>
  <c r="BS58" i="65" s="1"/>
  <c r="CF58" i="65" s="1"/>
  <c r="S43" i="65"/>
  <c r="AF43" i="65" s="1"/>
  <c r="AS43" i="65" s="1"/>
  <c r="BF43" i="65" s="1"/>
  <c r="BS43" i="65" s="1"/>
  <c r="CF43" i="65" s="1"/>
  <c r="AF20" i="65"/>
  <c r="AS20" i="65" s="1"/>
  <c r="BF20" i="65" s="1"/>
  <c r="BS20" i="65" s="1"/>
  <c r="CF20" i="65" s="1"/>
  <c r="S116" i="65"/>
  <c r="AF116" i="65" s="1"/>
  <c r="AS116" i="65" s="1"/>
  <c r="BF116" i="65" s="1"/>
  <c r="BS116" i="65" s="1"/>
  <c r="CF116" i="65" s="1"/>
  <c r="S123" i="65"/>
  <c r="AF123" i="65" s="1"/>
  <c r="AS123" i="65" s="1"/>
  <c r="BF123" i="65" s="1"/>
  <c r="BS123" i="65" s="1"/>
  <c r="CF123" i="65" s="1"/>
  <c r="S99" i="65"/>
  <c r="AF99" i="65" s="1"/>
  <c r="AS99" i="65" s="1"/>
  <c r="BF99" i="65" s="1"/>
  <c r="BS99" i="65" s="1"/>
  <c r="CF99" i="65" s="1"/>
  <c r="S93" i="65"/>
  <c r="AF93" i="65" s="1"/>
  <c r="AS93" i="65" s="1"/>
  <c r="BF93" i="65" s="1"/>
  <c r="BS93" i="65" s="1"/>
  <c r="CF93" i="65" s="1"/>
  <c r="S79" i="65"/>
  <c r="AF79" i="65" s="1"/>
  <c r="AS79" i="65" s="1"/>
  <c r="BF79" i="65" s="1"/>
  <c r="BS79" i="65" s="1"/>
  <c r="CF79" i="65" s="1"/>
  <c r="S88" i="65"/>
  <c r="AF88" i="65" s="1"/>
  <c r="AS88" i="65" s="1"/>
  <c r="BF88" i="65" s="1"/>
  <c r="BS88" i="65" s="1"/>
  <c r="CF88" i="65" s="1"/>
  <c r="S57" i="65"/>
  <c r="AF57" i="65" s="1"/>
  <c r="AS57" i="65" s="1"/>
  <c r="BF57" i="65" s="1"/>
  <c r="BS57" i="65" s="1"/>
  <c r="CF57" i="65" s="1"/>
  <c r="S42" i="65"/>
  <c r="AF42" i="65" s="1"/>
  <c r="AS42" i="65" s="1"/>
  <c r="BF42" i="65" s="1"/>
  <c r="BS42" i="65" s="1"/>
  <c r="CF42" i="65" s="1"/>
  <c r="AF21" i="65"/>
  <c r="AS21" i="65" s="1"/>
  <c r="BF21" i="65" s="1"/>
  <c r="BS21" i="65" s="1"/>
  <c r="CF21" i="65" s="1"/>
  <c r="S115" i="65"/>
  <c r="AF115" i="65" s="1"/>
  <c r="AS115" i="65" s="1"/>
  <c r="BF115" i="65" s="1"/>
  <c r="BS115" i="65" s="1"/>
  <c r="CF115" i="65" s="1"/>
  <c r="S122" i="65"/>
  <c r="AF122" i="65" s="1"/>
  <c r="AS122" i="65" s="1"/>
  <c r="BF122" i="65" s="1"/>
  <c r="BS122" i="65" s="1"/>
  <c r="CF122" i="65" s="1"/>
  <c r="S98" i="65"/>
  <c r="AF98" i="65" s="1"/>
  <c r="AS98" i="65" s="1"/>
  <c r="BF98" i="65" s="1"/>
  <c r="BS98" i="65" s="1"/>
  <c r="CF98" i="65" s="1"/>
  <c r="S92" i="65"/>
  <c r="AF92" i="65" s="1"/>
  <c r="AS92" i="65" s="1"/>
  <c r="BF92" i="65" s="1"/>
  <c r="BS92" i="65" s="1"/>
  <c r="CF92" i="65" s="1"/>
  <c r="S78" i="65"/>
  <c r="AF78" i="65" s="1"/>
  <c r="AS78" i="65" s="1"/>
  <c r="BF78" i="65" s="1"/>
  <c r="BS78" i="65" s="1"/>
  <c r="CF78" i="65" s="1"/>
  <c r="S68" i="65"/>
  <c r="AF68" i="65" s="1"/>
  <c r="AS68" i="65" s="1"/>
  <c r="BF68" i="65" s="1"/>
  <c r="BS68" i="65" s="1"/>
  <c r="CF68" i="65" s="1"/>
  <c r="S55" i="65"/>
  <c r="AF55" i="65" s="1"/>
  <c r="AS55" i="65" s="1"/>
  <c r="BF55" i="65" s="1"/>
  <c r="BS55" i="65" s="1"/>
  <c r="CF55" i="65" s="1"/>
  <c r="S41" i="65"/>
  <c r="AF41" i="65" s="1"/>
  <c r="AS41" i="65" s="1"/>
  <c r="BF41" i="65" s="1"/>
  <c r="BS41" i="65" s="1"/>
  <c r="CF41" i="65" s="1"/>
  <c r="AF22" i="65"/>
  <c r="AS22" i="65" s="1"/>
  <c r="BF22" i="65" s="1"/>
  <c r="BS22" i="65" s="1"/>
  <c r="CF22" i="65" s="1"/>
  <c r="S131" i="65"/>
  <c r="AF131" i="65" s="1"/>
  <c r="AS131" i="65" s="1"/>
  <c r="BF131" i="65" s="1"/>
  <c r="BS131" i="65" s="1"/>
  <c r="CF131" i="65" s="1"/>
  <c r="S107" i="65"/>
  <c r="AF107" i="65" s="1"/>
  <c r="AS107" i="65" s="1"/>
  <c r="BF107" i="65" s="1"/>
  <c r="BS107" i="65" s="1"/>
  <c r="CF107" i="65" s="1"/>
  <c r="S95" i="65"/>
  <c r="AF95" i="65" s="1"/>
  <c r="AS95" i="65" s="1"/>
  <c r="BF95" i="65" s="1"/>
  <c r="BS95" i="65" s="1"/>
  <c r="CF95" i="65" s="1"/>
  <c r="S89" i="65"/>
  <c r="AF89" i="65" s="1"/>
  <c r="AS89" i="65" s="1"/>
  <c r="BF89" i="65" s="1"/>
  <c r="BS89" i="65" s="1"/>
  <c r="CF89" i="65" s="1"/>
  <c r="S75" i="65"/>
  <c r="AF75" i="65" s="1"/>
  <c r="AS75" i="65" s="1"/>
  <c r="BF75" i="65" s="1"/>
  <c r="BS75" i="65" s="1"/>
  <c r="CF75" i="65" s="1"/>
  <c r="S65" i="65"/>
  <c r="AF65" i="65" s="1"/>
  <c r="AS65" i="65" s="1"/>
  <c r="BF65" i="65" s="1"/>
  <c r="BS65" i="65" s="1"/>
  <c r="CF65" i="65" s="1"/>
  <c r="S50" i="65"/>
  <c r="AF50" i="65" s="1"/>
  <c r="AS50" i="65" s="1"/>
  <c r="BF50" i="65" s="1"/>
  <c r="BS50" i="65" s="1"/>
  <c r="CF50" i="65" s="1"/>
  <c r="S38" i="65"/>
  <c r="AF38" i="65" s="1"/>
  <c r="AS38" i="65" s="1"/>
  <c r="BF38" i="65" s="1"/>
  <c r="BS38" i="65" s="1"/>
  <c r="CF38" i="65" s="1"/>
  <c r="AF25" i="65"/>
  <c r="AS25" i="65" s="1"/>
  <c r="BF25" i="65" s="1"/>
  <c r="BS25" i="65" s="1"/>
  <c r="CF25" i="65" s="1"/>
  <c r="S91" i="65"/>
  <c r="AF91" i="65" s="1"/>
  <c r="AS91" i="65" s="1"/>
  <c r="BF91" i="65" s="1"/>
  <c r="BS91" i="65" s="1"/>
  <c r="CF91" i="65" s="1"/>
  <c r="S90" i="65"/>
  <c r="AF90" i="65" s="1"/>
  <c r="AS90" i="65" s="1"/>
  <c r="BF90" i="65" s="1"/>
  <c r="BS90" i="65" s="1"/>
  <c r="CF90" i="65" s="1"/>
  <c r="S77" i="65"/>
  <c r="AF77" i="65" s="1"/>
  <c r="AS77" i="65" s="1"/>
  <c r="BF77" i="65" s="1"/>
  <c r="BS77" i="65" s="1"/>
  <c r="CF77" i="65" s="1"/>
  <c r="S35" i="65"/>
  <c r="AF35" i="65" s="1"/>
  <c r="AS35" i="65" s="1"/>
  <c r="BF35" i="65" s="1"/>
  <c r="BS35" i="65" s="1"/>
  <c r="CF35" i="65" s="1"/>
  <c r="AF23" i="65"/>
  <c r="AS23" i="65" s="1"/>
  <c r="BF23" i="65" s="1"/>
  <c r="BS23" i="65" s="1"/>
  <c r="CF23" i="65" s="1"/>
  <c r="S76" i="65"/>
  <c r="AF76" i="65" s="1"/>
  <c r="AS76" i="65" s="1"/>
  <c r="BF76" i="65" s="1"/>
  <c r="BS76" i="65" s="1"/>
  <c r="CF76" i="65" s="1"/>
  <c r="S67" i="65"/>
  <c r="AF67" i="65" s="1"/>
  <c r="AS67" i="65" s="1"/>
  <c r="BF67" i="65" s="1"/>
  <c r="BS67" i="65" s="1"/>
  <c r="CF67" i="65" s="1"/>
  <c r="S66" i="65"/>
  <c r="AF66" i="65" s="1"/>
  <c r="AS66" i="65" s="1"/>
  <c r="BF66" i="65" s="1"/>
  <c r="BS66" i="65" s="1"/>
  <c r="CF66" i="65" s="1"/>
  <c r="S114" i="65"/>
  <c r="AF114" i="65" s="1"/>
  <c r="AS114" i="65" s="1"/>
  <c r="BF114" i="65" s="1"/>
  <c r="BS114" i="65" s="1"/>
  <c r="CF114" i="65" s="1"/>
  <c r="S52" i="65"/>
  <c r="AF52" i="65" s="1"/>
  <c r="AS52" i="65" s="1"/>
  <c r="BF52" i="65" s="1"/>
  <c r="BS52" i="65" s="1"/>
  <c r="CF52" i="65" s="1"/>
  <c r="S132" i="65"/>
  <c r="AF132" i="65" s="1"/>
  <c r="AS132" i="65" s="1"/>
  <c r="BF132" i="65" s="1"/>
  <c r="BS132" i="65" s="1"/>
  <c r="CF132" i="65" s="1"/>
  <c r="S51" i="65"/>
  <c r="AF51" i="65" s="1"/>
  <c r="AS51" i="65" s="1"/>
  <c r="BF51" i="65" s="1"/>
  <c r="BS51" i="65" s="1"/>
  <c r="CF51" i="65" s="1"/>
  <c r="S121" i="65"/>
  <c r="AF121" i="65" s="1"/>
  <c r="AS121" i="65" s="1"/>
  <c r="BF121" i="65" s="1"/>
  <c r="BS121" i="65" s="1"/>
  <c r="CF121" i="65" s="1"/>
  <c r="S40" i="65"/>
  <c r="AF40" i="65" s="1"/>
  <c r="AS40" i="65" s="1"/>
  <c r="BF40" i="65" s="1"/>
  <c r="BS40" i="65" s="1"/>
  <c r="CF40" i="65" s="1"/>
  <c r="S120" i="65"/>
  <c r="AF120" i="65" s="1"/>
  <c r="AS120" i="65" s="1"/>
  <c r="BF120" i="65" s="1"/>
  <c r="BS120" i="65" s="1"/>
  <c r="CF120" i="65" s="1"/>
  <c r="S97" i="65"/>
  <c r="AF97" i="65" s="1"/>
  <c r="AS97" i="65" s="1"/>
  <c r="BF97" i="65" s="1"/>
  <c r="BS97" i="65" s="1"/>
  <c r="CF97" i="65" s="1"/>
  <c r="S96" i="65"/>
  <c r="AF96" i="65" s="1"/>
  <c r="AS96" i="65" s="1"/>
  <c r="BF96" i="65" s="1"/>
  <c r="BS96" i="65" s="1"/>
  <c r="CF96" i="65" s="1"/>
  <c r="AF24" i="65"/>
  <c r="AS24" i="65" s="1"/>
  <c r="BF24" i="65" s="1"/>
  <c r="BS24" i="65" s="1"/>
  <c r="CF24" i="65" s="1"/>
  <c r="S39" i="65"/>
  <c r="AF39" i="65" s="1"/>
  <c r="AS39" i="65" s="1"/>
  <c r="BF39" i="65" s="1"/>
  <c r="BS39" i="65" s="1"/>
  <c r="CF39" i="65" s="1"/>
  <c r="H17" i="30"/>
  <c r="AB17" i="30" s="1"/>
  <c r="AL17" i="30" s="1"/>
  <c r="AF14" i="30"/>
  <c r="AG14" i="30" s="1"/>
  <c r="AB20" i="8"/>
  <c r="AC20" i="8" s="1"/>
  <c r="Y16" i="30"/>
  <c r="BJ20" i="8"/>
  <c r="F20" i="30" s="1"/>
  <c r="AO16" i="30"/>
  <c r="AQ10" i="30"/>
  <c r="AK10" i="30"/>
  <c r="AP16" i="30"/>
  <c r="X16" i="30"/>
  <c r="AL16" i="30"/>
  <c r="AN16" i="30"/>
  <c r="AM16" i="30"/>
  <c r="AK16" i="30"/>
  <c r="AL10" i="30"/>
  <c r="AN10" i="30"/>
  <c r="S20" i="32"/>
  <c r="V20" i="32" s="1"/>
  <c r="W16" i="30"/>
  <c r="AE16" i="30" s="1"/>
  <c r="AQ12" i="30"/>
  <c r="M17" i="53"/>
  <c r="BP18" i="65" s="1"/>
  <c r="G19" i="30"/>
  <c r="N19" i="30" s="1"/>
  <c r="AP14" i="53"/>
  <c r="AQ14" i="53" s="1"/>
  <c r="N14" i="53"/>
  <c r="P14" i="53" s="1"/>
  <c r="AD14" i="53" s="1"/>
  <c r="E19" i="6"/>
  <c r="X19" i="6" s="1"/>
  <c r="AA19" i="6" s="1"/>
  <c r="AB19" i="6" s="1"/>
  <c r="E20" i="6"/>
  <c r="X20" i="6" s="1"/>
  <c r="AP10" i="30"/>
  <c r="AO10" i="30"/>
  <c r="Q12" i="53"/>
  <c r="P12" i="53"/>
  <c r="AD12" i="53" s="1"/>
  <c r="AK12" i="30"/>
  <c r="Q10" i="53"/>
  <c r="BL17" i="8"/>
  <c r="M17" i="30" s="1"/>
  <c r="AE12" i="30"/>
  <c r="AF12" i="30" s="1"/>
  <c r="BJ19" i="8"/>
  <c r="F19" i="30" s="1"/>
  <c r="AL12" i="30"/>
  <c r="AD18" i="6"/>
  <c r="J18" i="30"/>
  <c r="O18" i="30" s="1"/>
  <c r="H16" i="53"/>
  <c r="AE19" i="7"/>
  <c r="AF19" i="7" s="1"/>
  <c r="AJ19" i="7"/>
  <c r="AM12" i="30"/>
  <c r="AN12" i="30"/>
  <c r="AK17" i="6"/>
  <c r="AL17" i="6"/>
  <c r="AH17" i="6"/>
  <c r="D15" i="53"/>
  <c r="AP12" i="30"/>
  <c r="AF10" i="30"/>
  <c r="AG10" i="30" s="1"/>
  <c r="P11" i="53"/>
  <c r="AD11" i="53" s="1"/>
  <c r="P8" i="53"/>
  <c r="AD8" i="53" s="1"/>
  <c r="Q8" i="53"/>
  <c r="P9" i="53"/>
  <c r="AD9" i="53" s="1"/>
  <c r="Q9" i="53"/>
  <c r="K16" i="53"/>
  <c r="L16" i="53" s="1"/>
  <c r="H18" i="53"/>
  <c r="V20" i="6"/>
  <c r="BK18" i="8"/>
  <c r="L18" i="30" s="1"/>
  <c r="AF15" i="30"/>
  <c r="AH9" i="30"/>
  <c r="AD20" i="6"/>
  <c r="J20" i="30"/>
  <c r="BF19" i="8"/>
  <c r="AF13" i="30"/>
  <c r="BF20" i="8"/>
  <c r="K74" i="37"/>
  <c r="AD74" i="37" s="1"/>
  <c r="H39" i="41"/>
  <c r="J39" i="41" s="1"/>
  <c r="H42" i="41"/>
  <c r="J42" i="41" s="1"/>
  <c r="K14" i="37"/>
  <c r="AD14" i="37" s="1"/>
  <c r="I14" i="37"/>
  <c r="AB14" i="37" s="1"/>
  <c r="H38" i="41"/>
  <c r="J38" i="41" s="1"/>
  <c r="H35" i="36"/>
  <c r="L56" i="37"/>
  <c r="I62" i="37"/>
  <c r="AB62" i="37" s="1"/>
  <c r="L52" i="37"/>
  <c r="I58" i="37"/>
  <c r="AB58" i="37" s="1"/>
  <c r="BU43" i="65" l="1"/>
  <c r="CH43" i="65" s="1"/>
  <c r="BU45" i="65"/>
  <c r="CH45" i="65" s="1"/>
  <c r="BU42" i="65"/>
  <c r="CH42" i="65" s="1"/>
  <c r="BU41" i="65"/>
  <c r="CH41" i="65" s="1"/>
  <c r="AF11" i="30"/>
  <c r="AG11" i="30" s="1"/>
  <c r="CF26" i="65"/>
  <c r="CF27" i="65"/>
  <c r="BU62" i="65"/>
  <c r="CH62" i="65" s="1"/>
  <c r="BS62" i="65"/>
  <c r="CF62" i="65" s="1"/>
  <c r="N15" i="53"/>
  <c r="P15" i="53" s="1"/>
  <c r="AD15" i="53" s="1"/>
  <c r="BU18" i="65"/>
  <c r="BU40" i="65" s="1"/>
  <c r="CH40" i="65" s="1"/>
  <c r="AD18" i="8"/>
  <c r="AE18" i="6"/>
  <c r="I17" i="53"/>
  <c r="AE19" i="6"/>
  <c r="E17" i="53" s="1"/>
  <c r="I16" i="53"/>
  <c r="K56" i="37"/>
  <c r="AD50" i="37"/>
  <c r="K58" i="37"/>
  <c r="AD52" i="37"/>
  <c r="AD19" i="8"/>
  <c r="AT14" i="53"/>
  <c r="AU14" i="53" s="1"/>
  <c r="CM18" i="65" s="1"/>
  <c r="AD20" i="8"/>
  <c r="I18" i="53"/>
  <c r="D20" i="30"/>
  <c r="K20" i="30" s="1"/>
  <c r="P20" i="30" s="1"/>
  <c r="AE20" i="6"/>
  <c r="E18" i="53" s="1"/>
  <c r="AQ17" i="30"/>
  <c r="AP17" i="30"/>
  <c r="AO17" i="30"/>
  <c r="AK17" i="30"/>
  <c r="X17" i="30"/>
  <c r="AN17" i="30"/>
  <c r="Y17" i="30"/>
  <c r="AM17" i="30"/>
  <c r="W17" i="30"/>
  <c r="AE17" i="30" s="1"/>
  <c r="Z33" i="65"/>
  <c r="AM33" i="65" s="1"/>
  <c r="AZ33" i="65" s="1"/>
  <c r="BM33" i="65" s="1"/>
  <c r="BZ33" i="65" s="1"/>
  <c r="CM33" i="65" s="1"/>
  <c r="Z34" i="65"/>
  <c r="AM34" i="65" s="1"/>
  <c r="AZ34" i="65" s="1"/>
  <c r="BM34" i="65" s="1"/>
  <c r="BZ34" i="65" s="1"/>
  <c r="CM34" i="65" s="1"/>
  <c r="Z129" i="65"/>
  <c r="AM129" i="65" s="1"/>
  <c r="AZ129" i="65" s="1"/>
  <c r="BM129" i="65" s="1"/>
  <c r="BZ129" i="65" s="1"/>
  <c r="CM129" i="65" s="1"/>
  <c r="Z116" i="65"/>
  <c r="AM116" i="65" s="1"/>
  <c r="AZ116" i="65" s="1"/>
  <c r="BM116" i="65" s="1"/>
  <c r="BZ116" i="65" s="1"/>
  <c r="CM116" i="65" s="1"/>
  <c r="Z101" i="65"/>
  <c r="AM101" i="65" s="1"/>
  <c r="AZ101" i="65" s="1"/>
  <c r="BM101" i="65" s="1"/>
  <c r="BZ101" i="65" s="1"/>
  <c r="CM101" i="65" s="1"/>
  <c r="Z93" i="65"/>
  <c r="AM93" i="65" s="1"/>
  <c r="AZ93" i="65" s="1"/>
  <c r="BM93" i="65" s="1"/>
  <c r="BZ93" i="65" s="1"/>
  <c r="CM93" i="65" s="1"/>
  <c r="Z80" i="65"/>
  <c r="AM80" i="65" s="1"/>
  <c r="AZ80" i="65" s="1"/>
  <c r="BM80" i="65" s="1"/>
  <c r="BZ80" i="65" s="1"/>
  <c r="CM80" i="65" s="1"/>
  <c r="Z69" i="65"/>
  <c r="AM69" i="65" s="1"/>
  <c r="AZ69" i="65" s="1"/>
  <c r="BM69" i="65" s="1"/>
  <c r="Z56" i="65"/>
  <c r="AM56" i="65" s="1"/>
  <c r="AZ56" i="65" s="1"/>
  <c r="BM56" i="65" s="1"/>
  <c r="BZ56" i="65" s="1"/>
  <c r="CM56" i="65" s="1"/>
  <c r="Z44" i="65"/>
  <c r="AM44" i="65" s="1"/>
  <c r="AZ44" i="65" s="1"/>
  <c r="BM44" i="65" s="1"/>
  <c r="AM20" i="65"/>
  <c r="AZ20" i="65" s="1"/>
  <c r="BM20" i="65" s="1"/>
  <c r="BZ20" i="65" s="1"/>
  <c r="CM20" i="65" s="1"/>
  <c r="Z119" i="65"/>
  <c r="AM119" i="65" s="1"/>
  <c r="AZ119" i="65" s="1"/>
  <c r="BM119" i="65" s="1"/>
  <c r="BZ119" i="65" s="1"/>
  <c r="CM119" i="65" s="1"/>
  <c r="Z68" i="65"/>
  <c r="AM68" i="65" s="1"/>
  <c r="AZ68" i="65" s="1"/>
  <c r="BM68" i="65" s="1"/>
  <c r="BZ68" i="65" s="1"/>
  <c r="CM68" i="65" s="1"/>
  <c r="AM21" i="65"/>
  <c r="AZ21" i="65" s="1"/>
  <c r="BM21" i="65" s="1"/>
  <c r="BZ21" i="65" s="1"/>
  <c r="CM21" i="65" s="1"/>
  <c r="Z71" i="65"/>
  <c r="AM71" i="65" s="1"/>
  <c r="AZ71" i="65" s="1"/>
  <c r="BM71" i="65" s="1"/>
  <c r="Z46" i="65"/>
  <c r="AM46" i="65" s="1"/>
  <c r="AZ46" i="65" s="1"/>
  <c r="BM46" i="65" s="1"/>
  <c r="BZ46" i="65" s="1"/>
  <c r="CM46" i="65" s="1"/>
  <c r="Z128" i="65"/>
  <c r="AM128" i="65" s="1"/>
  <c r="AZ128" i="65" s="1"/>
  <c r="BM128" i="65" s="1"/>
  <c r="BZ128" i="65" s="1"/>
  <c r="CM128" i="65" s="1"/>
  <c r="Z100" i="65"/>
  <c r="AM100" i="65" s="1"/>
  <c r="AZ100" i="65" s="1"/>
  <c r="BM100" i="65" s="1"/>
  <c r="BZ100" i="65" s="1"/>
  <c r="CM100" i="65" s="1"/>
  <c r="Z92" i="65"/>
  <c r="AM92" i="65" s="1"/>
  <c r="AZ92" i="65" s="1"/>
  <c r="BM92" i="65" s="1"/>
  <c r="BZ92" i="65" s="1"/>
  <c r="CM92" i="65" s="1"/>
  <c r="Z79" i="65"/>
  <c r="AM79" i="65" s="1"/>
  <c r="AZ79" i="65" s="1"/>
  <c r="BM79" i="65" s="1"/>
  <c r="BZ79" i="65" s="1"/>
  <c r="CM79" i="65" s="1"/>
  <c r="Z58" i="65"/>
  <c r="AM58" i="65" s="1"/>
  <c r="AZ58" i="65" s="1"/>
  <c r="BM58" i="65" s="1"/>
  <c r="BZ58" i="65" s="1"/>
  <c r="CM58" i="65" s="1"/>
  <c r="Z43" i="65"/>
  <c r="AM43" i="65" s="1"/>
  <c r="AZ43" i="65" s="1"/>
  <c r="BM43" i="65" s="1"/>
  <c r="Z120" i="65"/>
  <c r="AM120" i="65" s="1"/>
  <c r="AZ120" i="65" s="1"/>
  <c r="BM120" i="65" s="1"/>
  <c r="BZ120" i="65" s="1"/>
  <c r="CM120" i="65" s="1"/>
  <c r="Z59" i="65"/>
  <c r="AM59" i="65" s="1"/>
  <c r="AZ59" i="65" s="1"/>
  <c r="BM59" i="65" s="1"/>
  <c r="BZ59" i="65" s="1"/>
  <c r="CM59" i="65" s="1"/>
  <c r="Z127" i="65"/>
  <c r="AM127" i="65" s="1"/>
  <c r="AZ127" i="65" s="1"/>
  <c r="BM127" i="65" s="1"/>
  <c r="BZ127" i="65" s="1"/>
  <c r="CM127" i="65" s="1"/>
  <c r="Z113" i="65"/>
  <c r="AM113" i="65" s="1"/>
  <c r="AZ113" i="65" s="1"/>
  <c r="BM113" i="65" s="1"/>
  <c r="BZ113" i="65" s="1"/>
  <c r="CM113" i="65" s="1"/>
  <c r="Z99" i="65"/>
  <c r="AM99" i="65" s="1"/>
  <c r="AZ99" i="65" s="1"/>
  <c r="BM99" i="65" s="1"/>
  <c r="BZ99" i="65" s="1"/>
  <c r="CM99" i="65" s="1"/>
  <c r="Z91" i="65"/>
  <c r="AM91" i="65" s="1"/>
  <c r="AZ91" i="65" s="1"/>
  <c r="BM91" i="65" s="1"/>
  <c r="BZ91" i="65" s="1"/>
  <c r="CM91" i="65" s="1"/>
  <c r="Z78" i="65"/>
  <c r="AM78" i="65" s="1"/>
  <c r="AZ78" i="65" s="1"/>
  <c r="BM78" i="65" s="1"/>
  <c r="BZ78" i="65" s="1"/>
  <c r="CM78" i="65" s="1"/>
  <c r="Z67" i="65"/>
  <c r="AM67" i="65" s="1"/>
  <c r="AZ67" i="65" s="1"/>
  <c r="BM67" i="65" s="1"/>
  <c r="BZ67" i="65" s="1"/>
  <c r="CM67" i="65" s="1"/>
  <c r="Z54" i="65"/>
  <c r="AM54" i="65" s="1"/>
  <c r="AZ54" i="65" s="1"/>
  <c r="BM54" i="65" s="1"/>
  <c r="Z42" i="65"/>
  <c r="AM42" i="65" s="1"/>
  <c r="AZ42" i="65" s="1"/>
  <c r="BM42" i="65" s="1"/>
  <c r="AM22" i="65"/>
  <c r="AZ22" i="65" s="1"/>
  <c r="BM22" i="65" s="1"/>
  <c r="BZ22" i="65" s="1"/>
  <c r="CM22" i="65" s="1"/>
  <c r="Z84" i="65"/>
  <c r="AM84" i="65" s="1"/>
  <c r="AZ84" i="65" s="1"/>
  <c r="BM84" i="65" s="1"/>
  <c r="BZ84" i="65" s="1"/>
  <c r="CM84" i="65" s="1"/>
  <c r="Z103" i="65"/>
  <c r="AM103" i="65" s="1"/>
  <c r="AZ103" i="65" s="1"/>
  <c r="BM103" i="65" s="1"/>
  <c r="BZ103" i="65" s="1"/>
  <c r="CM103" i="65" s="1"/>
  <c r="Z126" i="65"/>
  <c r="AM126" i="65" s="1"/>
  <c r="AZ126" i="65" s="1"/>
  <c r="BM126" i="65" s="1"/>
  <c r="BZ126" i="65" s="1"/>
  <c r="CM126" i="65" s="1"/>
  <c r="Z111" i="65"/>
  <c r="AM111" i="65" s="1"/>
  <c r="AZ111" i="65" s="1"/>
  <c r="BM111" i="65" s="1"/>
  <c r="BZ111" i="65" s="1"/>
  <c r="CM111" i="65" s="1"/>
  <c r="Z98" i="65"/>
  <c r="AM98" i="65" s="1"/>
  <c r="AZ98" i="65" s="1"/>
  <c r="BM98" i="65" s="1"/>
  <c r="BZ98" i="65" s="1"/>
  <c r="CM98" i="65" s="1"/>
  <c r="Z90" i="65"/>
  <c r="AM90" i="65" s="1"/>
  <c r="AZ90" i="65" s="1"/>
  <c r="BM90" i="65" s="1"/>
  <c r="BZ90" i="65" s="1"/>
  <c r="CM90" i="65" s="1"/>
  <c r="Z77" i="65"/>
  <c r="AM77" i="65" s="1"/>
  <c r="AZ77" i="65" s="1"/>
  <c r="BM77" i="65" s="1"/>
  <c r="BZ77" i="65" s="1"/>
  <c r="CM77" i="65" s="1"/>
  <c r="Z66" i="65"/>
  <c r="AM66" i="65" s="1"/>
  <c r="AZ66" i="65" s="1"/>
  <c r="BM66" i="65" s="1"/>
  <c r="BZ66" i="65" s="1"/>
  <c r="CM66" i="65" s="1"/>
  <c r="Z53" i="65"/>
  <c r="AM53" i="65" s="1"/>
  <c r="AZ53" i="65" s="1"/>
  <c r="BM53" i="65" s="1"/>
  <c r="Z41" i="65"/>
  <c r="AM41" i="65" s="1"/>
  <c r="AZ41" i="65" s="1"/>
  <c r="BM41" i="65" s="1"/>
  <c r="AM23" i="65"/>
  <c r="AZ23" i="65" s="1"/>
  <c r="BM23" i="65" s="1"/>
  <c r="BZ23" i="65" s="1"/>
  <c r="CM23" i="65" s="1"/>
  <c r="Z35" i="65"/>
  <c r="AM35" i="65" s="1"/>
  <c r="AZ35" i="65" s="1"/>
  <c r="BM35" i="65" s="1"/>
  <c r="BZ35" i="65" s="1"/>
  <c r="CM35" i="65" s="1"/>
  <c r="Z95" i="65"/>
  <c r="AM95" i="65" s="1"/>
  <c r="AZ95" i="65" s="1"/>
  <c r="BM95" i="65" s="1"/>
  <c r="BZ95" i="65" s="1"/>
  <c r="CM95" i="65" s="1"/>
  <c r="AM28" i="65"/>
  <c r="AZ28" i="65" s="1"/>
  <c r="BM28" i="65" s="1"/>
  <c r="BZ28" i="65" s="1"/>
  <c r="CM28" i="65" s="1"/>
  <c r="Z125" i="65"/>
  <c r="AM125" i="65" s="1"/>
  <c r="AZ125" i="65" s="1"/>
  <c r="BM125" i="65" s="1"/>
  <c r="BZ125" i="65" s="1"/>
  <c r="CM125" i="65" s="1"/>
  <c r="Z109" i="65"/>
  <c r="AM109" i="65" s="1"/>
  <c r="AZ109" i="65" s="1"/>
  <c r="BM109" i="65" s="1"/>
  <c r="BZ109" i="65" s="1"/>
  <c r="CM109" i="65" s="1"/>
  <c r="Z112" i="65"/>
  <c r="AM112" i="65" s="1"/>
  <c r="AZ112" i="65" s="1"/>
  <c r="BM112" i="65" s="1"/>
  <c r="BZ112" i="65" s="1"/>
  <c r="CM112" i="65" s="1"/>
  <c r="Z89" i="65"/>
  <c r="AM89" i="65" s="1"/>
  <c r="AZ89" i="65" s="1"/>
  <c r="BM89" i="65" s="1"/>
  <c r="BZ89" i="65" s="1"/>
  <c r="CM89" i="65" s="1"/>
  <c r="Z76" i="65"/>
  <c r="AM76" i="65" s="1"/>
  <c r="AZ76" i="65" s="1"/>
  <c r="BM76" i="65" s="1"/>
  <c r="BZ76" i="65" s="1"/>
  <c r="CM76" i="65" s="1"/>
  <c r="Z65" i="65"/>
  <c r="AM65" i="65" s="1"/>
  <c r="AZ65" i="65" s="1"/>
  <c r="BM65" i="65" s="1"/>
  <c r="BZ65" i="65" s="1"/>
  <c r="CM65" i="65" s="1"/>
  <c r="Z52" i="65"/>
  <c r="AM52" i="65" s="1"/>
  <c r="AZ52" i="65" s="1"/>
  <c r="BM52" i="65" s="1"/>
  <c r="Z40" i="65"/>
  <c r="AM40" i="65" s="1"/>
  <c r="AZ40" i="65" s="1"/>
  <c r="BM40" i="65" s="1"/>
  <c r="AM24" i="65"/>
  <c r="AZ24" i="65" s="1"/>
  <c r="BM24" i="65" s="1"/>
  <c r="BZ24" i="65" s="1"/>
  <c r="CM24" i="65" s="1"/>
  <c r="Z38" i="65"/>
  <c r="AM38" i="65" s="1"/>
  <c r="AZ38" i="65" s="1"/>
  <c r="BM38" i="65" s="1"/>
  <c r="BZ38" i="65" s="1"/>
  <c r="CM38" i="65" s="1"/>
  <c r="Z104" i="65"/>
  <c r="AM104" i="65" s="1"/>
  <c r="AZ104" i="65" s="1"/>
  <c r="BM104" i="65" s="1"/>
  <c r="BZ104" i="65" s="1"/>
  <c r="CM104" i="65" s="1"/>
  <c r="Z55" i="65"/>
  <c r="AM55" i="65" s="1"/>
  <c r="AZ55" i="65" s="1"/>
  <c r="BM55" i="65" s="1"/>
  <c r="AM29" i="65"/>
  <c r="AZ29" i="65" s="1"/>
  <c r="BM29" i="65" s="1"/>
  <c r="BZ29" i="65" s="1"/>
  <c r="CM29" i="65" s="1"/>
  <c r="Z124" i="65"/>
  <c r="AM124" i="65" s="1"/>
  <c r="AZ124" i="65" s="1"/>
  <c r="BM124" i="65" s="1"/>
  <c r="BZ124" i="65" s="1"/>
  <c r="CM124" i="65" s="1"/>
  <c r="Z114" i="65"/>
  <c r="AM114" i="65" s="1"/>
  <c r="AZ114" i="65" s="1"/>
  <c r="BM114" i="65" s="1"/>
  <c r="BZ114" i="65" s="1"/>
  <c r="CM114" i="65" s="1"/>
  <c r="Z110" i="65"/>
  <c r="AM110" i="65" s="1"/>
  <c r="AZ110" i="65" s="1"/>
  <c r="BM110" i="65" s="1"/>
  <c r="BZ110" i="65" s="1"/>
  <c r="CM110" i="65" s="1"/>
  <c r="Z88" i="65"/>
  <c r="AM88" i="65" s="1"/>
  <c r="AZ88" i="65" s="1"/>
  <c r="BM88" i="65" s="1"/>
  <c r="BZ88" i="65" s="1"/>
  <c r="CM88" i="65" s="1"/>
  <c r="Z75" i="65"/>
  <c r="AM75" i="65" s="1"/>
  <c r="AZ75" i="65" s="1"/>
  <c r="BM75" i="65" s="1"/>
  <c r="BZ75" i="65" s="1"/>
  <c r="CM75" i="65" s="1"/>
  <c r="Z64" i="65"/>
  <c r="AM64" i="65" s="1"/>
  <c r="AZ64" i="65" s="1"/>
  <c r="BM64" i="65" s="1"/>
  <c r="BZ64" i="65" s="1"/>
  <c r="CM64" i="65" s="1"/>
  <c r="Z51" i="65"/>
  <c r="AM51" i="65" s="1"/>
  <c r="AZ51" i="65" s="1"/>
  <c r="BM51" i="65" s="1"/>
  <c r="Z39" i="65"/>
  <c r="AM39" i="65" s="1"/>
  <c r="AZ39" i="65" s="1"/>
  <c r="BM39" i="65" s="1"/>
  <c r="BZ39" i="65" s="1"/>
  <c r="CM39" i="65" s="1"/>
  <c r="AM25" i="65"/>
  <c r="AZ25" i="65" s="1"/>
  <c r="BM25" i="65" s="1"/>
  <c r="BZ25" i="65" s="1"/>
  <c r="CM25" i="65" s="1"/>
  <c r="Z108" i="65"/>
  <c r="AM108" i="65" s="1"/>
  <c r="AZ108" i="65" s="1"/>
  <c r="BM108" i="65" s="1"/>
  <c r="BZ108" i="65" s="1"/>
  <c r="CM108" i="65" s="1"/>
  <c r="Z74" i="65"/>
  <c r="AM74" i="65" s="1"/>
  <c r="AZ74" i="65" s="1"/>
  <c r="BM74" i="65" s="1"/>
  <c r="BZ74" i="65" s="1"/>
  <c r="CM74" i="65" s="1"/>
  <c r="Z50" i="65"/>
  <c r="AM50" i="65" s="1"/>
  <c r="AZ50" i="65" s="1"/>
  <c r="BM50" i="65" s="1"/>
  <c r="Z132" i="65"/>
  <c r="AM132" i="65" s="1"/>
  <c r="AZ132" i="65" s="1"/>
  <c r="BM132" i="65" s="1"/>
  <c r="BZ132" i="65" s="1"/>
  <c r="CM132" i="65" s="1"/>
  <c r="Z47" i="65"/>
  <c r="AM47" i="65" s="1"/>
  <c r="AZ47" i="65" s="1"/>
  <c r="BM47" i="65" s="1"/>
  <c r="BZ47" i="65" s="1"/>
  <c r="CM47" i="65" s="1"/>
  <c r="Z131" i="65"/>
  <c r="AM131" i="65" s="1"/>
  <c r="AZ131" i="65" s="1"/>
  <c r="BM131" i="65" s="1"/>
  <c r="BZ131" i="65" s="1"/>
  <c r="CM131" i="65" s="1"/>
  <c r="Z30" i="65"/>
  <c r="AM30" i="65" s="1"/>
  <c r="AZ30" i="65" s="1"/>
  <c r="BM30" i="65" s="1"/>
  <c r="BZ30" i="65" s="1"/>
  <c r="CM30" i="65" s="1"/>
  <c r="Z123" i="65"/>
  <c r="AM123" i="65" s="1"/>
  <c r="AZ123" i="65" s="1"/>
  <c r="BM123" i="65" s="1"/>
  <c r="BZ123" i="65" s="1"/>
  <c r="CM123" i="65" s="1"/>
  <c r="Z107" i="65"/>
  <c r="AM107" i="65" s="1"/>
  <c r="AZ107" i="65" s="1"/>
  <c r="BM107" i="65" s="1"/>
  <c r="BZ107" i="65" s="1"/>
  <c r="CM107" i="65" s="1"/>
  <c r="Z87" i="65"/>
  <c r="AM87" i="65" s="1"/>
  <c r="AZ87" i="65" s="1"/>
  <c r="BM87" i="65" s="1"/>
  <c r="BZ87" i="65" s="1"/>
  <c r="CM87" i="65" s="1"/>
  <c r="Z63" i="65"/>
  <c r="AM63" i="65" s="1"/>
  <c r="AZ63" i="65" s="1"/>
  <c r="BM63" i="65" s="1"/>
  <c r="BZ63" i="65" s="1"/>
  <c r="CM63" i="65" s="1"/>
  <c r="AM26" i="65"/>
  <c r="AZ26" i="65" s="1"/>
  <c r="BM26" i="65" s="1"/>
  <c r="BZ26" i="65" s="1"/>
  <c r="CM26" i="65" s="1"/>
  <c r="Z97" i="65"/>
  <c r="AM97" i="65" s="1"/>
  <c r="AZ97" i="65" s="1"/>
  <c r="BM97" i="65" s="1"/>
  <c r="BZ97" i="65" s="1"/>
  <c r="CM97" i="65" s="1"/>
  <c r="Z70" i="65"/>
  <c r="AM70" i="65" s="1"/>
  <c r="AZ70" i="65" s="1"/>
  <c r="BM70" i="65" s="1"/>
  <c r="Z31" i="65"/>
  <c r="AM31" i="65" s="1"/>
  <c r="AZ31" i="65" s="1"/>
  <c r="BM31" i="65" s="1"/>
  <c r="BZ31" i="65" s="1"/>
  <c r="CM31" i="65" s="1"/>
  <c r="Z122" i="65"/>
  <c r="AM122" i="65" s="1"/>
  <c r="AZ122" i="65" s="1"/>
  <c r="BM122" i="65" s="1"/>
  <c r="BZ122" i="65" s="1"/>
  <c r="CM122" i="65" s="1"/>
  <c r="Z106" i="65"/>
  <c r="AM106" i="65" s="1"/>
  <c r="AZ106" i="65" s="1"/>
  <c r="BM106" i="65" s="1"/>
  <c r="BZ106" i="65" s="1"/>
  <c r="CM106" i="65" s="1"/>
  <c r="Z115" i="65"/>
  <c r="AM115" i="65" s="1"/>
  <c r="AZ115" i="65" s="1"/>
  <c r="BM115" i="65" s="1"/>
  <c r="BZ115" i="65" s="1"/>
  <c r="CM115" i="65" s="1"/>
  <c r="Z86" i="65"/>
  <c r="AM86" i="65" s="1"/>
  <c r="AZ86" i="65" s="1"/>
  <c r="BM86" i="65" s="1"/>
  <c r="BZ86" i="65" s="1"/>
  <c r="CM86" i="65" s="1"/>
  <c r="Z73" i="65"/>
  <c r="AM73" i="65" s="1"/>
  <c r="AZ73" i="65" s="1"/>
  <c r="BM73" i="65" s="1"/>
  <c r="BZ73" i="65" s="1"/>
  <c r="CM73" i="65" s="1"/>
  <c r="Z62" i="65"/>
  <c r="AM62" i="65" s="1"/>
  <c r="AZ62" i="65" s="1"/>
  <c r="BM62" i="65" s="1"/>
  <c r="Z49" i="65"/>
  <c r="AM49" i="65" s="1"/>
  <c r="AZ49" i="65" s="1"/>
  <c r="BM49" i="65" s="1"/>
  <c r="BZ49" i="65" s="1"/>
  <c r="CM49" i="65" s="1"/>
  <c r="Z37" i="65"/>
  <c r="AM37" i="65" s="1"/>
  <c r="AZ37" i="65" s="1"/>
  <c r="BM37" i="65" s="1"/>
  <c r="BZ37" i="65" s="1"/>
  <c r="CM37" i="65" s="1"/>
  <c r="AM27" i="65"/>
  <c r="AZ27" i="65" s="1"/>
  <c r="BM27" i="65" s="1"/>
  <c r="BZ27" i="65" s="1"/>
  <c r="CM27" i="65" s="1"/>
  <c r="Z83" i="65"/>
  <c r="AM83" i="65" s="1"/>
  <c r="AZ83" i="65" s="1"/>
  <c r="BM83" i="65" s="1"/>
  <c r="BZ83" i="65" s="1"/>
  <c r="CM83" i="65" s="1"/>
  <c r="Z32" i="65"/>
  <c r="AM32" i="65" s="1"/>
  <c r="AZ32" i="65" s="1"/>
  <c r="BM32" i="65" s="1"/>
  <c r="BZ32" i="65" s="1"/>
  <c r="CM32" i="65" s="1"/>
  <c r="Z121" i="65"/>
  <c r="AM121" i="65" s="1"/>
  <c r="AZ121" i="65" s="1"/>
  <c r="BM121" i="65" s="1"/>
  <c r="BZ121" i="65" s="1"/>
  <c r="CM121" i="65" s="1"/>
  <c r="Z105" i="65"/>
  <c r="AM105" i="65" s="1"/>
  <c r="AZ105" i="65" s="1"/>
  <c r="BM105" i="65" s="1"/>
  <c r="BZ105" i="65" s="1"/>
  <c r="CM105" i="65" s="1"/>
  <c r="Z94" i="65"/>
  <c r="AM94" i="65" s="1"/>
  <c r="AZ94" i="65" s="1"/>
  <c r="BM94" i="65" s="1"/>
  <c r="BZ94" i="65" s="1"/>
  <c r="CM94" i="65" s="1"/>
  <c r="Z85" i="65"/>
  <c r="AM85" i="65" s="1"/>
  <c r="AZ85" i="65" s="1"/>
  <c r="BM85" i="65" s="1"/>
  <c r="BZ85" i="65" s="1"/>
  <c r="CM85" i="65" s="1"/>
  <c r="Z72" i="65"/>
  <c r="AM72" i="65" s="1"/>
  <c r="AZ72" i="65" s="1"/>
  <c r="BM72" i="65" s="1"/>
  <c r="BZ72" i="65" s="1"/>
  <c r="CM72" i="65" s="1"/>
  <c r="Z61" i="65"/>
  <c r="AM61" i="65" s="1"/>
  <c r="AZ61" i="65" s="1"/>
  <c r="BM61" i="65" s="1"/>
  <c r="BZ61" i="65" s="1"/>
  <c r="CM61" i="65" s="1"/>
  <c r="Z48" i="65"/>
  <c r="AM48" i="65" s="1"/>
  <c r="AZ48" i="65" s="1"/>
  <c r="BM48" i="65" s="1"/>
  <c r="BZ48" i="65" s="1"/>
  <c r="CM48" i="65" s="1"/>
  <c r="Z36" i="65"/>
  <c r="AM36" i="65" s="1"/>
  <c r="AZ36" i="65" s="1"/>
  <c r="BM36" i="65" s="1"/>
  <c r="BZ36" i="65" s="1"/>
  <c r="CM36" i="65" s="1"/>
  <c r="Z130" i="65"/>
  <c r="AM130" i="65" s="1"/>
  <c r="AZ130" i="65" s="1"/>
  <c r="BM130" i="65" s="1"/>
  <c r="BZ130" i="65" s="1"/>
  <c r="CM130" i="65" s="1"/>
  <c r="Z117" i="65"/>
  <c r="AM117" i="65" s="1"/>
  <c r="AZ117" i="65" s="1"/>
  <c r="BM117" i="65" s="1"/>
  <c r="BZ117" i="65" s="1"/>
  <c r="CM117" i="65" s="1"/>
  <c r="Z102" i="65"/>
  <c r="AM102" i="65" s="1"/>
  <c r="AZ102" i="65" s="1"/>
  <c r="BM102" i="65" s="1"/>
  <c r="BZ102" i="65" s="1"/>
  <c r="CM102" i="65" s="1"/>
  <c r="Z96" i="65"/>
  <c r="AM96" i="65" s="1"/>
  <c r="AZ96" i="65" s="1"/>
  <c r="BM96" i="65" s="1"/>
  <c r="BZ96" i="65" s="1"/>
  <c r="CM96" i="65" s="1"/>
  <c r="Z81" i="65"/>
  <c r="AM81" i="65" s="1"/>
  <c r="AZ81" i="65" s="1"/>
  <c r="BM81" i="65" s="1"/>
  <c r="BZ81" i="65" s="1"/>
  <c r="CM81" i="65" s="1"/>
  <c r="Z82" i="65"/>
  <c r="AM82" i="65" s="1"/>
  <c r="AZ82" i="65" s="1"/>
  <c r="BM82" i="65" s="1"/>
  <c r="BZ82" i="65" s="1"/>
  <c r="CM82" i="65" s="1"/>
  <c r="Z57" i="65"/>
  <c r="AM57" i="65" s="1"/>
  <c r="AZ57" i="65" s="1"/>
  <c r="BM57" i="65" s="1"/>
  <c r="BZ57" i="65" s="1"/>
  <c r="CM57" i="65" s="1"/>
  <c r="Z45" i="65"/>
  <c r="AM45" i="65" s="1"/>
  <c r="AZ45" i="65" s="1"/>
  <c r="BM45" i="65" s="1"/>
  <c r="AM19" i="65"/>
  <c r="AZ19" i="65" s="1"/>
  <c r="BM19" i="65" s="1"/>
  <c r="BZ19" i="65" s="1"/>
  <c r="CM19" i="65" s="1"/>
  <c r="Z60" i="65"/>
  <c r="AM60" i="65" s="1"/>
  <c r="AZ60" i="65" s="1"/>
  <c r="BM60" i="65" s="1"/>
  <c r="BZ60" i="65" s="1"/>
  <c r="CM60" i="65" s="1"/>
  <c r="Z118" i="65"/>
  <c r="AM118" i="65" s="1"/>
  <c r="AZ118" i="65" s="1"/>
  <c r="BM118" i="65" s="1"/>
  <c r="BZ118" i="65" s="1"/>
  <c r="CM118" i="65" s="1"/>
  <c r="AU11" i="53"/>
  <c r="CJ18" i="65" s="1"/>
  <c r="BW18" i="65"/>
  <c r="W122" i="65"/>
  <c r="AJ122" i="65" s="1"/>
  <c r="AW122" i="65" s="1"/>
  <c r="BJ122" i="65" s="1"/>
  <c r="BW122" i="65" s="1"/>
  <c r="CJ122" i="65" s="1"/>
  <c r="W110" i="65"/>
  <c r="AJ110" i="65" s="1"/>
  <c r="AW110" i="65" s="1"/>
  <c r="BJ110" i="65" s="1"/>
  <c r="BW110" i="65" s="1"/>
  <c r="CJ110" i="65" s="1"/>
  <c r="W98" i="65"/>
  <c r="AJ98" i="65" s="1"/>
  <c r="AW98" i="65" s="1"/>
  <c r="BJ98" i="65" s="1"/>
  <c r="BW98" i="65" s="1"/>
  <c r="CJ98" i="65" s="1"/>
  <c r="W84" i="65"/>
  <c r="AJ84" i="65" s="1"/>
  <c r="AW84" i="65" s="1"/>
  <c r="BJ84" i="65" s="1"/>
  <c r="BW84" i="65" s="1"/>
  <c r="CJ84" i="65" s="1"/>
  <c r="W82" i="65"/>
  <c r="AJ82" i="65" s="1"/>
  <c r="AW82" i="65" s="1"/>
  <c r="BJ82" i="65" s="1"/>
  <c r="BW82" i="65" s="1"/>
  <c r="CJ82" i="65" s="1"/>
  <c r="W58" i="65"/>
  <c r="AJ58" i="65" s="1"/>
  <c r="AW58" i="65" s="1"/>
  <c r="BJ58" i="65" s="1"/>
  <c r="BW58" i="65" s="1"/>
  <c r="CJ58" i="65" s="1"/>
  <c r="W50" i="65"/>
  <c r="AJ50" i="65" s="1"/>
  <c r="AW50" i="65" s="1"/>
  <c r="BJ50" i="65" s="1"/>
  <c r="BW50" i="65" s="1"/>
  <c r="CJ50" i="65" s="1"/>
  <c r="W38" i="65"/>
  <c r="AJ38" i="65" s="1"/>
  <c r="AW38" i="65" s="1"/>
  <c r="BJ38" i="65" s="1"/>
  <c r="BW38" i="65" s="1"/>
  <c r="CJ38" i="65" s="1"/>
  <c r="AJ26" i="65"/>
  <c r="AW26" i="65" s="1"/>
  <c r="BJ26" i="65" s="1"/>
  <c r="BW26" i="65" s="1"/>
  <c r="CJ26" i="65" s="1"/>
  <c r="W121" i="65"/>
  <c r="AJ121" i="65" s="1"/>
  <c r="AW121" i="65" s="1"/>
  <c r="BJ121" i="65" s="1"/>
  <c r="BW121" i="65" s="1"/>
  <c r="CJ121" i="65" s="1"/>
  <c r="W109" i="65"/>
  <c r="AJ109" i="65" s="1"/>
  <c r="AW109" i="65" s="1"/>
  <c r="BJ109" i="65" s="1"/>
  <c r="BW109" i="65" s="1"/>
  <c r="CJ109" i="65" s="1"/>
  <c r="W96" i="65"/>
  <c r="AJ96" i="65" s="1"/>
  <c r="AW96" i="65" s="1"/>
  <c r="BJ96" i="65" s="1"/>
  <c r="BW96" i="65" s="1"/>
  <c r="CJ96" i="65" s="1"/>
  <c r="W83" i="65"/>
  <c r="AJ83" i="65" s="1"/>
  <c r="AW83" i="65" s="1"/>
  <c r="BJ83" i="65" s="1"/>
  <c r="BW83" i="65" s="1"/>
  <c r="CJ83" i="65" s="1"/>
  <c r="W71" i="65"/>
  <c r="AJ71" i="65" s="1"/>
  <c r="AW71" i="65" s="1"/>
  <c r="BJ71" i="65" s="1"/>
  <c r="BW71" i="65" s="1"/>
  <c r="CJ71" i="65" s="1"/>
  <c r="W57" i="65"/>
  <c r="AJ57" i="65" s="1"/>
  <c r="AW57" i="65" s="1"/>
  <c r="BJ57" i="65" s="1"/>
  <c r="BW57" i="65" s="1"/>
  <c r="CJ57" i="65" s="1"/>
  <c r="W49" i="65"/>
  <c r="AJ49" i="65" s="1"/>
  <c r="AW49" i="65" s="1"/>
  <c r="BJ49" i="65" s="1"/>
  <c r="BW49" i="65" s="1"/>
  <c r="CJ49" i="65" s="1"/>
  <c r="W37" i="65"/>
  <c r="AJ37" i="65" s="1"/>
  <c r="AW37" i="65" s="1"/>
  <c r="BJ37" i="65" s="1"/>
  <c r="BW37" i="65" s="1"/>
  <c r="CJ37" i="65" s="1"/>
  <c r="W132" i="65"/>
  <c r="AJ132" i="65" s="1"/>
  <c r="AW132" i="65" s="1"/>
  <c r="BJ132" i="65" s="1"/>
  <c r="BW132" i="65" s="1"/>
  <c r="CJ132" i="65" s="1"/>
  <c r="W120" i="65"/>
  <c r="AJ120" i="65" s="1"/>
  <c r="AW120" i="65" s="1"/>
  <c r="BJ120" i="65" s="1"/>
  <c r="BW120" i="65" s="1"/>
  <c r="CJ120" i="65" s="1"/>
  <c r="W108" i="65"/>
  <c r="AJ108" i="65" s="1"/>
  <c r="AW108" i="65" s="1"/>
  <c r="BJ108" i="65" s="1"/>
  <c r="BW108" i="65" s="1"/>
  <c r="CJ108" i="65" s="1"/>
  <c r="W95" i="65"/>
  <c r="AJ95" i="65" s="1"/>
  <c r="AW95" i="65" s="1"/>
  <c r="BJ95" i="65" s="1"/>
  <c r="BW95" i="65" s="1"/>
  <c r="CJ95" i="65" s="1"/>
  <c r="W94" i="65"/>
  <c r="AJ94" i="65" s="1"/>
  <c r="AW94" i="65" s="1"/>
  <c r="BJ94" i="65" s="1"/>
  <c r="BW94" i="65" s="1"/>
  <c r="CJ94" i="65" s="1"/>
  <c r="W68" i="65"/>
  <c r="AJ68" i="65" s="1"/>
  <c r="AW68" i="65" s="1"/>
  <c r="BJ68" i="65" s="1"/>
  <c r="BW68" i="65" s="1"/>
  <c r="CJ68" i="65" s="1"/>
  <c r="W56" i="65"/>
  <c r="AJ56" i="65" s="1"/>
  <c r="AW56" i="65" s="1"/>
  <c r="BJ56" i="65" s="1"/>
  <c r="BW56" i="65" s="1"/>
  <c r="CJ56" i="65" s="1"/>
  <c r="W48" i="65"/>
  <c r="AJ48" i="65" s="1"/>
  <c r="AW48" i="65" s="1"/>
  <c r="BJ48" i="65" s="1"/>
  <c r="BW48" i="65" s="1"/>
  <c r="CJ48" i="65" s="1"/>
  <c r="W36" i="65"/>
  <c r="AJ36" i="65" s="1"/>
  <c r="AW36" i="65" s="1"/>
  <c r="BJ36" i="65" s="1"/>
  <c r="BW36" i="65" s="1"/>
  <c r="CJ36" i="65" s="1"/>
  <c r="W131" i="65"/>
  <c r="AJ131" i="65" s="1"/>
  <c r="AW131" i="65" s="1"/>
  <c r="BJ131" i="65" s="1"/>
  <c r="BW131" i="65" s="1"/>
  <c r="CJ131" i="65" s="1"/>
  <c r="W119" i="65"/>
  <c r="AJ119" i="65" s="1"/>
  <c r="AW119" i="65" s="1"/>
  <c r="BJ119" i="65" s="1"/>
  <c r="BW119" i="65" s="1"/>
  <c r="CJ119" i="65" s="1"/>
  <c r="W107" i="65"/>
  <c r="AJ107" i="65" s="1"/>
  <c r="AW107" i="65" s="1"/>
  <c r="BJ107" i="65" s="1"/>
  <c r="BW107" i="65" s="1"/>
  <c r="CJ107" i="65" s="1"/>
  <c r="W93" i="65"/>
  <c r="AJ93" i="65" s="1"/>
  <c r="AW93" i="65" s="1"/>
  <c r="BJ93" i="65" s="1"/>
  <c r="BW93" i="65" s="1"/>
  <c r="CJ93" i="65" s="1"/>
  <c r="W97" i="65"/>
  <c r="AJ97" i="65" s="1"/>
  <c r="AW97" i="65" s="1"/>
  <c r="BJ97" i="65" s="1"/>
  <c r="BW97" i="65" s="1"/>
  <c r="CJ97" i="65" s="1"/>
  <c r="W67" i="65"/>
  <c r="AJ67" i="65" s="1"/>
  <c r="AW67" i="65" s="1"/>
  <c r="BJ67" i="65" s="1"/>
  <c r="BW67" i="65" s="1"/>
  <c r="CJ67" i="65" s="1"/>
  <c r="W55" i="65"/>
  <c r="AJ55" i="65" s="1"/>
  <c r="AW55" i="65" s="1"/>
  <c r="BJ55" i="65" s="1"/>
  <c r="BW55" i="65" s="1"/>
  <c r="CJ55" i="65" s="1"/>
  <c r="W47" i="65"/>
  <c r="AJ47" i="65" s="1"/>
  <c r="AW47" i="65" s="1"/>
  <c r="BJ47" i="65" s="1"/>
  <c r="BW47" i="65" s="1"/>
  <c r="CJ47" i="65" s="1"/>
  <c r="W35" i="65"/>
  <c r="AJ35" i="65" s="1"/>
  <c r="AW35" i="65" s="1"/>
  <c r="BJ35" i="65" s="1"/>
  <c r="BW35" i="65" s="1"/>
  <c r="CJ35" i="65" s="1"/>
  <c r="W130" i="65"/>
  <c r="AJ130" i="65" s="1"/>
  <c r="AW130" i="65" s="1"/>
  <c r="BJ130" i="65" s="1"/>
  <c r="BW130" i="65" s="1"/>
  <c r="CJ130" i="65" s="1"/>
  <c r="W118" i="65"/>
  <c r="AJ118" i="65" s="1"/>
  <c r="AW118" i="65" s="1"/>
  <c r="BJ118" i="65" s="1"/>
  <c r="BW118" i="65" s="1"/>
  <c r="CJ118" i="65" s="1"/>
  <c r="W106" i="65"/>
  <c r="AJ106" i="65" s="1"/>
  <c r="AW106" i="65" s="1"/>
  <c r="BJ106" i="65" s="1"/>
  <c r="BW106" i="65" s="1"/>
  <c r="CJ106" i="65" s="1"/>
  <c r="W92" i="65"/>
  <c r="AJ92" i="65" s="1"/>
  <c r="AW92" i="65" s="1"/>
  <c r="BJ92" i="65" s="1"/>
  <c r="BW92" i="65" s="1"/>
  <c r="CJ92" i="65" s="1"/>
  <c r="W81" i="65"/>
  <c r="AJ81" i="65" s="1"/>
  <c r="AW81" i="65" s="1"/>
  <c r="BJ81" i="65" s="1"/>
  <c r="BW81" i="65" s="1"/>
  <c r="CJ81" i="65" s="1"/>
  <c r="W66" i="65"/>
  <c r="AJ66" i="65" s="1"/>
  <c r="AW66" i="65" s="1"/>
  <c r="BJ66" i="65" s="1"/>
  <c r="BW66" i="65" s="1"/>
  <c r="CJ66" i="65" s="1"/>
  <c r="W54" i="65"/>
  <c r="AJ54" i="65" s="1"/>
  <c r="AW54" i="65" s="1"/>
  <c r="BJ54" i="65" s="1"/>
  <c r="BW54" i="65" s="1"/>
  <c r="CJ54" i="65" s="1"/>
  <c r="W46" i="65"/>
  <c r="AJ46" i="65" s="1"/>
  <c r="AW46" i="65" s="1"/>
  <c r="BJ46" i="65" s="1"/>
  <c r="BW46" i="65" s="1"/>
  <c r="CJ46" i="65" s="1"/>
  <c r="W34" i="65"/>
  <c r="AJ34" i="65" s="1"/>
  <c r="AW34" i="65" s="1"/>
  <c r="BJ34" i="65" s="1"/>
  <c r="BW34" i="65" s="1"/>
  <c r="CJ34" i="65" s="1"/>
  <c r="W30" i="65"/>
  <c r="AJ30" i="65" s="1"/>
  <c r="AW30" i="65" s="1"/>
  <c r="BJ30" i="65" s="1"/>
  <c r="BW30" i="65" s="1"/>
  <c r="CJ30" i="65" s="1"/>
  <c r="W129" i="65"/>
  <c r="AJ129" i="65" s="1"/>
  <c r="AW129" i="65" s="1"/>
  <c r="BJ129" i="65" s="1"/>
  <c r="BW129" i="65" s="1"/>
  <c r="CJ129" i="65" s="1"/>
  <c r="W117" i="65"/>
  <c r="AJ117" i="65" s="1"/>
  <c r="AW117" i="65" s="1"/>
  <c r="BJ117" i="65" s="1"/>
  <c r="BW117" i="65" s="1"/>
  <c r="CJ117" i="65" s="1"/>
  <c r="W105" i="65"/>
  <c r="AJ105" i="65" s="1"/>
  <c r="AW105" i="65" s="1"/>
  <c r="BJ105" i="65" s="1"/>
  <c r="BW105" i="65" s="1"/>
  <c r="CJ105" i="65" s="1"/>
  <c r="W91" i="65"/>
  <c r="AJ91" i="65" s="1"/>
  <c r="AW91" i="65" s="1"/>
  <c r="BJ91" i="65" s="1"/>
  <c r="BW91" i="65" s="1"/>
  <c r="CJ91" i="65" s="1"/>
  <c r="W80" i="65"/>
  <c r="AJ80" i="65" s="1"/>
  <c r="AW80" i="65" s="1"/>
  <c r="BJ80" i="65" s="1"/>
  <c r="BW80" i="65" s="1"/>
  <c r="CJ80" i="65" s="1"/>
  <c r="W65" i="65"/>
  <c r="AJ65" i="65" s="1"/>
  <c r="AW65" i="65" s="1"/>
  <c r="BJ65" i="65" s="1"/>
  <c r="BW65" i="65" s="1"/>
  <c r="CJ65" i="65" s="1"/>
  <c r="W53" i="65"/>
  <c r="AJ53" i="65" s="1"/>
  <c r="AW53" i="65" s="1"/>
  <c r="BJ53" i="65" s="1"/>
  <c r="BW53" i="65" s="1"/>
  <c r="CJ53" i="65" s="1"/>
  <c r="W45" i="65"/>
  <c r="AJ45" i="65" s="1"/>
  <c r="AW45" i="65" s="1"/>
  <c r="BJ45" i="65" s="1"/>
  <c r="BW45" i="65" s="1"/>
  <c r="CJ45" i="65" s="1"/>
  <c r="AJ19" i="65"/>
  <c r="AW19" i="65" s="1"/>
  <c r="BJ19" i="65" s="1"/>
  <c r="BW19" i="65" s="1"/>
  <c r="CJ19" i="65" s="1"/>
  <c r="W31" i="65"/>
  <c r="AJ31" i="65" s="1"/>
  <c r="AW31" i="65" s="1"/>
  <c r="BJ31" i="65" s="1"/>
  <c r="BW31" i="65" s="1"/>
  <c r="CJ31" i="65" s="1"/>
  <c r="W128" i="65"/>
  <c r="AJ128" i="65" s="1"/>
  <c r="AW128" i="65" s="1"/>
  <c r="BJ128" i="65" s="1"/>
  <c r="BW128" i="65" s="1"/>
  <c r="CJ128" i="65" s="1"/>
  <c r="W116" i="65"/>
  <c r="AJ116" i="65" s="1"/>
  <c r="AW116" i="65" s="1"/>
  <c r="BJ116" i="65" s="1"/>
  <c r="BW116" i="65" s="1"/>
  <c r="CJ116" i="65" s="1"/>
  <c r="W104" i="65"/>
  <c r="AJ104" i="65" s="1"/>
  <c r="AW104" i="65" s="1"/>
  <c r="BJ104" i="65" s="1"/>
  <c r="BW104" i="65" s="1"/>
  <c r="CJ104" i="65" s="1"/>
  <c r="W90" i="65"/>
  <c r="AJ90" i="65" s="1"/>
  <c r="AW90" i="65" s="1"/>
  <c r="BJ90" i="65" s="1"/>
  <c r="BW90" i="65" s="1"/>
  <c r="CJ90" i="65" s="1"/>
  <c r="W79" i="65"/>
  <c r="AJ79" i="65" s="1"/>
  <c r="AW79" i="65" s="1"/>
  <c r="BJ79" i="65" s="1"/>
  <c r="BW79" i="65" s="1"/>
  <c r="CJ79" i="65" s="1"/>
  <c r="W64" i="65"/>
  <c r="AJ64" i="65" s="1"/>
  <c r="AW64" i="65" s="1"/>
  <c r="BJ64" i="65" s="1"/>
  <c r="BW64" i="65" s="1"/>
  <c r="CJ64" i="65" s="1"/>
  <c r="W69" i="65"/>
  <c r="AJ69" i="65" s="1"/>
  <c r="AW69" i="65" s="1"/>
  <c r="BJ69" i="65" s="1"/>
  <c r="BW69" i="65" s="1"/>
  <c r="CJ69" i="65" s="1"/>
  <c r="W44" i="65"/>
  <c r="AJ44" i="65" s="1"/>
  <c r="AW44" i="65" s="1"/>
  <c r="BJ44" i="65" s="1"/>
  <c r="BW44" i="65" s="1"/>
  <c r="CJ44" i="65" s="1"/>
  <c r="AJ20" i="65"/>
  <c r="AW20" i="65" s="1"/>
  <c r="BJ20" i="65" s="1"/>
  <c r="BW20" i="65" s="1"/>
  <c r="CJ20" i="65" s="1"/>
  <c r="W32" i="65"/>
  <c r="AJ32" i="65" s="1"/>
  <c r="AW32" i="65" s="1"/>
  <c r="BJ32" i="65" s="1"/>
  <c r="BW32" i="65" s="1"/>
  <c r="CJ32" i="65" s="1"/>
  <c r="W127" i="65"/>
  <c r="AJ127" i="65" s="1"/>
  <c r="AW127" i="65" s="1"/>
  <c r="BJ127" i="65" s="1"/>
  <c r="BW127" i="65" s="1"/>
  <c r="CJ127" i="65" s="1"/>
  <c r="W115" i="65"/>
  <c r="AJ115" i="65" s="1"/>
  <c r="AW115" i="65" s="1"/>
  <c r="BJ115" i="65" s="1"/>
  <c r="BW115" i="65" s="1"/>
  <c r="CJ115" i="65" s="1"/>
  <c r="W103" i="65"/>
  <c r="AJ103" i="65" s="1"/>
  <c r="AW103" i="65" s="1"/>
  <c r="BJ103" i="65" s="1"/>
  <c r="BW103" i="65" s="1"/>
  <c r="CJ103" i="65" s="1"/>
  <c r="W89" i="65"/>
  <c r="AJ89" i="65" s="1"/>
  <c r="AW89" i="65" s="1"/>
  <c r="BJ89" i="65" s="1"/>
  <c r="BW89" i="65" s="1"/>
  <c r="CJ89" i="65" s="1"/>
  <c r="W78" i="65"/>
  <c r="AJ78" i="65" s="1"/>
  <c r="AW78" i="65" s="1"/>
  <c r="BJ78" i="65" s="1"/>
  <c r="BW78" i="65" s="1"/>
  <c r="CJ78" i="65" s="1"/>
  <c r="W63" i="65"/>
  <c r="AJ63" i="65" s="1"/>
  <c r="AW63" i="65" s="1"/>
  <c r="BJ63" i="65" s="1"/>
  <c r="BW63" i="65" s="1"/>
  <c r="CJ63" i="65" s="1"/>
  <c r="W73" i="65"/>
  <c r="AJ73" i="65" s="1"/>
  <c r="AW73" i="65" s="1"/>
  <c r="BJ73" i="65" s="1"/>
  <c r="BW73" i="65" s="1"/>
  <c r="CJ73" i="65" s="1"/>
  <c r="W43" i="65"/>
  <c r="AJ43" i="65" s="1"/>
  <c r="AW43" i="65" s="1"/>
  <c r="BJ43" i="65" s="1"/>
  <c r="BW43" i="65" s="1"/>
  <c r="CJ43" i="65" s="1"/>
  <c r="AJ21" i="65"/>
  <c r="AW21" i="65" s="1"/>
  <c r="BJ21" i="65" s="1"/>
  <c r="BW21" i="65" s="1"/>
  <c r="CJ21" i="65" s="1"/>
  <c r="W126" i="65"/>
  <c r="AJ126" i="65" s="1"/>
  <c r="AW126" i="65" s="1"/>
  <c r="BJ126" i="65" s="1"/>
  <c r="BW126" i="65" s="1"/>
  <c r="CJ126" i="65" s="1"/>
  <c r="W114" i="65"/>
  <c r="AJ114" i="65" s="1"/>
  <c r="AW114" i="65" s="1"/>
  <c r="BJ114" i="65" s="1"/>
  <c r="BW114" i="65" s="1"/>
  <c r="CJ114" i="65" s="1"/>
  <c r="W102" i="65"/>
  <c r="AJ102" i="65" s="1"/>
  <c r="AW102" i="65" s="1"/>
  <c r="BJ102" i="65" s="1"/>
  <c r="BW102" i="65" s="1"/>
  <c r="CJ102" i="65" s="1"/>
  <c r="W88" i="65"/>
  <c r="AJ88" i="65" s="1"/>
  <c r="AW88" i="65" s="1"/>
  <c r="BJ88" i="65" s="1"/>
  <c r="BW88" i="65" s="1"/>
  <c r="CJ88" i="65" s="1"/>
  <c r="W77" i="65"/>
  <c r="AJ77" i="65" s="1"/>
  <c r="AW77" i="65" s="1"/>
  <c r="BJ77" i="65" s="1"/>
  <c r="BW77" i="65" s="1"/>
  <c r="CJ77" i="65" s="1"/>
  <c r="W62" i="65"/>
  <c r="AJ62" i="65" s="1"/>
  <c r="AW62" i="65" s="1"/>
  <c r="BJ62" i="65" s="1"/>
  <c r="W72" i="65"/>
  <c r="AJ72" i="65" s="1"/>
  <c r="AW72" i="65" s="1"/>
  <c r="BJ72" i="65" s="1"/>
  <c r="BW72" i="65" s="1"/>
  <c r="CJ72" i="65" s="1"/>
  <c r="W42" i="65"/>
  <c r="AJ42" i="65" s="1"/>
  <c r="AW42" i="65" s="1"/>
  <c r="BJ42" i="65" s="1"/>
  <c r="BW42" i="65" s="1"/>
  <c r="CJ42" i="65" s="1"/>
  <c r="AJ22" i="65"/>
  <c r="AW22" i="65" s="1"/>
  <c r="BJ22" i="65" s="1"/>
  <c r="BW22" i="65" s="1"/>
  <c r="CJ22" i="65" s="1"/>
  <c r="W123" i="65"/>
  <c r="AJ123" i="65" s="1"/>
  <c r="AW123" i="65" s="1"/>
  <c r="BJ123" i="65" s="1"/>
  <c r="BW123" i="65" s="1"/>
  <c r="CJ123" i="65" s="1"/>
  <c r="W111" i="65"/>
  <c r="AJ111" i="65" s="1"/>
  <c r="AW111" i="65" s="1"/>
  <c r="BJ111" i="65" s="1"/>
  <c r="BW111" i="65" s="1"/>
  <c r="CJ111" i="65" s="1"/>
  <c r="W99" i="65"/>
  <c r="AJ99" i="65" s="1"/>
  <c r="AW99" i="65" s="1"/>
  <c r="BJ99" i="65" s="1"/>
  <c r="BW99" i="65" s="1"/>
  <c r="CJ99" i="65" s="1"/>
  <c r="W85" i="65"/>
  <c r="AJ85" i="65" s="1"/>
  <c r="AW85" i="65" s="1"/>
  <c r="BJ85" i="65" s="1"/>
  <c r="BW85" i="65" s="1"/>
  <c r="CJ85" i="65" s="1"/>
  <c r="W74" i="65"/>
  <c r="AJ74" i="65" s="1"/>
  <c r="AW74" i="65" s="1"/>
  <c r="BJ74" i="65" s="1"/>
  <c r="BW74" i="65" s="1"/>
  <c r="CJ74" i="65" s="1"/>
  <c r="W59" i="65"/>
  <c r="AJ59" i="65" s="1"/>
  <c r="AW59" i="65" s="1"/>
  <c r="BJ59" i="65" s="1"/>
  <c r="BW59" i="65" s="1"/>
  <c r="CJ59" i="65" s="1"/>
  <c r="W51" i="65"/>
  <c r="AJ51" i="65" s="1"/>
  <c r="AW51" i="65" s="1"/>
  <c r="BJ51" i="65" s="1"/>
  <c r="BW51" i="65" s="1"/>
  <c r="CJ51" i="65" s="1"/>
  <c r="W39" i="65"/>
  <c r="AJ39" i="65" s="1"/>
  <c r="AW39" i="65" s="1"/>
  <c r="BJ39" i="65" s="1"/>
  <c r="BW39" i="65" s="1"/>
  <c r="CJ39" i="65" s="1"/>
  <c r="AJ25" i="65"/>
  <c r="AW25" i="65" s="1"/>
  <c r="BJ25" i="65" s="1"/>
  <c r="BW25" i="65" s="1"/>
  <c r="CJ25" i="65" s="1"/>
  <c r="W113" i="65"/>
  <c r="AJ113" i="65" s="1"/>
  <c r="AW113" i="65" s="1"/>
  <c r="BJ113" i="65" s="1"/>
  <c r="BW113" i="65" s="1"/>
  <c r="CJ113" i="65" s="1"/>
  <c r="W41" i="65"/>
  <c r="AJ41" i="65" s="1"/>
  <c r="AW41" i="65" s="1"/>
  <c r="BJ41" i="65" s="1"/>
  <c r="BW41" i="65" s="1"/>
  <c r="CJ41" i="65" s="1"/>
  <c r="W70" i="65"/>
  <c r="AJ70" i="65" s="1"/>
  <c r="AW70" i="65" s="1"/>
  <c r="BJ70" i="65" s="1"/>
  <c r="BW70" i="65" s="1"/>
  <c r="CJ70" i="65" s="1"/>
  <c r="W112" i="65"/>
  <c r="AJ112" i="65" s="1"/>
  <c r="AW112" i="65" s="1"/>
  <c r="BJ112" i="65" s="1"/>
  <c r="BW112" i="65" s="1"/>
  <c r="CJ112" i="65" s="1"/>
  <c r="W40" i="65"/>
  <c r="AJ40" i="65" s="1"/>
  <c r="AW40" i="65" s="1"/>
  <c r="BJ40" i="65" s="1"/>
  <c r="BW40" i="65" s="1"/>
  <c r="CJ40" i="65" s="1"/>
  <c r="W101" i="65"/>
  <c r="AJ101" i="65" s="1"/>
  <c r="AW101" i="65" s="1"/>
  <c r="BJ101" i="65" s="1"/>
  <c r="BW101" i="65" s="1"/>
  <c r="CJ101" i="65" s="1"/>
  <c r="AJ23" i="65"/>
  <c r="AW23" i="65" s="1"/>
  <c r="BJ23" i="65" s="1"/>
  <c r="BW23" i="65" s="1"/>
  <c r="CJ23" i="65" s="1"/>
  <c r="W100" i="65"/>
  <c r="AJ100" i="65" s="1"/>
  <c r="AW100" i="65" s="1"/>
  <c r="BJ100" i="65" s="1"/>
  <c r="BW100" i="65" s="1"/>
  <c r="CJ100" i="65" s="1"/>
  <c r="AJ24" i="65"/>
  <c r="AW24" i="65" s="1"/>
  <c r="BJ24" i="65" s="1"/>
  <c r="BW24" i="65" s="1"/>
  <c r="CJ24" i="65" s="1"/>
  <c r="W87" i="65"/>
  <c r="AJ87" i="65" s="1"/>
  <c r="AW87" i="65" s="1"/>
  <c r="BJ87" i="65" s="1"/>
  <c r="BW87" i="65" s="1"/>
  <c r="CJ87" i="65" s="1"/>
  <c r="AJ27" i="65"/>
  <c r="AW27" i="65" s="1"/>
  <c r="BJ27" i="65" s="1"/>
  <c r="BW27" i="65" s="1"/>
  <c r="CJ27" i="65" s="1"/>
  <c r="W86" i="65"/>
  <c r="AJ86" i="65" s="1"/>
  <c r="AW86" i="65" s="1"/>
  <c r="BJ86" i="65" s="1"/>
  <c r="BW86" i="65" s="1"/>
  <c r="CJ86" i="65" s="1"/>
  <c r="AJ28" i="65"/>
  <c r="AW28" i="65" s="1"/>
  <c r="BJ28" i="65" s="1"/>
  <c r="BW28" i="65" s="1"/>
  <c r="CJ28" i="65" s="1"/>
  <c r="W76" i="65"/>
  <c r="AJ76" i="65" s="1"/>
  <c r="AW76" i="65" s="1"/>
  <c r="BJ76" i="65" s="1"/>
  <c r="BW76" i="65" s="1"/>
  <c r="CJ76" i="65" s="1"/>
  <c r="AJ29" i="65"/>
  <c r="AW29" i="65" s="1"/>
  <c r="BJ29" i="65" s="1"/>
  <c r="BW29" i="65" s="1"/>
  <c r="CJ29" i="65" s="1"/>
  <c r="W60" i="65"/>
  <c r="AJ60" i="65" s="1"/>
  <c r="AW60" i="65" s="1"/>
  <c r="BJ60" i="65" s="1"/>
  <c r="BW60" i="65" s="1"/>
  <c r="CJ60" i="65" s="1"/>
  <c r="W125" i="65"/>
  <c r="AJ125" i="65" s="1"/>
  <c r="AW125" i="65" s="1"/>
  <c r="BJ125" i="65" s="1"/>
  <c r="BW125" i="65" s="1"/>
  <c r="CJ125" i="65" s="1"/>
  <c r="W75" i="65"/>
  <c r="AJ75" i="65" s="1"/>
  <c r="AW75" i="65" s="1"/>
  <c r="BJ75" i="65" s="1"/>
  <c r="BW75" i="65" s="1"/>
  <c r="CJ75" i="65" s="1"/>
  <c r="W33" i="65"/>
  <c r="AJ33" i="65" s="1"/>
  <c r="AW33" i="65" s="1"/>
  <c r="BJ33" i="65" s="1"/>
  <c r="BW33" i="65" s="1"/>
  <c r="CJ33" i="65" s="1"/>
  <c r="W61" i="65"/>
  <c r="AJ61" i="65" s="1"/>
  <c r="AW61" i="65" s="1"/>
  <c r="BJ61" i="65" s="1"/>
  <c r="BW61" i="65" s="1"/>
  <c r="CJ61" i="65" s="1"/>
  <c r="W124" i="65"/>
  <c r="AJ124" i="65" s="1"/>
  <c r="AW124" i="65" s="1"/>
  <c r="BJ124" i="65" s="1"/>
  <c r="BW124" i="65" s="1"/>
  <c r="CJ124" i="65" s="1"/>
  <c r="W52" i="65"/>
  <c r="AJ52" i="65" s="1"/>
  <c r="AW52" i="65" s="1"/>
  <c r="BJ52" i="65" s="1"/>
  <c r="BW52" i="65" s="1"/>
  <c r="CJ52" i="65" s="1"/>
  <c r="AU8" i="53"/>
  <c r="CG18" i="65" s="1"/>
  <c r="BT18" i="65"/>
  <c r="AU10" i="53"/>
  <c r="CI18" i="65" s="1"/>
  <c r="BV18" i="65"/>
  <c r="T34" i="65"/>
  <c r="AG34" i="65" s="1"/>
  <c r="AT34" i="65" s="1"/>
  <c r="BG34" i="65" s="1"/>
  <c r="BT34" i="65" s="1"/>
  <c r="CG34" i="65" s="1"/>
  <c r="T123" i="65"/>
  <c r="AG123" i="65" s="1"/>
  <c r="AT123" i="65" s="1"/>
  <c r="BG123" i="65" s="1"/>
  <c r="BT123" i="65" s="1"/>
  <c r="CG123" i="65" s="1"/>
  <c r="T104" i="65"/>
  <c r="AG104" i="65" s="1"/>
  <c r="AT104" i="65" s="1"/>
  <c r="BG104" i="65" s="1"/>
  <c r="BT104" i="65" s="1"/>
  <c r="CG104" i="65" s="1"/>
  <c r="T110" i="65"/>
  <c r="AG110" i="65" s="1"/>
  <c r="AT110" i="65" s="1"/>
  <c r="BG110" i="65" s="1"/>
  <c r="BT110" i="65" s="1"/>
  <c r="CG110" i="65" s="1"/>
  <c r="T87" i="65"/>
  <c r="AG87" i="65" s="1"/>
  <c r="AT87" i="65" s="1"/>
  <c r="BG87" i="65" s="1"/>
  <c r="BT87" i="65" s="1"/>
  <c r="CG87" i="65" s="1"/>
  <c r="T74" i="65"/>
  <c r="AG74" i="65" s="1"/>
  <c r="AT74" i="65" s="1"/>
  <c r="BG74" i="65" s="1"/>
  <c r="BT74" i="65" s="1"/>
  <c r="CG74" i="65" s="1"/>
  <c r="T62" i="65"/>
  <c r="AG62" i="65" s="1"/>
  <c r="AT62" i="65" s="1"/>
  <c r="BG62" i="65" s="1"/>
  <c r="T47" i="65"/>
  <c r="AG47" i="65" s="1"/>
  <c r="AT47" i="65" s="1"/>
  <c r="BG47" i="65" s="1"/>
  <c r="BT47" i="65" s="1"/>
  <c r="CG47" i="65" s="1"/>
  <c r="T56" i="65"/>
  <c r="AG56" i="65" s="1"/>
  <c r="AT56" i="65" s="1"/>
  <c r="BG56" i="65" s="1"/>
  <c r="BT56" i="65" s="1"/>
  <c r="CG56" i="65" s="1"/>
  <c r="T122" i="65"/>
  <c r="AG122" i="65" s="1"/>
  <c r="AT122" i="65" s="1"/>
  <c r="BG122" i="65" s="1"/>
  <c r="BT122" i="65" s="1"/>
  <c r="CG122" i="65" s="1"/>
  <c r="T103" i="65"/>
  <c r="AG103" i="65" s="1"/>
  <c r="AT103" i="65" s="1"/>
  <c r="BG103" i="65" s="1"/>
  <c r="BT103" i="65" s="1"/>
  <c r="CG103" i="65" s="1"/>
  <c r="T108" i="65"/>
  <c r="AG108" i="65" s="1"/>
  <c r="AT108" i="65" s="1"/>
  <c r="BG108" i="65" s="1"/>
  <c r="BT108" i="65" s="1"/>
  <c r="CG108" i="65" s="1"/>
  <c r="T86" i="65"/>
  <c r="AG86" i="65" s="1"/>
  <c r="AT86" i="65" s="1"/>
  <c r="BG86" i="65" s="1"/>
  <c r="BT86" i="65" s="1"/>
  <c r="CG86" i="65" s="1"/>
  <c r="T73" i="65"/>
  <c r="AG73" i="65" s="1"/>
  <c r="AT73" i="65" s="1"/>
  <c r="BG73" i="65" s="1"/>
  <c r="BT73" i="65" s="1"/>
  <c r="CG73" i="65" s="1"/>
  <c r="T61" i="65"/>
  <c r="AG61" i="65" s="1"/>
  <c r="AT61" i="65" s="1"/>
  <c r="BG61" i="65" s="1"/>
  <c r="BT61" i="65" s="1"/>
  <c r="CG61" i="65" s="1"/>
  <c r="T46" i="65"/>
  <c r="AG46" i="65" s="1"/>
  <c r="AT46" i="65" s="1"/>
  <c r="BG46" i="65" s="1"/>
  <c r="BT46" i="65" s="1"/>
  <c r="CG46" i="65" s="1"/>
  <c r="T54" i="65"/>
  <c r="AG54" i="65" s="1"/>
  <c r="AT54" i="65" s="1"/>
  <c r="BG54" i="65" s="1"/>
  <c r="BT54" i="65" s="1"/>
  <c r="CG54" i="65" s="1"/>
  <c r="AG28" i="65"/>
  <c r="AT28" i="65" s="1"/>
  <c r="BG28" i="65" s="1"/>
  <c r="BT28" i="65" s="1"/>
  <c r="CG28" i="65" s="1"/>
  <c r="T36" i="65"/>
  <c r="AG36" i="65" s="1"/>
  <c r="AT36" i="65" s="1"/>
  <c r="BG36" i="65" s="1"/>
  <c r="BT36" i="65" s="1"/>
  <c r="CG36" i="65" s="1"/>
  <c r="T121" i="65"/>
  <c r="AG121" i="65" s="1"/>
  <c r="AT121" i="65" s="1"/>
  <c r="BG121" i="65" s="1"/>
  <c r="BT121" i="65" s="1"/>
  <c r="CG121" i="65" s="1"/>
  <c r="T102" i="65"/>
  <c r="AG102" i="65" s="1"/>
  <c r="AT102" i="65" s="1"/>
  <c r="BG102" i="65" s="1"/>
  <c r="BT102" i="65" s="1"/>
  <c r="CG102" i="65" s="1"/>
  <c r="T114" i="65"/>
  <c r="AG114" i="65" s="1"/>
  <c r="AT114" i="65" s="1"/>
  <c r="BG114" i="65" s="1"/>
  <c r="BT114" i="65" s="1"/>
  <c r="CG114" i="65" s="1"/>
  <c r="T85" i="65"/>
  <c r="AG85" i="65" s="1"/>
  <c r="AT85" i="65" s="1"/>
  <c r="BG85" i="65" s="1"/>
  <c r="BT85" i="65" s="1"/>
  <c r="CG85" i="65" s="1"/>
  <c r="T72" i="65"/>
  <c r="AG72" i="65" s="1"/>
  <c r="AT72" i="65" s="1"/>
  <c r="BG72" i="65" s="1"/>
  <c r="BT72" i="65" s="1"/>
  <c r="CG72" i="65" s="1"/>
  <c r="T60" i="65"/>
  <c r="AG60" i="65" s="1"/>
  <c r="AT60" i="65" s="1"/>
  <c r="BG60" i="65" s="1"/>
  <c r="BT60" i="65" s="1"/>
  <c r="CG60" i="65" s="1"/>
  <c r="T45" i="65"/>
  <c r="AG45" i="65" s="1"/>
  <c r="AT45" i="65" s="1"/>
  <c r="BG45" i="65" s="1"/>
  <c r="BT45" i="65" s="1"/>
  <c r="CG45" i="65" s="1"/>
  <c r="T53" i="65"/>
  <c r="AG53" i="65" s="1"/>
  <c r="AT53" i="65" s="1"/>
  <c r="BG53" i="65" s="1"/>
  <c r="BT53" i="65" s="1"/>
  <c r="CG53" i="65" s="1"/>
  <c r="AG29" i="65"/>
  <c r="AT29" i="65" s="1"/>
  <c r="BG29" i="65" s="1"/>
  <c r="BT29" i="65" s="1"/>
  <c r="CG29" i="65" s="1"/>
  <c r="T132" i="65"/>
  <c r="AG132" i="65" s="1"/>
  <c r="AT132" i="65" s="1"/>
  <c r="BG132" i="65" s="1"/>
  <c r="BT132" i="65" s="1"/>
  <c r="CG132" i="65" s="1"/>
  <c r="T119" i="65"/>
  <c r="AG119" i="65" s="1"/>
  <c r="AT119" i="65" s="1"/>
  <c r="BG119" i="65" s="1"/>
  <c r="BT119" i="65" s="1"/>
  <c r="CG119" i="65" s="1"/>
  <c r="T101" i="65"/>
  <c r="AG101" i="65" s="1"/>
  <c r="AT101" i="65" s="1"/>
  <c r="BG101" i="65" s="1"/>
  <c r="BT101" i="65" s="1"/>
  <c r="CG101" i="65" s="1"/>
  <c r="T113" i="65"/>
  <c r="AG113" i="65" s="1"/>
  <c r="AT113" i="65" s="1"/>
  <c r="BG113" i="65" s="1"/>
  <c r="BT113" i="65" s="1"/>
  <c r="CG113" i="65" s="1"/>
  <c r="T84" i="65"/>
  <c r="AG84" i="65" s="1"/>
  <c r="AT84" i="65" s="1"/>
  <c r="BG84" i="65" s="1"/>
  <c r="BT84" i="65" s="1"/>
  <c r="CG84" i="65" s="1"/>
  <c r="T82" i="65"/>
  <c r="AG82" i="65" s="1"/>
  <c r="AT82" i="65" s="1"/>
  <c r="BG82" i="65" s="1"/>
  <c r="BT82" i="65" s="1"/>
  <c r="CG82" i="65" s="1"/>
  <c r="T59" i="65"/>
  <c r="AG59" i="65" s="1"/>
  <c r="AT59" i="65" s="1"/>
  <c r="BG59" i="65" s="1"/>
  <c r="BT59" i="65" s="1"/>
  <c r="CG59" i="65" s="1"/>
  <c r="T44" i="65"/>
  <c r="AG44" i="65" s="1"/>
  <c r="AT44" i="65" s="1"/>
  <c r="BG44" i="65" s="1"/>
  <c r="BT44" i="65" s="1"/>
  <c r="CG44" i="65" s="1"/>
  <c r="AG19" i="65"/>
  <c r="AT19" i="65" s="1"/>
  <c r="BG19" i="65" s="1"/>
  <c r="BT19" i="65" s="1"/>
  <c r="CG19" i="65" s="1"/>
  <c r="T30" i="65"/>
  <c r="AG30" i="65" s="1"/>
  <c r="AT30" i="65" s="1"/>
  <c r="BG30" i="65" s="1"/>
  <c r="BT30" i="65" s="1"/>
  <c r="CG30" i="65" s="1"/>
  <c r="T131" i="65"/>
  <c r="AG131" i="65" s="1"/>
  <c r="AT131" i="65" s="1"/>
  <c r="BG131" i="65" s="1"/>
  <c r="BT131" i="65" s="1"/>
  <c r="CG131" i="65" s="1"/>
  <c r="T118" i="65"/>
  <c r="AG118" i="65" s="1"/>
  <c r="AT118" i="65" s="1"/>
  <c r="BG118" i="65" s="1"/>
  <c r="BT118" i="65" s="1"/>
  <c r="CG118" i="65" s="1"/>
  <c r="T100" i="65"/>
  <c r="AG100" i="65" s="1"/>
  <c r="AT100" i="65" s="1"/>
  <c r="BG100" i="65" s="1"/>
  <c r="BT100" i="65" s="1"/>
  <c r="CG100" i="65" s="1"/>
  <c r="T111" i="65"/>
  <c r="AG111" i="65" s="1"/>
  <c r="AT111" i="65" s="1"/>
  <c r="BG111" i="65" s="1"/>
  <c r="BT111" i="65" s="1"/>
  <c r="CG111" i="65" s="1"/>
  <c r="T83" i="65"/>
  <c r="AG83" i="65" s="1"/>
  <c r="AT83" i="65" s="1"/>
  <c r="BG83" i="65" s="1"/>
  <c r="BT83" i="65" s="1"/>
  <c r="CG83" i="65" s="1"/>
  <c r="T70" i="65"/>
  <c r="AG70" i="65" s="1"/>
  <c r="AT70" i="65" s="1"/>
  <c r="BG70" i="65" s="1"/>
  <c r="BT70" i="65" s="1"/>
  <c r="CG70" i="65" s="1"/>
  <c r="T58" i="65"/>
  <c r="AG58" i="65" s="1"/>
  <c r="AT58" i="65" s="1"/>
  <c r="BG58" i="65" s="1"/>
  <c r="BT58" i="65" s="1"/>
  <c r="CG58" i="65" s="1"/>
  <c r="T43" i="65"/>
  <c r="AG43" i="65" s="1"/>
  <c r="AT43" i="65" s="1"/>
  <c r="BG43" i="65" s="1"/>
  <c r="BT43" i="65" s="1"/>
  <c r="CG43" i="65" s="1"/>
  <c r="AG20" i="65"/>
  <c r="AT20" i="65" s="1"/>
  <c r="BG20" i="65" s="1"/>
  <c r="BT20" i="65" s="1"/>
  <c r="CG20" i="65" s="1"/>
  <c r="T31" i="65"/>
  <c r="AG31" i="65" s="1"/>
  <c r="AT31" i="65" s="1"/>
  <c r="BG31" i="65" s="1"/>
  <c r="BT31" i="65" s="1"/>
  <c r="CG31" i="65" s="1"/>
  <c r="T130" i="65"/>
  <c r="AG130" i="65" s="1"/>
  <c r="AT130" i="65" s="1"/>
  <c r="BG130" i="65" s="1"/>
  <c r="BT130" i="65" s="1"/>
  <c r="CG130" i="65" s="1"/>
  <c r="T117" i="65"/>
  <c r="AG117" i="65" s="1"/>
  <c r="AT117" i="65" s="1"/>
  <c r="BG117" i="65" s="1"/>
  <c r="BT117" i="65" s="1"/>
  <c r="CG117" i="65" s="1"/>
  <c r="T99" i="65"/>
  <c r="AG99" i="65" s="1"/>
  <c r="AT99" i="65" s="1"/>
  <c r="BG99" i="65" s="1"/>
  <c r="BT99" i="65" s="1"/>
  <c r="CG99" i="65" s="1"/>
  <c r="T109" i="65"/>
  <c r="AG109" i="65" s="1"/>
  <c r="AT109" i="65" s="1"/>
  <c r="BG109" i="65" s="1"/>
  <c r="BT109" i="65" s="1"/>
  <c r="CG109" i="65" s="1"/>
  <c r="T81" i="65"/>
  <c r="AG81" i="65" s="1"/>
  <c r="AT81" i="65" s="1"/>
  <c r="BG81" i="65" s="1"/>
  <c r="BT81" i="65" s="1"/>
  <c r="CG81" i="65" s="1"/>
  <c r="T71" i="65"/>
  <c r="AG71" i="65" s="1"/>
  <c r="AT71" i="65" s="1"/>
  <c r="BG71" i="65" s="1"/>
  <c r="BT71" i="65" s="1"/>
  <c r="CG71" i="65" s="1"/>
  <c r="T69" i="65"/>
  <c r="AG69" i="65" s="1"/>
  <c r="AT69" i="65" s="1"/>
  <c r="BG69" i="65" s="1"/>
  <c r="BT69" i="65" s="1"/>
  <c r="CG69" i="65" s="1"/>
  <c r="T42" i="65"/>
  <c r="AG42" i="65" s="1"/>
  <c r="AT42" i="65" s="1"/>
  <c r="BG42" i="65" s="1"/>
  <c r="BT42" i="65" s="1"/>
  <c r="CG42" i="65" s="1"/>
  <c r="AG21" i="65"/>
  <c r="AT21" i="65" s="1"/>
  <c r="BG21" i="65" s="1"/>
  <c r="BT21" i="65" s="1"/>
  <c r="CG21" i="65" s="1"/>
  <c r="T32" i="65"/>
  <c r="AG32" i="65" s="1"/>
  <c r="AT32" i="65" s="1"/>
  <c r="BG32" i="65" s="1"/>
  <c r="BT32" i="65" s="1"/>
  <c r="CG32" i="65" s="1"/>
  <c r="T129" i="65"/>
  <c r="AG129" i="65" s="1"/>
  <c r="AT129" i="65" s="1"/>
  <c r="BG129" i="65" s="1"/>
  <c r="BT129" i="65" s="1"/>
  <c r="CG129" i="65" s="1"/>
  <c r="T120" i="65"/>
  <c r="AG120" i="65" s="1"/>
  <c r="AT120" i="65" s="1"/>
  <c r="BG120" i="65" s="1"/>
  <c r="BT120" i="65" s="1"/>
  <c r="CG120" i="65" s="1"/>
  <c r="T98" i="65"/>
  <c r="AG98" i="65" s="1"/>
  <c r="AT98" i="65" s="1"/>
  <c r="BG98" i="65" s="1"/>
  <c r="BT98" i="65" s="1"/>
  <c r="CG98" i="65" s="1"/>
  <c r="T93" i="65"/>
  <c r="AG93" i="65" s="1"/>
  <c r="AT93" i="65" s="1"/>
  <c r="BG93" i="65" s="1"/>
  <c r="BT93" i="65" s="1"/>
  <c r="CG93" i="65" s="1"/>
  <c r="T80" i="65"/>
  <c r="AG80" i="65" s="1"/>
  <c r="AT80" i="65" s="1"/>
  <c r="BG80" i="65" s="1"/>
  <c r="BT80" i="65" s="1"/>
  <c r="CG80" i="65" s="1"/>
  <c r="T68" i="65"/>
  <c r="AG68" i="65" s="1"/>
  <c r="AT68" i="65" s="1"/>
  <c r="BG68" i="65" s="1"/>
  <c r="BT68" i="65" s="1"/>
  <c r="CG68" i="65" s="1"/>
  <c r="T55" i="65"/>
  <c r="AG55" i="65" s="1"/>
  <c r="AT55" i="65" s="1"/>
  <c r="BG55" i="65" s="1"/>
  <c r="BT55" i="65" s="1"/>
  <c r="CG55" i="65" s="1"/>
  <c r="T41" i="65"/>
  <c r="AG41" i="65" s="1"/>
  <c r="AT41" i="65" s="1"/>
  <c r="BG41" i="65" s="1"/>
  <c r="BT41" i="65" s="1"/>
  <c r="CG41" i="65" s="1"/>
  <c r="AG22" i="65"/>
  <c r="AT22" i="65" s="1"/>
  <c r="BG22" i="65" s="1"/>
  <c r="BT22" i="65" s="1"/>
  <c r="CG22" i="65" s="1"/>
  <c r="T33" i="65"/>
  <c r="AG33" i="65" s="1"/>
  <c r="AT33" i="65" s="1"/>
  <c r="BG33" i="65" s="1"/>
  <c r="BT33" i="65" s="1"/>
  <c r="CG33" i="65" s="1"/>
  <c r="T128" i="65"/>
  <c r="AG128" i="65" s="1"/>
  <c r="AT128" i="65" s="1"/>
  <c r="BG128" i="65" s="1"/>
  <c r="BT128" i="65" s="1"/>
  <c r="CG128" i="65" s="1"/>
  <c r="T116" i="65"/>
  <c r="AG116" i="65" s="1"/>
  <c r="AT116" i="65" s="1"/>
  <c r="BG116" i="65" s="1"/>
  <c r="BT116" i="65" s="1"/>
  <c r="CG116" i="65" s="1"/>
  <c r="T97" i="65"/>
  <c r="AG97" i="65" s="1"/>
  <c r="AT97" i="65" s="1"/>
  <c r="BG97" i="65" s="1"/>
  <c r="BT97" i="65" s="1"/>
  <c r="CG97" i="65" s="1"/>
  <c r="T92" i="65"/>
  <c r="AG92" i="65" s="1"/>
  <c r="AT92" i="65" s="1"/>
  <c r="BG92" i="65" s="1"/>
  <c r="BT92" i="65" s="1"/>
  <c r="CG92" i="65" s="1"/>
  <c r="T79" i="65"/>
  <c r="AG79" i="65" s="1"/>
  <c r="AT79" i="65" s="1"/>
  <c r="BG79" i="65" s="1"/>
  <c r="BT79" i="65" s="1"/>
  <c r="CG79" i="65" s="1"/>
  <c r="T67" i="65"/>
  <c r="AG67" i="65" s="1"/>
  <c r="AT67" i="65" s="1"/>
  <c r="BG67" i="65" s="1"/>
  <c r="BT67" i="65" s="1"/>
  <c r="CG67" i="65" s="1"/>
  <c r="T52" i="65"/>
  <c r="AG52" i="65" s="1"/>
  <c r="AT52" i="65" s="1"/>
  <c r="BG52" i="65" s="1"/>
  <c r="BT52" i="65" s="1"/>
  <c r="CG52" i="65" s="1"/>
  <c r="T40" i="65"/>
  <c r="AG40" i="65" s="1"/>
  <c r="AT40" i="65" s="1"/>
  <c r="BG40" i="65" s="1"/>
  <c r="BT40" i="65" s="1"/>
  <c r="CG40" i="65" s="1"/>
  <c r="AG23" i="65"/>
  <c r="AT23" i="65" s="1"/>
  <c r="BG23" i="65" s="1"/>
  <c r="BT23" i="65" s="1"/>
  <c r="CG23" i="65" s="1"/>
  <c r="T127" i="65"/>
  <c r="AG127" i="65" s="1"/>
  <c r="AT127" i="65" s="1"/>
  <c r="BG127" i="65" s="1"/>
  <c r="BT127" i="65" s="1"/>
  <c r="CG127" i="65" s="1"/>
  <c r="T115" i="65"/>
  <c r="AG115" i="65" s="1"/>
  <c r="AT115" i="65" s="1"/>
  <c r="BG115" i="65" s="1"/>
  <c r="BT115" i="65" s="1"/>
  <c r="CG115" i="65" s="1"/>
  <c r="T96" i="65"/>
  <c r="AG96" i="65" s="1"/>
  <c r="AT96" i="65" s="1"/>
  <c r="BG96" i="65" s="1"/>
  <c r="BT96" i="65" s="1"/>
  <c r="CG96" i="65" s="1"/>
  <c r="T91" i="65"/>
  <c r="AG91" i="65" s="1"/>
  <c r="AT91" i="65" s="1"/>
  <c r="BG91" i="65" s="1"/>
  <c r="BT91" i="65" s="1"/>
  <c r="CG91" i="65" s="1"/>
  <c r="T78" i="65"/>
  <c r="AG78" i="65" s="1"/>
  <c r="AT78" i="65" s="1"/>
  <c r="BG78" i="65" s="1"/>
  <c r="BT78" i="65" s="1"/>
  <c r="CG78" i="65" s="1"/>
  <c r="T66" i="65"/>
  <c r="AG66" i="65" s="1"/>
  <c r="AT66" i="65" s="1"/>
  <c r="BG66" i="65" s="1"/>
  <c r="BT66" i="65" s="1"/>
  <c r="CG66" i="65" s="1"/>
  <c r="T51" i="65"/>
  <c r="AG51" i="65" s="1"/>
  <c r="AT51" i="65" s="1"/>
  <c r="BG51" i="65" s="1"/>
  <c r="BT51" i="65" s="1"/>
  <c r="CG51" i="65" s="1"/>
  <c r="T39" i="65"/>
  <c r="AG39" i="65" s="1"/>
  <c r="AT39" i="65" s="1"/>
  <c r="BG39" i="65" s="1"/>
  <c r="BT39" i="65" s="1"/>
  <c r="CG39" i="65" s="1"/>
  <c r="AG24" i="65"/>
  <c r="AT24" i="65" s="1"/>
  <c r="BG24" i="65" s="1"/>
  <c r="BT24" i="65" s="1"/>
  <c r="CG24" i="65" s="1"/>
  <c r="T124" i="65"/>
  <c r="AG124" i="65" s="1"/>
  <c r="AT124" i="65" s="1"/>
  <c r="BG124" i="65" s="1"/>
  <c r="BT124" i="65" s="1"/>
  <c r="CG124" i="65" s="1"/>
  <c r="T105" i="65"/>
  <c r="AG105" i="65" s="1"/>
  <c r="AT105" i="65" s="1"/>
  <c r="BG105" i="65" s="1"/>
  <c r="BT105" i="65" s="1"/>
  <c r="CG105" i="65" s="1"/>
  <c r="T112" i="65"/>
  <c r="AG112" i="65" s="1"/>
  <c r="AT112" i="65" s="1"/>
  <c r="BG112" i="65" s="1"/>
  <c r="BT112" i="65" s="1"/>
  <c r="CG112" i="65" s="1"/>
  <c r="T88" i="65"/>
  <c r="AG88" i="65" s="1"/>
  <c r="AT88" i="65" s="1"/>
  <c r="BG88" i="65" s="1"/>
  <c r="BT88" i="65" s="1"/>
  <c r="CG88" i="65" s="1"/>
  <c r="T75" i="65"/>
  <c r="AG75" i="65" s="1"/>
  <c r="AT75" i="65" s="1"/>
  <c r="BG75" i="65" s="1"/>
  <c r="BT75" i="65" s="1"/>
  <c r="CG75" i="65" s="1"/>
  <c r="T63" i="65"/>
  <c r="AG63" i="65" s="1"/>
  <c r="AT63" i="65" s="1"/>
  <c r="BG63" i="65" s="1"/>
  <c r="BT63" i="65" s="1"/>
  <c r="CG63" i="65" s="1"/>
  <c r="T48" i="65"/>
  <c r="AG48" i="65" s="1"/>
  <c r="AT48" i="65" s="1"/>
  <c r="BG48" i="65" s="1"/>
  <c r="BT48" i="65" s="1"/>
  <c r="CG48" i="65" s="1"/>
  <c r="T57" i="65"/>
  <c r="AG57" i="65" s="1"/>
  <c r="AT57" i="65" s="1"/>
  <c r="BG57" i="65" s="1"/>
  <c r="BT57" i="65" s="1"/>
  <c r="CG57" i="65" s="1"/>
  <c r="AG27" i="65"/>
  <c r="AT27" i="65" s="1"/>
  <c r="BG27" i="65" s="1"/>
  <c r="BT27" i="65" s="1"/>
  <c r="CG27" i="65" s="1"/>
  <c r="T126" i="65"/>
  <c r="AG126" i="65" s="1"/>
  <c r="AT126" i="65" s="1"/>
  <c r="BG126" i="65" s="1"/>
  <c r="BT126" i="65" s="1"/>
  <c r="CG126" i="65" s="1"/>
  <c r="T50" i="65"/>
  <c r="AG50" i="65" s="1"/>
  <c r="AT50" i="65" s="1"/>
  <c r="BG50" i="65" s="1"/>
  <c r="BT50" i="65" s="1"/>
  <c r="CG50" i="65" s="1"/>
  <c r="T125" i="65"/>
  <c r="AG125" i="65" s="1"/>
  <c r="AT125" i="65" s="1"/>
  <c r="BG125" i="65" s="1"/>
  <c r="BT125" i="65" s="1"/>
  <c r="CG125" i="65" s="1"/>
  <c r="T49" i="65"/>
  <c r="AG49" i="65" s="1"/>
  <c r="AT49" i="65" s="1"/>
  <c r="BG49" i="65" s="1"/>
  <c r="BT49" i="65" s="1"/>
  <c r="CG49" i="65" s="1"/>
  <c r="T107" i="65"/>
  <c r="AG107" i="65" s="1"/>
  <c r="AT107" i="65" s="1"/>
  <c r="BG107" i="65" s="1"/>
  <c r="BT107" i="65" s="1"/>
  <c r="CG107" i="65" s="1"/>
  <c r="T38" i="65"/>
  <c r="AG38" i="65" s="1"/>
  <c r="AT38" i="65" s="1"/>
  <c r="BG38" i="65" s="1"/>
  <c r="BT38" i="65" s="1"/>
  <c r="CG38" i="65" s="1"/>
  <c r="T106" i="65"/>
  <c r="AG106" i="65" s="1"/>
  <c r="AT106" i="65" s="1"/>
  <c r="BG106" i="65" s="1"/>
  <c r="BT106" i="65" s="1"/>
  <c r="CG106" i="65" s="1"/>
  <c r="T37" i="65"/>
  <c r="AG37" i="65" s="1"/>
  <c r="AT37" i="65" s="1"/>
  <c r="BG37" i="65" s="1"/>
  <c r="BT37" i="65" s="1"/>
  <c r="CG37" i="65" s="1"/>
  <c r="T76" i="65"/>
  <c r="AG76" i="65" s="1"/>
  <c r="AT76" i="65" s="1"/>
  <c r="BG76" i="65" s="1"/>
  <c r="BT76" i="65" s="1"/>
  <c r="CG76" i="65" s="1"/>
  <c r="T65" i="65"/>
  <c r="AG65" i="65" s="1"/>
  <c r="AT65" i="65" s="1"/>
  <c r="BG65" i="65" s="1"/>
  <c r="BT65" i="65" s="1"/>
  <c r="CG65" i="65" s="1"/>
  <c r="T95" i="65"/>
  <c r="AG95" i="65" s="1"/>
  <c r="AT95" i="65" s="1"/>
  <c r="BG95" i="65" s="1"/>
  <c r="BT95" i="65" s="1"/>
  <c r="CG95" i="65" s="1"/>
  <c r="AG25" i="65"/>
  <c r="AT25" i="65" s="1"/>
  <c r="BG25" i="65" s="1"/>
  <c r="BT25" i="65" s="1"/>
  <c r="CG25" i="65" s="1"/>
  <c r="T94" i="65"/>
  <c r="AG94" i="65" s="1"/>
  <c r="AT94" i="65" s="1"/>
  <c r="BG94" i="65" s="1"/>
  <c r="BT94" i="65" s="1"/>
  <c r="CG94" i="65" s="1"/>
  <c r="AG26" i="65"/>
  <c r="AT26" i="65" s="1"/>
  <c r="BG26" i="65" s="1"/>
  <c r="BT26" i="65" s="1"/>
  <c r="CG26" i="65" s="1"/>
  <c r="T90" i="65"/>
  <c r="AG90" i="65" s="1"/>
  <c r="AT90" i="65" s="1"/>
  <c r="BG90" i="65" s="1"/>
  <c r="BT90" i="65" s="1"/>
  <c r="CG90" i="65" s="1"/>
  <c r="T89" i="65"/>
  <c r="AG89" i="65" s="1"/>
  <c r="AT89" i="65" s="1"/>
  <c r="BG89" i="65" s="1"/>
  <c r="BT89" i="65" s="1"/>
  <c r="CG89" i="65" s="1"/>
  <c r="T77" i="65"/>
  <c r="AG77" i="65" s="1"/>
  <c r="AT77" i="65" s="1"/>
  <c r="BG77" i="65" s="1"/>
  <c r="BT77" i="65" s="1"/>
  <c r="CG77" i="65" s="1"/>
  <c r="T64" i="65"/>
  <c r="AG64" i="65" s="1"/>
  <c r="AT64" i="65" s="1"/>
  <c r="BG64" i="65" s="1"/>
  <c r="BT64" i="65" s="1"/>
  <c r="CG64" i="65" s="1"/>
  <c r="T35" i="65"/>
  <c r="AG35" i="65" s="1"/>
  <c r="AT35" i="65" s="1"/>
  <c r="BG35" i="65" s="1"/>
  <c r="BT35" i="65" s="1"/>
  <c r="CG35" i="65" s="1"/>
  <c r="V127" i="65"/>
  <c r="AI127" i="65" s="1"/>
  <c r="AV127" i="65" s="1"/>
  <c r="BI127" i="65" s="1"/>
  <c r="BV127" i="65" s="1"/>
  <c r="CI127" i="65" s="1"/>
  <c r="V115" i="65"/>
  <c r="AI115" i="65" s="1"/>
  <c r="AV115" i="65" s="1"/>
  <c r="BI115" i="65" s="1"/>
  <c r="BV115" i="65" s="1"/>
  <c r="CI115" i="65" s="1"/>
  <c r="V103" i="65"/>
  <c r="AI103" i="65" s="1"/>
  <c r="AV103" i="65" s="1"/>
  <c r="BI103" i="65" s="1"/>
  <c r="BV103" i="65" s="1"/>
  <c r="CI103" i="65" s="1"/>
  <c r="V94" i="65"/>
  <c r="AI94" i="65" s="1"/>
  <c r="AV94" i="65" s="1"/>
  <c r="BI94" i="65" s="1"/>
  <c r="BV94" i="65" s="1"/>
  <c r="CI94" i="65" s="1"/>
  <c r="V79" i="65"/>
  <c r="AI79" i="65" s="1"/>
  <c r="AV79" i="65" s="1"/>
  <c r="BI79" i="65" s="1"/>
  <c r="BV79" i="65" s="1"/>
  <c r="CI79" i="65" s="1"/>
  <c r="V63" i="65"/>
  <c r="AI63" i="65" s="1"/>
  <c r="AV63" i="65" s="1"/>
  <c r="BI63" i="65" s="1"/>
  <c r="BV63" i="65" s="1"/>
  <c r="CI63" i="65" s="1"/>
  <c r="V51" i="65"/>
  <c r="AI51" i="65" s="1"/>
  <c r="AV51" i="65" s="1"/>
  <c r="BI51" i="65" s="1"/>
  <c r="BV51" i="65" s="1"/>
  <c r="CI51" i="65" s="1"/>
  <c r="V39" i="65"/>
  <c r="AI39" i="65" s="1"/>
  <c r="AV39" i="65" s="1"/>
  <c r="BI39" i="65" s="1"/>
  <c r="BV39" i="65" s="1"/>
  <c r="CI39" i="65" s="1"/>
  <c r="AI21" i="65"/>
  <c r="AV21" i="65" s="1"/>
  <c r="BI21" i="65" s="1"/>
  <c r="BV21" i="65" s="1"/>
  <c r="CI21" i="65" s="1"/>
  <c r="V33" i="65"/>
  <c r="AI33" i="65" s="1"/>
  <c r="AV33" i="65" s="1"/>
  <c r="BI33" i="65" s="1"/>
  <c r="BV33" i="65" s="1"/>
  <c r="CI33" i="65" s="1"/>
  <c r="V126" i="65"/>
  <c r="AI126" i="65" s="1"/>
  <c r="AV126" i="65" s="1"/>
  <c r="BI126" i="65" s="1"/>
  <c r="BV126" i="65" s="1"/>
  <c r="CI126" i="65" s="1"/>
  <c r="V114" i="65"/>
  <c r="AI114" i="65" s="1"/>
  <c r="AV114" i="65" s="1"/>
  <c r="BI114" i="65" s="1"/>
  <c r="BV114" i="65" s="1"/>
  <c r="CI114" i="65" s="1"/>
  <c r="V102" i="65"/>
  <c r="AI102" i="65" s="1"/>
  <c r="AV102" i="65" s="1"/>
  <c r="BI102" i="65" s="1"/>
  <c r="BV102" i="65" s="1"/>
  <c r="CI102" i="65" s="1"/>
  <c r="V97" i="65"/>
  <c r="AI97" i="65" s="1"/>
  <c r="AV97" i="65" s="1"/>
  <c r="BI97" i="65" s="1"/>
  <c r="BV97" i="65" s="1"/>
  <c r="CI97" i="65" s="1"/>
  <c r="V78" i="65"/>
  <c r="AI78" i="65" s="1"/>
  <c r="AV78" i="65" s="1"/>
  <c r="BI78" i="65" s="1"/>
  <c r="BV78" i="65" s="1"/>
  <c r="CI78" i="65" s="1"/>
  <c r="V62" i="65"/>
  <c r="AI62" i="65" s="1"/>
  <c r="AV62" i="65" s="1"/>
  <c r="BI62" i="65" s="1"/>
  <c r="V50" i="65"/>
  <c r="AI50" i="65" s="1"/>
  <c r="AV50" i="65" s="1"/>
  <c r="BI50" i="65" s="1"/>
  <c r="BV50" i="65" s="1"/>
  <c r="CI50" i="65" s="1"/>
  <c r="V38" i="65"/>
  <c r="AI38" i="65" s="1"/>
  <c r="AV38" i="65" s="1"/>
  <c r="BI38" i="65" s="1"/>
  <c r="BV38" i="65" s="1"/>
  <c r="CI38" i="65" s="1"/>
  <c r="AI22" i="65"/>
  <c r="AV22" i="65" s="1"/>
  <c r="BI22" i="65" s="1"/>
  <c r="BV22" i="65" s="1"/>
  <c r="CI22" i="65" s="1"/>
  <c r="V125" i="65"/>
  <c r="AI125" i="65" s="1"/>
  <c r="AV125" i="65" s="1"/>
  <c r="BI125" i="65" s="1"/>
  <c r="BV125" i="65" s="1"/>
  <c r="CI125" i="65" s="1"/>
  <c r="V113" i="65"/>
  <c r="AI113" i="65" s="1"/>
  <c r="AV113" i="65" s="1"/>
  <c r="BI113" i="65" s="1"/>
  <c r="BV113" i="65" s="1"/>
  <c r="CI113" i="65" s="1"/>
  <c r="V101" i="65"/>
  <c r="AI101" i="65" s="1"/>
  <c r="AV101" i="65" s="1"/>
  <c r="BI101" i="65" s="1"/>
  <c r="BV101" i="65" s="1"/>
  <c r="CI101" i="65" s="1"/>
  <c r="V89" i="65"/>
  <c r="AI89" i="65" s="1"/>
  <c r="AV89" i="65" s="1"/>
  <c r="BI89" i="65" s="1"/>
  <c r="BV89" i="65" s="1"/>
  <c r="CI89" i="65" s="1"/>
  <c r="V77" i="65"/>
  <c r="AI77" i="65" s="1"/>
  <c r="AV77" i="65" s="1"/>
  <c r="BI77" i="65" s="1"/>
  <c r="BV77" i="65" s="1"/>
  <c r="CI77" i="65" s="1"/>
  <c r="V61" i="65"/>
  <c r="AI61" i="65" s="1"/>
  <c r="AV61" i="65" s="1"/>
  <c r="BI61" i="65" s="1"/>
  <c r="BV61" i="65" s="1"/>
  <c r="CI61" i="65" s="1"/>
  <c r="V49" i="65"/>
  <c r="AI49" i="65" s="1"/>
  <c r="AV49" i="65" s="1"/>
  <c r="BI49" i="65" s="1"/>
  <c r="BV49" i="65" s="1"/>
  <c r="CI49" i="65" s="1"/>
  <c r="V37" i="65"/>
  <c r="AI37" i="65" s="1"/>
  <c r="AV37" i="65" s="1"/>
  <c r="BI37" i="65" s="1"/>
  <c r="BV37" i="65" s="1"/>
  <c r="CI37" i="65" s="1"/>
  <c r="AI23" i="65"/>
  <c r="AV23" i="65" s="1"/>
  <c r="BI23" i="65" s="1"/>
  <c r="BV23" i="65" s="1"/>
  <c r="CI23" i="65" s="1"/>
  <c r="V124" i="65"/>
  <c r="AI124" i="65" s="1"/>
  <c r="AV124" i="65" s="1"/>
  <c r="BI124" i="65" s="1"/>
  <c r="BV124" i="65" s="1"/>
  <c r="CI124" i="65" s="1"/>
  <c r="V112" i="65"/>
  <c r="AI112" i="65" s="1"/>
  <c r="AV112" i="65" s="1"/>
  <c r="BI112" i="65" s="1"/>
  <c r="BV112" i="65" s="1"/>
  <c r="CI112" i="65" s="1"/>
  <c r="V100" i="65"/>
  <c r="AI100" i="65" s="1"/>
  <c r="AV100" i="65" s="1"/>
  <c r="BI100" i="65" s="1"/>
  <c r="BV100" i="65" s="1"/>
  <c r="CI100" i="65" s="1"/>
  <c r="V82" i="65"/>
  <c r="AI82" i="65" s="1"/>
  <c r="AV82" i="65" s="1"/>
  <c r="BI82" i="65" s="1"/>
  <c r="BV82" i="65" s="1"/>
  <c r="CI82" i="65" s="1"/>
  <c r="V76" i="65"/>
  <c r="AI76" i="65" s="1"/>
  <c r="AV76" i="65" s="1"/>
  <c r="BI76" i="65" s="1"/>
  <c r="BV76" i="65" s="1"/>
  <c r="CI76" i="65" s="1"/>
  <c r="V60" i="65"/>
  <c r="AI60" i="65" s="1"/>
  <c r="AV60" i="65" s="1"/>
  <c r="BI60" i="65" s="1"/>
  <c r="BV60" i="65" s="1"/>
  <c r="CI60" i="65" s="1"/>
  <c r="V48" i="65"/>
  <c r="AI48" i="65" s="1"/>
  <c r="AV48" i="65" s="1"/>
  <c r="BI48" i="65" s="1"/>
  <c r="BV48" i="65" s="1"/>
  <c r="CI48" i="65" s="1"/>
  <c r="V36" i="65"/>
  <c r="AI36" i="65" s="1"/>
  <c r="AV36" i="65" s="1"/>
  <c r="BI36" i="65" s="1"/>
  <c r="BV36" i="65" s="1"/>
  <c r="CI36" i="65" s="1"/>
  <c r="AI24" i="65"/>
  <c r="AV24" i="65" s="1"/>
  <c r="BI24" i="65" s="1"/>
  <c r="BV24" i="65" s="1"/>
  <c r="CI24" i="65" s="1"/>
  <c r="V123" i="65"/>
  <c r="AI123" i="65" s="1"/>
  <c r="AV123" i="65" s="1"/>
  <c r="BI123" i="65" s="1"/>
  <c r="BV123" i="65" s="1"/>
  <c r="CI123" i="65" s="1"/>
  <c r="V111" i="65"/>
  <c r="AI111" i="65" s="1"/>
  <c r="AV111" i="65" s="1"/>
  <c r="BI111" i="65" s="1"/>
  <c r="BV111" i="65" s="1"/>
  <c r="CI111" i="65" s="1"/>
  <c r="V99" i="65"/>
  <c r="AI99" i="65" s="1"/>
  <c r="AV99" i="65" s="1"/>
  <c r="BI99" i="65" s="1"/>
  <c r="BV99" i="65" s="1"/>
  <c r="CI99" i="65" s="1"/>
  <c r="V88" i="65"/>
  <c r="AI88" i="65" s="1"/>
  <c r="AV88" i="65" s="1"/>
  <c r="BI88" i="65" s="1"/>
  <c r="BV88" i="65" s="1"/>
  <c r="CI88" i="65" s="1"/>
  <c r="V75" i="65"/>
  <c r="AI75" i="65" s="1"/>
  <c r="AV75" i="65" s="1"/>
  <c r="BI75" i="65" s="1"/>
  <c r="BV75" i="65" s="1"/>
  <c r="CI75" i="65" s="1"/>
  <c r="V59" i="65"/>
  <c r="AI59" i="65" s="1"/>
  <c r="AV59" i="65" s="1"/>
  <c r="BI59" i="65" s="1"/>
  <c r="BV59" i="65" s="1"/>
  <c r="CI59" i="65" s="1"/>
  <c r="V47" i="65"/>
  <c r="AI47" i="65" s="1"/>
  <c r="AV47" i="65" s="1"/>
  <c r="BI47" i="65" s="1"/>
  <c r="BV47" i="65" s="1"/>
  <c r="CI47" i="65" s="1"/>
  <c r="V35" i="65"/>
  <c r="AI35" i="65" s="1"/>
  <c r="AV35" i="65" s="1"/>
  <c r="BI35" i="65" s="1"/>
  <c r="BV35" i="65" s="1"/>
  <c r="CI35" i="65" s="1"/>
  <c r="AI25" i="65"/>
  <c r="AV25" i="65" s="1"/>
  <c r="BI25" i="65" s="1"/>
  <c r="BV25" i="65" s="1"/>
  <c r="CI25" i="65" s="1"/>
  <c r="V122" i="65"/>
  <c r="AI122" i="65" s="1"/>
  <c r="AV122" i="65" s="1"/>
  <c r="BI122" i="65" s="1"/>
  <c r="BV122" i="65" s="1"/>
  <c r="CI122" i="65" s="1"/>
  <c r="V110" i="65"/>
  <c r="AI110" i="65" s="1"/>
  <c r="AV110" i="65" s="1"/>
  <c r="BI110" i="65" s="1"/>
  <c r="BV110" i="65" s="1"/>
  <c r="CI110" i="65" s="1"/>
  <c r="V98" i="65"/>
  <c r="AI98" i="65" s="1"/>
  <c r="AV98" i="65" s="1"/>
  <c r="BI98" i="65" s="1"/>
  <c r="BV98" i="65" s="1"/>
  <c r="CI98" i="65" s="1"/>
  <c r="V87" i="65"/>
  <c r="AI87" i="65" s="1"/>
  <c r="AV87" i="65" s="1"/>
  <c r="BI87" i="65" s="1"/>
  <c r="BV87" i="65" s="1"/>
  <c r="CI87" i="65" s="1"/>
  <c r="V74" i="65"/>
  <c r="AI74" i="65" s="1"/>
  <c r="AV74" i="65" s="1"/>
  <c r="BI74" i="65" s="1"/>
  <c r="BV74" i="65" s="1"/>
  <c r="CI74" i="65" s="1"/>
  <c r="V58" i="65"/>
  <c r="AI58" i="65" s="1"/>
  <c r="AV58" i="65" s="1"/>
  <c r="BI58" i="65" s="1"/>
  <c r="BV58" i="65" s="1"/>
  <c r="CI58" i="65" s="1"/>
  <c r="V46" i="65"/>
  <c r="AI46" i="65" s="1"/>
  <c r="AV46" i="65" s="1"/>
  <c r="BI46" i="65" s="1"/>
  <c r="BV46" i="65" s="1"/>
  <c r="CI46" i="65" s="1"/>
  <c r="V34" i="65"/>
  <c r="AI34" i="65" s="1"/>
  <c r="AV34" i="65" s="1"/>
  <c r="BI34" i="65" s="1"/>
  <c r="BV34" i="65" s="1"/>
  <c r="CI34" i="65" s="1"/>
  <c r="AI26" i="65"/>
  <c r="AV26" i="65" s="1"/>
  <c r="BI26" i="65" s="1"/>
  <c r="BV26" i="65" s="1"/>
  <c r="CI26" i="65" s="1"/>
  <c r="V121" i="65"/>
  <c r="AI121" i="65" s="1"/>
  <c r="AV121" i="65" s="1"/>
  <c r="BI121" i="65" s="1"/>
  <c r="BV121" i="65" s="1"/>
  <c r="CI121" i="65" s="1"/>
  <c r="V109" i="65"/>
  <c r="AI109" i="65" s="1"/>
  <c r="AV109" i="65" s="1"/>
  <c r="BI109" i="65" s="1"/>
  <c r="BV109" i="65" s="1"/>
  <c r="CI109" i="65" s="1"/>
  <c r="V96" i="65"/>
  <c r="AI96" i="65" s="1"/>
  <c r="AV96" i="65" s="1"/>
  <c r="BI96" i="65" s="1"/>
  <c r="BV96" i="65" s="1"/>
  <c r="CI96" i="65" s="1"/>
  <c r="V86" i="65"/>
  <c r="AI86" i="65" s="1"/>
  <c r="AV86" i="65" s="1"/>
  <c r="BI86" i="65" s="1"/>
  <c r="BV86" i="65" s="1"/>
  <c r="CI86" i="65" s="1"/>
  <c r="V71" i="65"/>
  <c r="AI71" i="65" s="1"/>
  <c r="AV71" i="65" s="1"/>
  <c r="BI71" i="65" s="1"/>
  <c r="BV71" i="65" s="1"/>
  <c r="CI71" i="65" s="1"/>
  <c r="V69" i="65"/>
  <c r="AI69" i="65" s="1"/>
  <c r="AV69" i="65" s="1"/>
  <c r="BI69" i="65" s="1"/>
  <c r="BV69" i="65" s="1"/>
  <c r="CI69" i="65" s="1"/>
  <c r="V45" i="65"/>
  <c r="AI45" i="65" s="1"/>
  <c r="AV45" i="65" s="1"/>
  <c r="BI45" i="65" s="1"/>
  <c r="BV45" i="65" s="1"/>
  <c r="CI45" i="65" s="1"/>
  <c r="V57" i="65"/>
  <c r="AI57" i="65" s="1"/>
  <c r="AV57" i="65" s="1"/>
  <c r="BI57" i="65" s="1"/>
  <c r="BV57" i="65" s="1"/>
  <c r="CI57" i="65" s="1"/>
  <c r="AI27" i="65"/>
  <c r="AV27" i="65" s="1"/>
  <c r="BI27" i="65" s="1"/>
  <c r="BV27" i="65" s="1"/>
  <c r="CI27" i="65" s="1"/>
  <c r="V132" i="65"/>
  <c r="AI132" i="65" s="1"/>
  <c r="AV132" i="65" s="1"/>
  <c r="BI132" i="65" s="1"/>
  <c r="BV132" i="65" s="1"/>
  <c r="CI132" i="65" s="1"/>
  <c r="V120" i="65"/>
  <c r="AI120" i="65" s="1"/>
  <c r="AV120" i="65" s="1"/>
  <c r="BI120" i="65" s="1"/>
  <c r="BV120" i="65" s="1"/>
  <c r="CI120" i="65" s="1"/>
  <c r="V108" i="65"/>
  <c r="AI108" i="65" s="1"/>
  <c r="AV108" i="65" s="1"/>
  <c r="BI108" i="65" s="1"/>
  <c r="BV108" i="65" s="1"/>
  <c r="CI108" i="65" s="1"/>
  <c r="V95" i="65"/>
  <c r="AI95" i="65" s="1"/>
  <c r="AV95" i="65" s="1"/>
  <c r="BI95" i="65" s="1"/>
  <c r="BV95" i="65" s="1"/>
  <c r="CI95" i="65" s="1"/>
  <c r="V85" i="65"/>
  <c r="AI85" i="65" s="1"/>
  <c r="AV85" i="65" s="1"/>
  <c r="BI85" i="65" s="1"/>
  <c r="BV85" i="65" s="1"/>
  <c r="CI85" i="65" s="1"/>
  <c r="V68" i="65"/>
  <c r="AI68" i="65" s="1"/>
  <c r="AV68" i="65" s="1"/>
  <c r="BI68" i="65" s="1"/>
  <c r="BV68" i="65" s="1"/>
  <c r="CI68" i="65" s="1"/>
  <c r="V73" i="65"/>
  <c r="AI73" i="65" s="1"/>
  <c r="AV73" i="65" s="1"/>
  <c r="BI73" i="65" s="1"/>
  <c r="BV73" i="65" s="1"/>
  <c r="CI73" i="65" s="1"/>
  <c r="V44" i="65"/>
  <c r="AI44" i="65" s="1"/>
  <c r="AV44" i="65" s="1"/>
  <c r="BI44" i="65" s="1"/>
  <c r="BV44" i="65" s="1"/>
  <c r="CI44" i="65" s="1"/>
  <c r="V56" i="65"/>
  <c r="AI56" i="65" s="1"/>
  <c r="AV56" i="65" s="1"/>
  <c r="BI56" i="65" s="1"/>
  <c r="BV56" i="65" s="1"/>
  <c r="CI56" i="65" s="1"/>
  <c r="AI28" i="65"/>
  <c r="AV28" i="65" s="1"/>
  <c r="BI28" i="65" s="1"/>
  <c r="BV28" i="65" s="1"/>
  <c r="CI28" i="65" s="1"/>
  <c r="V131" i="65"/>
  <c r="AI131" i="65" s="1"/>
  <c r="AV131" i="65" s="1"/>
  <c r="BI131" i="65" s="1"/>
  <c r="BV131" i="65" s="1"/>
  <c r="CI131" i="65" s="1"/>
  <c r="V119" i="65"/>
  <c r="AI119" i="65" s="1"/>
  <c r="AV119" i="65" s="1"/>
  <c r="BI119" i="65" s="1"/>
  <c r="BV119" i="65" s="1"/>
  <c r="CI119" i="65" s="1"/>
  <c r="V107" i="65"/>
  <c r="AI107" i="65" s="1"/>
  <c r="AV107" i="65" s="1"/>
  <c r="BI107" i="65" s="1"/>
  <c r="BV107" i="65" s="1"/>
  <c r="CI107" i="65" s="1"/>
  <c r="V93" i="65"/>
  <c r="AI93" i="65" s="1"/>
  <c r="AV93" i="65" s="1"/>
  <c r="BI93" i="65" s="1"/>
  <c r="BV93" i="65" s="1"/>
  <c r="CI93" i="65" s="1"/>
  <c r="V84" i="65"/>
  <c r="AI84" i="65" s="1"/>
  <c r="AV84" i="65" s="1"/>
  <c r="BI84" i="65" s="1"/>
  <c r="BV84" i="65" s="1"/>
  <c r="CI84" i="65" s="1"/>
  <c r="V67" i="65"/>
  <c r="AI67" i="65" s="1"/>
  <c r="AV67" i="65" s="1"/>
  <c r="BI67" i="65" s="1"/>
  <c r="BV67" i="65" s="1"/>
  <c r="CI67" i="65" s="1"/>
  <c r="V72" i="65"/>
  <c r="AI72" i="65" s="1"/>
  <c r="AV72" i="65" s="1"/>
  <c r="BI72" i="65" s="1"/>
  <c r="BV72" i="65" s="1"/>
  <c r="CI72" i="65" s="1"/>
  <c r="V43" i="65"/>
  <c r="AI43" i="65" s="1"/>
  <c r="AV43" i="65" s="1"/>
  <c r="BI43" i="65" s="1"/>
  <c r="BV43" i="65" s="1"/>
  <c r="CI43" i="65" s="1"/>
  <c r="V54" i="65"/>
  <c r="AI54" i="65" s="1"/>
  <c r="AV54" i="65" s="1"/>
  <c r="BI54" i="65" s="1"/>
  <c r="BV54" i="65" s="1"/>
  <c r="CI54" i="65" s="1"/>
  <c r="AI29" i="65"/>
  <c r="AV29" i="65" s="1"/>
  <c r="BI29" i="65" s="1"/>
  <c r="BV29" i="65" s="1"/>
  <c r="CI29" i="65" s="1"/>
  <c r="V128" i="65"/>
  <c r="AI128" i="65" s="1"/>
  <c r="AV128" i="65" s="1"/>
  <c r="BI128" i="65" s="1"/>
  <c r="BV128" i="65" s="1"/>
  <c r="CI128" i="65" s="1"/>
  <c r="V116" i="65"/>
  <c r="AI116" i="65" s="1"/>
  <c r="AV116" i="65" s="1"/>
  <c r="BI116" i="65" s="1"/>
  <c r="BV116" i="65" s="1"/>
  <c r="CI116" i="65" s="1"/>
  <c r="V104" i="65"/>
  <c r="AI104" i="65" s="1"/>
  <c r="AV104" i="65" s="1"/>
  <c r="BI104" i="65" s="1"/>
  <c r="BV104" i="65" s="1"/>
  <c r="CI104" i="65" s="1"/>
  <c r="V90" i="65"/>
  <c r="AI90" i="65" s="1"/>
  <c r="AV90" i="65" s="1"/>
  <c r="BI90" i="65" s="1"/>
  <c r="BV90" i="65" s="1"/>
  <c r="CI90" i="65" s="1"/>
  <c r="V80" i="65"/>
  <c r="AI80" i="65" s="1"/>
  <c r="AV80" i="65" s="1"/>
  <c r="BI80" i="65" s="1"/>
  <c r="BV80" i="65" s="1"/>
  <c r="CI80" i="65" s="1"/>
  <c r="V64" i="65"/>
  <c r="AI64" i="65" s="1"/>
  <c r="AV64" i="65" s="1"/>
  <c r="BI64" i="65" s="1"/>
  <c r="BV64" i="65" s="1"/>
  <c r="CI64" i="65" s="1"/>
  <c r="V52" i="65"/>
  <c r="AI52" i="65" s="1"/>
  <c r="AV52" i="65" s="1"/>
  <c r="BI52" i="65" s="1"/>
  <c r="BV52" i="65" s="1"/>
  <c r="CI52" i="65" s="1"/>
  <c r="V40" i="65"/>
  <c r="AI40" i="65" s="1"/>
  <c r="AV40" i="65" s="1"/>
  <c r="BI40" i="65" s="1"/>
  <c r="BV40" i="65" s="1"/>
  <c r="CI40" i="65" s="1"/>
  <c r="AI20" i="65"/>
  <c r="AV20" i="65" s="1"/>
  <c r="BI20" i="65" s="1"/>
  <c r="BV20" i="65" s="1"/>
  <c r="CI20" i="65" s="1"/>
  <c r="V32" i="65"/>
  <c r="AI32" i="65" s="1"/>
  <c r="AV32" i="65" s="1"/>
  <c r="BI32" i="65" s="1"/>
  <c r="BV32" i="65" s="1"/>
  <c r="CI32" i="65" s="1"/>
  <c r="V66" i="65"/>
  <c r="AI66" i="65" s="1"/>
  <c r="AV66" i="65" s="1"/>
  <c r="BI66" i="65" s="1"/>
  <c r="BV66" i="65" s="1"/>
  <c r="CI66" i="65" s="1"/>
  <c r="V91" i="65"/>
  <c r="AI91" i="65" s="1"/>
  <c r="AV91" i="65" s="1"/>
  <c r="BI91" i="65" s="1"/>
  <c r="BV91" i="65" s="1"/>
  <c r="CI91" i="65" s="1"/>
  <c r="V65" i="65"/>
  <c r="AI65" i="65" s="1"/>
  <c r="AV65" i="65" s="1"/>
  <c r="BI65" i="65" s="1"/>
  <c r="BV65" i="65" s="1"/>
  <c r="CI65" i="65" s="1"/>
  <c r="V130" i="65"/>
  <c r="AI130" i="65" s="1"/>
  <c r="AV130" i="65" s="1"/>
  <c r="BI130" i="65" s="1"/>
  <c r="BV130" i="65" s="1"/>
  <c r="CI130" i="65" s="1"/>
  <c r="V70" i="65"/>
  <c r="AI70" i="65" s="1"/>
  <c r="AV70" i="65" s="1"/>
  <c r="BI70" i="65" s="1"/>
  <c r="BV70" i="65" s="1"/>
  <c r="CI70" i="65" s="1"/>
  <c r="V129" i="65"/>
  <c r="AI129" i="65" s="1"/>
  <c r="AV129" i="65" s="1"/>
  <c r="BI129" i="65" s="1"/>
  <c r="BV129" i="65" s="1"/>
  <c r="CI129" i="65" s="1"/>
  <c r="V55" i="65"/>
  <c r="AI55" i="65" s="1"/>
  <c r="AV55" i="65" s="1"/>
  <c r="BI55" i="65" s="1"/>
  <c r="BV55" i="65" s="1"/>
  <c r="CI55" i="65" s="1"/>
  <c r="V118" i="65"/>
  <c r="AI118" i="65" s="1"/>
  <c r="AV118" i="65" s="1"/>
  <c r="BI118" i="65" s="1"/>
  <c r="BV118" i="65" s="1"/>
  <c r="CI118" i="65" s="1"/>
  <c r="V42" i="65"/>
  <c r="AI42" i="65" s="1"/>
  <c r="AV42" i="65" s="1"/>
  <c r="BI42" i="65" s="1"/>
  <c r="BV42" i="65" s="1"/>
  <c r="CI42" i="65" s="1"/>
  <c r="V117" i="65"/>
  <c r="AI117" i="65" s="1"/>
  <c r="AV117" i="65" s="1"/>
  <c r="BI117" i="65" s="1"/>
  <c r="BV117" i="65" s="1"/>
  <c r="CI117" i="65" s="1"/>
  <c r="V41" i="65"/>
  <c r="AI41" i="65" s="1"/>
  <c r="AV41" i="65" s="1"/>
  <c r="BI41" i="65" s="1"/>
  <c r="BV41" i="65" s="1"/>
  <c r="CI41" i="65" s="1"/>
  <c r="V31" i="65"/>
  <c r="AI31" i="65" s="1"/>
  <c r="AV31" i="65" s="1"/>
  <c r="BI31" i="65" s="1"/>
  <c r="BV31" i="65" s="1"/>
  <c r="CI31" i="65" s="1"/>
  <c r="V106" i="65"/>
  <c r="AI106" i="65" s="1"/>
  <c r="AV106" i="65" s="1"/>
  <c r="BI106" i="65" s="1"/>
  <c r="BV106" i="65" s="1"/>
  <c r="CI106" i="65" s="1"/>
  <c r="V53" i="65"/>
  <c r="AI53" i="65" s="1"/>
  <c r="AV53" i="65" s="1"/>
  <c r="BI53" i="65" s="1"/>
  <c r="BV53" i="65" s="1"/>
  <c r="CI53" i="65" s="1"/>
  <c r="V105" i="65"/>
  <c r="AI105" i="65" s="1"/>
  <c r="AV105" i="65" s="1"/>
  <c r="BI105" i="65" s="1"/>
  <c r="BV105" i="65" s="1"/>
  <c r="CI105" i="65" s="1"/>
  <c r="AI19" i="65"/>
  <c r="AV19" i="65" s="1"/>
  <c r="BI19" i="65" s="1"/>
  <c r="BV19" i="65" s="1"/>
  <c r="CI19" i="65" s="1"/>
  <c r="V83" i="65"/>
  <c r="AI83" i="65" s="1"/>
  <c r="AV83" i="65" s="1"/>
  <c r="BI83" i="65" s="1"/>
  <c r="BV83" i="65" s="1"/>
  <c r="CI83" i="65" s="1"/>
  <c r="V92" i="65"/>
  <c r="AI92" i="65" s="1"/>
  <c r="AV92" i="65" s="1"/>
  <c r="BI92" i="65" s="1"/>
  <c r="BV92" i="65" s="1"/>
  <c r="CI92" i="65" s="1"/>
  <c r="V30" i="65"/>
  <c r="AI30" i="65" s="1"/>
  <c r="AV30" i="65" s="1"/>
  <c r="BI30" i="65" s="1"/>
  <c r="BV30" i="65" s="1"/>
  <c r="CI30" i="65" s="1"/>
  <c r="V81" i="65"/>
  <c r="AI81" i="65" s="1"/>
  <c r="AV81" i="65" s="1"/>
  <c r="BI81" i="65" s="1"/>
  <c r="BV81" i="65" s="1"/>
  <c r="CI81" i="65" s="1"/>
  <c r="AU13" i="53"/>
  <c r="CL18" i="65" s="1"/>
  <c r="BY18" i="65"/>
  <c r="AU12" i="53"/>
  <c r="CK18" i="65" s="1"/>
  <c r="BX18" i="65"/>
  <c r="Y33" i="65"/>
  <c r="AL33" i="65" s="1"/>
  <c r="AY33" i="65" s="1"/>
  <c r="BL33" i="65" s="1"/>
  <c r="BY33" i="65" s="1"/>
  <c r="CL33" i="65" s="1"/>
  <c r="Y30" i="65"/>
  <c r="AL30" i="65" s="1"/>
  <c r="AY30" i="65" s="1"/>
  <c r="BL30" i="65" s="1"/>
  <c r="BY30" i="65" s="1"/>
  <c r="CL30" i="65" s="1"/>
  <c r="Y31" i="65"/>
  <c r="AL31" i="65" s="1"/>
  <c r="AY31" i="65" s="1"/>
  <c r="BL31" i="65" s="1"/>
  <c r="BY31" i="65" s="1"/>
  <c r="CL31" i="65" s="1"/>
  <c r="Y32" i="65"/>
  <c r="AL32" i="65" s="1"/>
  <c r="AY32" i="65" s="1"/>
  <c r="BL32" i="65" s="1"/>
  <c r="BY32" i="65" s="1"/>
  <c r="CL32" i="65" s="1"/>
  <c r="Y128" i="65"/>
  <c r="AL128" i="65" s="1"/>
  <c r="AY128" i="65" s="1"/>
  <c r="BL128" i="65" s="1"/>
  <c r="BY128" i="65" s="1"/>
  <c r="CL128" i="65" s="1"/>
  <c r="Y124" i="65"/>
  <c r="AL124" i="65" s="1"/>
  <c r="AY124" i="65" s="1"/>
  <c r="BL124" i="65" s="1"/>
  <c r="BY124" i="65" s="1"/>
  <c r="CL124" i="65" s="1"/>
  <c r="Y111" i="65"/>
  <c r="AL111" i="65" s="1"/>
  <c r="AY111" i="65" s="1"/>
  <c r="BL111" i="65" s="1"/>
  <c r="BY111" i="65" s="1"/>
  <c r="CL111" i="65" s="1"/>
  <c r="Y97" i="65"/>
  <c r="AL97" i="65" s="1"/>
  <c r="AY97" i="65" s="1"/>
  <c r="BL97" i="65" s="1"/>
  <c r="BY97" i="65" s="1"/>
  <c r="CL97" i="65" s="1"/>
  <c r="Y88" i="65"/>
  <c r="AL88" i="65" s="1"/>
  <c r="AY88" i="65" s="1"/>
  <c r="BL88" i="65" s="1"/>
  <c r="BY88" i="65" s="1"/>
  <c r="CL88" i="65" s="1"/>
  <c r="Y75" i="65"/>
  <c r="AL75" i="65" s="1"/>
  <c r="AY75" i="65" s="1"/>
  <c r="BL75" i="65" s="1"/>
  <c r="BY75" i="65" s="1"/>
  <c r="CL75" i="65" s="1"/>
  <c r="Y62" i="65"/>
  <c r="AL62" i="65" s="1"/>
  <c r="AY62" i="65" s="1"/>
  <c r="BL62" i="65" s="1"/>
  <c r="Y52" i="65"/>
  <c r="AL52" i="65" s="1"/>
  <c r="AY52" i="65" s="1"/>
  <c r="BL52" i="65" s="1"/>
  <c r="Y40" i="65"/>
  <c r="AL40" i="65" s="1"/>
  <c r="AY40" i="65" s="1"/>
  <c r="BL40" i="65" s="1"/>
  <c r="BY40" i="65" s="1"/>
  <c r="CL40" i="65" s="1"/>
  <c r="AL24" i="65"/>
  <c r="AY24" i="65" s="1"/>
  <c r="BL24" i="65" s="1"/>
  <c r="BY24" i="65" s="1"/>
  <c r="CL24" i="65" s="1"/>
  <c r="Y51" i="65"/>
  <c r="AL51" i="65" s="1"/>
  <c r="AY51" i="65" s="1"/>
  <c r="BL51" i="65" s="1"/>
  <c r="BY51" i="65" s="1"/>
  <c r="CL51" i="65" s="1"/>
  <c r="Y94" i="65"/>
  <c r="AL94" i="65" s="1"/>
  <c r="AY94" i="65" s="1"/>
  <c r="BL94" i="65" s="1"/>
  <c r="BY94" i="65" s="1"/>
  <c r="CL94" i="65" s="1"/>
  <c r="Y43" i="65"/>
  <c r="AL43" i="65" s="1"/>
  <c r="AY43" i="65" s="1"/>
  <c r="BL43" i="65" s="1"/>
  <c r="BY43" i="65" s="1"/>
  <c r="CL43" i="65" s="1"/>
  <c r="Y77" i="65"/>
  <c r="AL77" i="65" s="1"/>
  <c r="AY77" i="65" s="1"/>
  <c r="BL77" i="65" s="1"/>
  <c r="BY77" i="65" s="1"/>
  <c r="CL77" i="65" s="1"/>
  <c r="Y123" i="65"/>
  <c r="AL123" i="65" s="1"/>
  <c r="AY123" i="65" s="1"/>
  <c r="BL123" i="65" s="1"/>
  <c r="BY123" i="65" s="1"/>
  <c r="CL123" i="65" s="1"/>
  <c r="Y109" i="65"/>
  <c r="AL109" i="65" s="1"/>
  <c r="AY109" i="65" s="1"/>
  <c r="BL109" i="65" s="1"/>
  <c r="BY109" i="65" s="1"/>
  <c r="CL109" i="65" s="1"/>
  <c r="Y112" i="65"/>
  <c r="AL112" i="65" s="1"/>
  <c r="AY112" i="65" s="1"/>
  <c r="BL112" i="65" s="1"/>
  <c r="BY112" i="65" s="1"/>
  <c r="CL112" i="65" s="1"/>
  <c r="Y87" i="65"/>
  <c r="AL87" i="65" s="1"/>
  <c r="AY87" i="65" s="1"/>
  <c r="BL87" i="65" s="1"/>
  <c r="BY87" i="65" s="1"/>
  <c r="CL87" i="65" s="1"/>
  <c r="Y74" i="65"/>
  <c r="AL74" i="65" s="1"/>
  <c r="AY74" i="65" s="1"/>
  <c r="BL74" i="65" s="1"/>
  <c r="BY74" i="65" s="1"/>
  <c r="CL74" i="65" s="1"/>
  <c r="Y61" i="65"/>
  <c r="AL61" i="65" s="1"/>
  <c r="AY61" i="65" s="1"/>
  <c r="BL61" i="65" s="1"/>
  <c r="BY61" i="65" s="1"/>
  <c r="CL61" i="65" s="1"/>
  <c r="Y39" i="65"/>
  <c r="AL39" i="65" s="1"/>
  <c r="AY39" i="65" s="1"/>
  <c r="BL39" i="65" s="1"/>
  <c r="BY39" i="65" s="1"/>
  <c r="CL39" i="65" s="1"/>
  <c r="AL25" i="65"/>
  <c r="AY25" i="65" s="1"/>
  <c r="BL25" i="65" s="1"/>
  <c r="BY25" i="65" s="1"/>
  <c r="CL25" i="65" s="1"/>
  <c r="Y64" i="65"/>
  <c r="AL64" i="65" s="1"/>
  <c r="AY64" i="65" s="1"/>
  <c r="BL64" i="65" s="1"/>
  <c r="BY64" i="65" s="1"/>
  <c r="CL64" i="65" s="1"/>
  <c r="Y122" i="65"/>
  <c r="AL122" i="65" s="1"/>
  <c r="AY122" i="65" s="1"/>
  <c r="BL122" i="65" s="1"/>
  <c r="BY122" i="65" s="1"/>
  <c r="CL122" i="65" s="1"/>
  <c r="Y107" i="65"/>
  <c r="AL107" i="65" s="1"/>
  <c r="AY107" i="65" s="1"/>
  <c r="BL107" i="65" s="1"/>
  <c r="BY107" i="65" s="1"/>
  <c r="CL107" i="65" s="1"/>
  <c r="Y110" i="65"/>
  <c r="AL110" i="65" s="1"/>
  <c r="AY110" i="65" s="1"/>
  <c r="BL110" i="65" s="1"/>
  <c r="BY110" i="65" s="1"/>
  <c r="CL110" i="65" s="1"/>
  <c r="Y86" i="65"/>
  <c r="AL86" i="65" s="1"/>
  <c r="AY86" i="65" s="1"/>
  <c r="BL86" i="65" s="1"/>
  <c r="BY86" i="65" s="1"/>
  <c r="CL86" i="65" s="1"/>
  <c r="Y73" i="65"/>
  <c r="AL73" i="65" s="1"/>
  <c r="AY73" i="65" s="1"/>
  <c r="BL73" i="65" s="1"/>
  <c r="BY73" i="65" s="1"/>
  <c r="CL73" i="65" s="1"/>
  <c r="Y60" i="65"/>
  <c r="AL60" i="65" s="1"/>
  <c r="AY60" i="65" s="1"/>
  <c r="BL60" i="65" s="1"/>
  <c r="BY60" i="65" s="1"/>
  <c r="CL60" i="65" s="1"/>
  <c r="Y50" i="65"/>
  <c r="AL50" i="65" s="1"/>
  <c r="AY50" i="65" s="1"/>
  <c r="BL50" i="65" s="1"/>
  <c r="BY50" i="65" s="1"/>
  <c r="CL50" i="65" s="1"/>
  <c r="Y38" i="65"/>
  <c r="AL38" i="65" s="1"/>
  <c r="AY38" i="65" s="1"/>
  <c r="BL38" i="65" s="1"/>
  <c r="BY38" i="65" s="1"/>
  <c r="CL38" i="65" s="1"/>
  <c r="AL26" i="65"/>
  <c r="AY26" i="65" s="1"/>
  <c r="BL26" i="65" s="1"/>
  <c r="BY26" i="65" s="1"/>
  <c r="CL26" i="65" s="1"/>
  <c r="AL28" i="65"/>
  <c r="AY28" i="65" s="1"/>
  <c r="BL28" i="65" s="1"/>
  <c r="BY28" i="65" s="1"/>
  <c r="CL28" i="65" s="1"/>
  <c r="Y121" i="65"/>
  <c r="AL121" i="65" s="1"/>
  <c r="AY121" i="65" s="1"/>
  <c r="BL121" i="65" s="1"/>
  <c r="BY121" i="65" s="1"/>
  <c r="CL121" i="65" s="1"/>
  <c r="Y106" i="65"/>
  <c r="AL106" i="65" s="1"/>
  <c r="AY106" i="65" s="1"/>
  <c r="BL106" i="65" s="1"/>
  <c r="BY106" i="65" s="1"/>
  <c r="CL106" i="65" s="1"/>
  <c r="Y108" i="65"/>
  <c r="AL108" i="65" s="1"/>
  <c r="AY108" i="65" s="1"/>
  <c r="BL108" i="65" s="1"/>
  <c r="BY108" i="65" s="1"/>
  <c r="CL108" i="65" s="1"/>
  <c r="Y85" i="65"/>
  <c r="AL85" i="65" s="1"/>
  <c r="AY85" i="65" s="1"/>
  <c r="BL85" i="65" s="1"/>
  <c r="BY85" i="65" s="1"/>
  <c r="CL85" i="65" s="1"/>
  <c r="Y72" i="65"/>
  <c r="AL72" i="65" s="1"/>
  <c r="AY72" i="65" s="1"/>
  <c r="BL72" i="65" s="1"/>
  <c r="BY72" i="65" s="1"/>
  <c r="CL72" i="65" s="1"/>
  <c r="Y59" i="65"/>
  <c r="AL59" i="65" s="1"/>
  <c r="AY59" i="65" s="1"/>
  <c r="BL59" i="65" s="1"/>
  <c r="BY59" i="65" s="1"/>
  <c r="CL59" i="65" s="1"/>
  <c r="Y49" i="65"/>
  <c r="AL49" i="65" s="1"/>
  <c r="AY49" i="65" s="1"/>
  <c r="BL49" i="65" s="1"/>
  <c r="BY49" i="65" s="1"/>
  <c r="CL49" i="65" s="1"/>
  <c r="Y37" i="65"/>
  <c r="AL37" i="65" s="1"/>
  <c r="AY37" i="65" s="1"/>
  <c r="BL37" i="65" s="1"/>
  <c r="BY37" i="65" s="1"/>
  <c r="CL37" i="65" s="1"/>
  <c r="AL27" i="65"/>
  <c r="AY27" i="65" s="1"/>
  <c r="BL27" i="65" s="1"/>
  <c r="BY27" i="65" s="1"/>
  <c r="CL27" i="65" s="1"/>
  <c r="Y114" i="65"/>
  <c r="AL114" i="65" s="1"/>
  <c r="AY114" i="65" s="1"/>
  <c r="BL114" i="65" s="1"/>
  <c r="BY114" i="65" s="1"/>
  <c r="CL114" i="65" s="1"/>
  <c r="AL29" i="65"/>
  <c r="AY29" i="65" s="1"/>
  <c r="BL29" i="65" s="1"/>
  <c r="BY29" i="65" s="1"/>
  <c r="CL29" i="65" s="1"/>
  <c r="Y120" i="65"/>
  <c r="AL120" i="65" s="1"/>
  <c r="AY120" i="65" s="1"/>
  <c r="BL120" i="65" s="1"/>
  <c r="BY120" i="65" s="1"/>
  <c r="CL120" i="65" s="1"/>
  <c r="Y105" i="65"/>
  <c r="AL105" i="65" s="1"/>
  <c r="AY105" i="65" s="1"/>
  <c r="BL105" i="65" s="1"/>
  <c r="BY105" i="65" s="1"/>
  <c r="CL105" i="65" s="1"/>
  <c r="Y93" i="65"/>
  <c r="AL93" i="65" s="1"/>
  <c r="AY93" i="65" s="1"/>
  <c r="BL93" i="65" s="1"/>
  <c r="BY93" i="65" s="1"/>
  <c r="CL93" i="65" s="1"/>
  <c r="Y84" i="65"/>
  <c r="AL84" i="65" s="1"/>
  <c r="AY84" i="65" s="1"/>
  <c r="BL84" i="65" s="1"/>
  <c r="BY84" i="65" s="1"/>
  <c r="CL84" i="65" s="1"/>
  <c r="Y71" i="65"/>
  <c r="AL71" i="65" s="1"/>
  <c r="AY71" i="65" s="1"/>
  <c r="BL71" i="65" s="1"/>
  <c r="BY71" i="65" s="1"/>
  <c r="CL71" i="65" s="1"/>
  <c r="Y58" i="65"/>
  <c r="AL58" i="65" s="1"/>
  <c r="AY58" i="65" s="1"/>
  <c r="BL58" i="65" s="1"/>
  <c r="BY58" i="65" s="1"/>
  <c r="CL58" i="65" s="1"/>
  <c r="Y48" i="65"/>
  <c r="AL48" i="65" s="1"/>
  <c r="AY48" i="65" s="1"/>
  <c r="BL48" i="65" s="1"/>
  <c r="BY48" i="65" s="1"/>
  <c r="CL48" i="65" s="1"/>
  <c r="Y36" i="65"/>
  <c r="AL36" i="65" s="1"/>
  <c r="AY36" i="65" s="1"/>
  <c r="BL36" i="65" s="1"/>
  <c r="BY36" i="65" s="1"/>
  <c r="CL36" i="65" s="1"/>
  <c r="Y126" i="65"/>
  <c r="AL126" i="65" s="1"/>
  <c r="AY126" i="65" s="1"/>
  <c r="BL126" i="65" s="1"/>
  <c r="BY126" i="65" s="1"/>
  <c r="CL126" i="65" s="1"/>
  <c r="AL22" i="65"/>
  <c r="AY22" i="65" s="1"/>
  <c r="BL22" i="65" s="1"/>
  <c r="BY22" i="65" s="1"/>
  <c r="CL22" i="65" s="1"/>
  <c r="Y132" i="65"/>
  <c r="AL132" i="65" s="1"/>
  <c r="AY132" i="65" s="1"/>
  <c r="BL132" i="65" s="1"/>
  <c r="BY132" i="65" s="1"/>
  <c r="CL132" i="65" s="1"/>
  <c r="Y119" i="65"/>
  <c r="AL119" i="65" s="1"/>
  <c r="AY119" i="65" s="1"/>
  <c r="BL119" i="65" s="1"/>
  <c r="BY119" i="65" s="1"/>
  <c r="CL119" i="65" s="1"/>
  <c r="Y104" i="65"/>
  <c r="AL104" i="65" s="1"/>
  <c r="AY104" i="65" s="1"/>
  <c r="BL104" i="65" s="1"/>
  <c r="BY104" i="65" s="1"/>
  <c r="CL104" i="65" s="1"/>
  <c r="Y92" i="65"/>
  <c r="AL92" i="65" s="1"/>
  <c r="AY92" i="65" s="1"/>
  <c r="BL92" i="65" s="1"/>
  <c r="BY92" i="65" s="1"/>
  <c r="CL92" i="65" s="1"/>
  <c r="Y83" i="65"/>
  <c r="AL83" i="65" s="1"/>
  <c r="AY83" i="65" s="1"/>
  <c r="BL83" i="65" s="1"/>
  <c r="BY83" i="65" s="1"/>
  <c r="CL83" i="65" s="1"/>
  <c r="Y82" i="65"/>
  <c r="AL82" i="65" s="1"/>
  <c r="AY82" i="65" s="1"/>
  <c r="BL82" i="65" s="1"/>
  <c r="BY82" i="65" s="1"/>
  <c r="CL82" i="65" s="1"/>
  <c r="Y57" i="65"/>
  <c r="AL57" i="65" s="1"/>
  <c r="AY57" i="65" s="1"/>
  <c r="BL57" i="65" s="1"/>
  <c r="BY57" i="65" s="1"/>
  <c r="CL57" i="65" s="1"/>
  <c r="Y47" i="65"/>
  <c r="AL47" i="65" s="1"/>
  <c r="AY47" i="65" s="1"/>
  <c r="BL47" i="65" s="1"/>
  <c r="BY47" i="65" s="1"/>
  <c r="CL47" i="65" s="1"/>
  <c r="Y35" i="65"/>
  <c r="AL35" i="65" s="1"/>
  <c r="AY35" i="65" s="1"/>
  <c r="BL35" i="65" s="1"/>
  <c r="BY35" i="65" s="1"/>
  <c r="CL35" i="65" s="1"/>
  <c r="Y46" i="65"/>
  <c r="AL46" i="65" s="1"/>
  <c r="AY46" i="65" s="1"/>
  <c r="BL46" i="65" s="1"/>
  <c r="BY46" i="65" s="1"/>
  <c r="CL46" i="65" s="1"/>
  <c r="Y115" i="65"/>
  <c r="AL115" i="65" s="1"/>
  <c r="AY115" i="65" s="1"/>
  <c r="BL115" i="65" s="1"/>
  <c r="BY115" i="65" s="1"/>
  <c r="CL115" i="65" s="1"/>
  <c r="Y65" i="65"/>
  <c r="AL65" i="65" s="1"/>
  <c r="AY65" i="65" s="1"/>
  <c r="BL65" i="65" s="1"/>
  <c r="BY65" i="65" s="1"/>
  <c r="CL65" i="65" s="1"/>
  <c r="Y99" i="65"/>
  <c r="AL99" i="65" s="1"/>
  <c r="AY99" i="65" s="1"/>
  <c r="BL99" i="65" s="1"/>
  <c r="BY99" i="65" s="1"/>
  <c r="CL99" i="65" s="1"/>
  <c r="Y131" i="65"/>
  <c r="AL131" i="65" s="1"/>
  <c r="AY131" i="65" s="1"/>
  <c r="BL131" i="65" s="1"/>
  <c r="BY131" i="65" s="1"/>
  <c r="CL131" i="65" s="1"/>
  <c r="Y118" i="65"/>
  <c r="AL118" i="65" s="1"/>
  <c r="AY118" i="65" s="1"/>
  <c r="BL118" i="65" s="1"/>
  <c r="BY118" i="65" s="1"/>
  <c r="CL118" i="65" s="1"/>
  <c r="Y103" i="65"/>
  <c r="AL103" i="65" s="1"/>
  <c r="AY103" i="65" s="1"/>
  <c r="BL103" i="65" s="1"/>
  <c r="BY103" i="65" s="1"/>
  <c r="CL103" i="65" s="1"/>
  <c r="Y91" i="65"/>
  <c r="AL91" i="65" s="1"/>
  <c r="AY91" i="65" s="1"/>
  <c r="BL91" i="65" s="1"/>
  <c r="BY91" i="65" s="1"/>
  <c r="CL91" i="65" s="1"/>
  <c r="Y81" i="65"/>
  <c r="AL81" i="65" s="1"/>
  <c r="AY81" i="65" s="1"/>
  <c r="BL81" i="65" s="1"/>
  <c r="BY81" i="65" s="1"/>
  <c r="CL81" i="65" s="1"/>
  <c r="Y68" i="65"/>
  <c r="AL68" i="65" s="1"/>
  <c r="AY68" i="65" s="1"/>
  <c r="BL68" i="65" s="1"/>
  <c r="BY68" i="65" s="1"/>
  <c r="CL68" i="65" s="1"/>
  <c r="Y56" i="65"/>
  <c r="AL56" i="65" s="1"/>
  <c r="AY56" i="65" s="1"/>
  <c r="BL56" i="65" s="1"/>
  <c r="BY56" i="65" s="1"/>
  <c r="CL56" i="65" s="1"/>
  <c r="Y34" i="65"/>
  <c r="AL34" i="65" s="1"/>
  <c r="AY34" i="65" s="1"/>
  <c r="BL34" i="65" s="1"/>
  <c r="BY34" i="65" s="1"/>
  <c r="CL34" i="65" s="1"/>
  <c r="Y100" i="65"/>
  <c r="AL100" i="65" s="1"/>
  <c r="AY100" i="65" s="1"/>
  <c r="BL100" i="65" s="1"/>
  <c r="BY100" i="65" s="1"/>
  <c r="CL100" i="65" s="1"/>
  <c r="Y53" i="65"/>
  <c r="AL53" i="65" s="1"/>
  <c r="AY53" i="65" s="1"/>
  <c r="BL53" i="65" s="1"/>
  <c r="BY53" i="65" s="1"/>
  <c r="CL53" i="65" s="1"/>
  <c r="Y95" i="65"/>
  <c r="AL95" i="65" s="1"/>
  <c r="AY95" i="65" s="1"/>
  <c r="BL95" i="65" s="1"/>
  <c r="BY95" i="65" s="1"/>
  <c r="CL95" i="65" s="1"/>
  <c r="Y130" i="65"/>
  <c r="AL130" i="65" s="1"/>
  <c r="AY130" i="65" s="1"/>
  <c r="BL130" i="65" s="1"/>
  <c r="BY130" i="65" s="1"/>
  <c r="CL130" i="65" s="1"/>
  <c r="Y117" i="65"/>
  <c r="AL117" i="65" s="1"/>
  <c r="AY117" i="65" s="1"/>
  <c r="BL117" i="65" s="1"/>
  <c r="BY117" i="65" s="1"/>
  <c r="CL117" i="65" s="1"/>
  <c r="Y102" i="65"/>
  <c r="AL102" i="65" s="1"/>
  <c r="AY102" i="65" s="1"/>
  <c r="BL102" i="65" s="1"/>
  <c r="BY102" i="65" s="1"/>
  <c r="CL102" i="65" s="1"/>
  <c r="Y90" i="65"/>
  <c r="AL90" i="65" s="1"/>
  <c r="AY90" i="65" s="1"/>
  <c r="BL90" i="65" s="1"/>
  <c r="BY90" i="65" s="1"/>
  <c r="CL90" i="65" s="1"/>
  <c r="Y80" i="65"/>
  <c r="AL80" i="65" s="1"/>
  <c r="AY80" i="65" s="1"/>
  <c r="BL80" i="65" s="1"/>
  <c r="BY80" i="65" s="1"/>
  <c r="CL80" i="65" s="1"/>
  <c r="Y67" i="65"/>
  <c r="AL67" i="65" s="1"/>
  <c r="AY67" i="65" s="1"/>
  <c r="BL67" i="65" s="1"/>
  <c r="BY67" i="65" s="1"/>
  <c r="CL67" i="65" s="1"/>
  <c r="Y55" i="65"/>
  <c r="AL55" i="65" s="1"/>
  <c r="AY55" i="65" s="1"/>
  <c r="BL55" i="65" s="1"/>
  <c r="BY55" i="65" s="1"/>
  <c r="CL55" i="65" s="1"/>
  <c r="Y45" i="65"/>
  <c r="AL45" i="65" s="1"/>
  <c r="AY45" i="65" s="1"/>
  <c r="BL45" i="65" s="1"/>
  <c r="BY45" i="65" s="1"/>
  <c r="CL45" i="65" s="1"/>
  <c r="AL19" i="65"/>
  <c r="AY19" i="65" s="1"/>
  <c r="BL19" i="65" s="1"/>
  <c r="BY19" i="65" s="1"/>
  <c r="CL19" i="65" s="1"/>
  <c r="Y69" i="65"/>
  <c r="AL69" i="65" s="1"/>
  <c r="AY69" i="65" s="1"/>
  <c r="BL69" i="65" s="1"/>
  <c r="BY69" i="65" s="1"/>
  <c r="Y129" i="65"/>
  <c r="AL129" i="65" s="1"/>
  <c r="AY129" i="65" s="1"/>
  <c r="BL129" i="65" s="1"/>
  <c r="BY129" i="65" s="1"/>
  <c r="CL129" i="65" s="1"/>
  <c r="Y116" i="65"/>
  <c r="AL116" i="65" s="1"/>
  <c r="AY116" i="65" s="1"/>
  <c r="BL116" i="65" s="1"/>
  <c r="BY116" i="65" s="1"/>
  <c r="CL116" i="65" s="1"/>
  <c r="Y101" i="65"/>
  <c r="AL101" i="65" s="1"/>
  <c r="AY101" i="65" s="1"/>
  <c r="BL101" i="65" s="1"/>
  <c r="BY101" i="65" s="1"/>
  <c r="CL101" i="65" s="1"/>
  <c r="Y89" i="65"/>
  <c r="AL89" i="65" s="1"/>
  <c r="AY89" i="65" s="1"/>
  <c r="BL89" i="65" s="1"/>
  <c r="BY89" i="65" s="1"/>
  <c r="CL89" i="65" s="1"/>
  <c r="Y79" i="65"/>
  <c r="AL79" i="65" s="1"/>
  <c r="AY79" i="65" s="1"/>
  <c r="BL79" i="65" s="1"/>
  <c r="BY79" i="65" s="1"/>
  <c r="CL79" i="65" s="1"/>
  <c r="Y66" i="65"/>
  <c r="AL66" i="65" s="1"/>
  <c r="AY66" i="65" s="1"/>
  <c r="BL66" i="65" s="1"/>
  <c r="BY66" i="65" s="1"/>
  <c r="CL66" i="65" s="1"/>
  <c r="Y54" i="65"/>
  <c r="AL54" i="65" s="1"/>
  <c r="AY54" i="65" s="1"/>
  <c r="BL54" i="65" s="1"/>
  <c r="BY54" i="65" s="1"/>
  <c r="CL54" i="65" s="1"/>
  <c r="Y44" i="65"/>
  <c r="AL44" i="65" s="1"/>
  <c r="AY44" i="65" s="1"/>
  <c r="BL44" i="65" s="1"/>
  <c r="BY44" i="65" s="1"/>
  <c r="CL44" i="65" s="1"/>
  <c r="AL20" i="65"/>
  <c r="AY20" i="65" s="1"/>
  <c r="BL20" i="65" s="1"/>
  <c r="BY20" i="65" s="1"/>
  <c r="CL20" i="65" s="1"/>
  <c r="Y42" i="65"/>
  <c r="AL42" i="65" s="1"/>
  <c r="AY42" i="65" s="1"/>
  <c r="BL42" i="65" s="1"/>
  <c r="BY42" i="65" s="1"/>
  <c r="CL42" i="65" s="1"/>
  <c r="Y125" i="65"/>
  <c r="AL125" i="65" s="1"/>
  <c r="AY125" i="65" s="1"/>
  <c r="BL125" i="65" s="1"/>
  <c r="BY125" i="65" s="1"/>
  <c r="CL125" i="65" s="1"/>
  <c r="Y113" i="65"/>
  <c r="AL113" i="65" s="1"/>
  <c r="AY113" i="65" s="1"/>
  <c r="BL113" i="65" s="1"/>
  <c r="BY113" i="65" s="1"/>
  <c r="CL113" i="65" s="1"/>
  <c r="Y98" i="65"/>
  <c r="AL98" i="65" s="1"/>
  <c r="AY98" i="65" s="1"/>
  <c r="BL98" i="65" s="1"/>
  <c r="BY98" i="65" s="1"/>
  <c r="CL98" i="65" s="1"/>
  <c r="Y96" i="65"/>
  <c r="AL96" i="65" s="1"/>
  <c r="AY96" i="65" s="1"/>
  <c r="BL96" i="65" s="1"/>
  <c r="BY96" i="65" s="1"/>
  <c r="CL96" i="65" s="1"/>
  <c r="Y76" i="65"/>
  <c r="AL76" i="65" s="1"/>
  <c r="AY76" i="65" s="1"/>
  <c r="BL76" i="65" s="1"/>
  <c r="BY76" i="65" s="1"/>
  <c r="CL76" i="65" s="1"/>
  <c r="Y63" i="65"/>
  <c r="AL63" i="65" s="1"/>
  <c r="AY63" i="65" s="1"/>
  <c r="BL63" i="65" s="1"/>
  <c r="BY63" i="65" s="1"/>
  <c r="CL63" i="65" s="1"/>
  <c r="Y70" i="65"/>
  <c r="AL70" i="65" s="1"/>
  <c r="AY70" i="65" s="1"/>
  <c r="BL70" i="65" s="1"/>
  <c r="BY70" i="65" s="1"/>
  <c r="Y41" i="65"/>
  <c r="AL41" i="65" s="1"/>
  <c r="AY41" i="65" s="1"/>
  <c r="BL41" i="65" s="1"/>
  <c r="BY41" i="65" s="1"/>
  <c r="CL41" i="65" s="1"/>
  <c r="AL23" i="65"/>
  <c r="AY23" i="65" s="1"/>
  <c r="BL23" i="65" s="1"/>
  <c r="BY23" i="65" s="1"/>
  <c r="CL23" i="65" s="1"/>
  <c r="Y127" i="65"/>
  <c r="AL127" i="65" s="1"/>
  <c r="AY127" i="65" s="1"/>
  <c r="BL127" i="65" s="1"/>
  <c r="BY127" i="65" s="1"/>
  <c r="CL127" i="65" s="1"/>
  <c r="Y78" i="65"/>
  <c r="AL78" i="65" s="1"/>
  <c r="AY78" i="65" s="1"/>
  <c r="BL78" i="65" s="1"/>
  <c r="BY78" i="65" s="1"/>
  <c r="CL78" i="65" s="1"/>
  <c r="AL21" i="65"/>
  <c r="AY21" i="65" s="1"/>
  <c r="BL21" i="65" s="1"/>
  <c r="BY21" i="65" s="1"/>
  <c r="CL21" i="65" s="1"/>
  <c r="X128" i="65"/>
  <c r="AK128" i="65" s="1"/>
  <c r="AX128" i="65" s="1"/>
  <c r="BK128" i="65" s="1"/>
  <c r="BX128" i="65" s="1"/>
  <c r="CK128" i="65" s="1"/>
  <c r="X114" i="65"/>
  <c r="AK114" i="65" s="1"/>
  <c r="AX114" i="65" s="1"/>
  <c r="BK114" i="65" s="1"/>
  <c r="BX114" i="65" s="1"/>
  <c r="CK114" i="65" s="1"/>
  <c r="X104" i="65"/>
  <c r="AK104" i="65" s="1"/>
  <c r="AX104" i="65" s="1"/>
  <c r="BK104" i="65" s="1"/>
  <c r="BX104" i="65" s="1"/>
  <c r="CK104" i="65" s="1"/>
  <c r="X90" i="65"/>
  <c r="AK90" i="65" s="1"/>
  <c r="AX90" i="65" s="1"/>
  <c r="BK90" i="65" s="1"/>
  <c r="BX90" i="65" s="1"/>
  <c r="CK90" i="65" s="1"/>
  <c r="X79" i="65"/>
  <c r="AK79" i="65" s="1"/>
  <c r="AX79" i="65" s="1"/>
  <c r="BK79" i="65" s="1"/>
  <c r="BX79" i="65" s="1"/>
  <c r="CK79" i="65" s="1"/>
  <c r="X66" i="65"/>
  <c r="AK66" i="65" s="1"/>
  <c r="AX66" i="65" s="1"/>
  <c r="BK66" i="65" s="1"/>
  <c r="BX66" i="65" s="1"/>
  <c r="CK66" i="65" s="1"/>
  <c r="X56" i="65"/>
  <c r="AK56" i="65" s="1"/>
  <c r="AX56" i="65" s="1"/>
  <c r="BK56" i="65" s="1"/>
  <c r="BX56" i="65" s="1"/>
  <c r="CK56" i="65" s="1"/>
  <c r="X44" i="65"/>
  <c r="AK44" i="65" s="1"/>
  <c r="AX44" i="65" s="1"/>
  <c r="BK44" i="65" s="1"/>
  <c r="X32" i="65"/>
  <c r="AK32" i="65" s="1"/>
  <c r="AX32" i="65" s="1"/>
  <c r="BK32" i="65" s="1"/>
  <c r="BX32" i="65" s="1"/>
  <c r="CK32" i="65" s="1"/>
  <c r="AK26" i="65"/>
  <c r="AX26" i="65" s="1"/>
  <c r="BK26" i="65" s="1"/>
  <c r="BX26" i="65" s="1"/>
  <c r="CK26" i="65" s="1"/>
  <c r="X124" i="65"/>
  <c r="AK124" i="65" s="1"/>
  <c r="AX124" i="65" s="1"/>
  <c r="BK124" i="65" s="1"/>
  <c r="BX124" i="65" s="1"/>
  <c r="CK124" i="65" s="1"/>
  <c r="X110" i="65"/>
  <c r="AK110" i="65" s="1"/>
  <c r="AX110" i="65" s="1"/>
  <c r="BK110" i="65" s="1"/>
  <c r="BX110" i="65" s="1"/>
  <c r="CK110" i="65" s="1"/>
  <c r="X100" i="65"/>
  <c r="AK100" i="65" s="1"/>
  <c r="AX100" i="65" s="1"/>
  <c r="BK100" i="65" s="1"/>
  <c r="BX100" i="65" s="1"/>
  <c r="CK100" i="65" s="1"/>
  <c r="X88" i="65"/>
  <c r="AK88" i="65" s="1"/>
  <c r="AX88" i="65" s="1"/>
  <c r="BK88" i="65" s="1"/>
  <c r="BX88" i="65" s="1"/>
  <c r="CK88" i="65" s="1"/>
  <c r="X75" i="65"/>
  <c r="AK75" i="65" s="1"/>
  <c r="AX75" i="65" s="1"/>
  <c r="BK75" i="65" s="1"/>
  <c r="BX75" i="65" s="1"/>
  <c r="CK75" i="65" s="1"/>
  <c r="X62" i="65"/>
  <c r="AK62" i="65" s="1"/>
  <c r="AX62" i="65" s="1"/>
  <c r="BK62" i="65" s="1"/>
  <c r="X52" i="65"/>
  <c r="AK52" i="65" s="1"/>
  <c r="AX52" i="65" s="1"/>
  <c r="BK52" i="65" s="1"/>
  <c r="BX52" i="65" s="1"/>
  <c r="CK52" i="65" s="1"/>
  <c r="X40" i="65"/>
  <c r="AK40" i="65" s="1"/>
  <c r="AX40" i="65" s="1"/>
  <c r="BK40" i="65" s="1"/>
  <c r="BX40" i="65" s="1"/>
  <c r="CK40" i="65" s="1"/>
  <c r="AK28" i="65"/>
  <c r="AX28" i="65" s="1"/>
  <c r="BK28" i="65" s="1"/>
  <c r="BX28" i="65" s="1"/>
  <c r="CK28" i="65" s="1"/>
  <c r="X123" i="65"/>
  <c r="AK123" i="65" s="1"/>
  <c r="AX123" i="65" s="1"/>
  <c r="BK123" i="65" s="1"/>
  <c r="BX123" i="65" s="1"/>
  <c r="CK123" i="65" s="1"/>
  <c r="X108" i="65"/>
  <c r="AK108" i="65" s="1"/>
  <c r="AX108" i="65" s="1"/>
  <c r="BK108" i="65" s="1"/>
  <c r="BX108" i="65" s="1"/>
  <c r="CK108" i="65" s="1"/>
  <c r="X99" i="65"/>
  <c r="AK99" i="65" s="1"/>
  <c r="AX99" i="65" s="1"/>
  <c r="BK99" i="65" s="1"/>
  <c r="BX99" i="65" s="1"/>
  <c r="CK99" i="65" s="1"/>
  <c r="X87" i="65"/>
  <c r="AK87" i="65" s="1"/>
  <c r="AX87" i="65" s="1"/>
  <c r="BK87" i="65" s="1"/>
  <c r="BX87" i="65" s="1"/>
  <c r="CK87" i="65" s="1"/>
  <c r="X74" i="65"/>
  <c r="AK74" i="65" s="1"/>
  <c r="AX74" i="65" s="1"/>
  <c r="BK74" i="65" s="1"/>
  <c r="BX74" i="65" s="1"/>
  <c r="CK74" i="65" s="1"/>
  <c r="X61" i="65"/>
  <c r="AK61" i="65" s="1"/>
  <c r="AX61" i="65" s="1"/>
  <c r="BK61" i="65" s="1"/>
  <c r="BX61" i="65" s="1"/>
  <c r="CK61" i="65" s="1"/>
  <c r="X51" i="65"/>
  <c r="AK51" i="65" s="1"/>
  <c r="AX51" i="65" s="1"/>
  <c r="BK51" i="65" s="1"/>
  <c r="BX51" i="65" s="1"/>
  <c r="CK51" i="65" s="1"/>
  <c r="X39" i="65"/>
  <c r="AK39" i="65" s="1"/>
  <c r="AX39" i="65" s="1"/>
  <c r="BK39" i="65" s="1"/>
  <c r="BX39" i="65" s="1"/>
  <c r="CK39" i="65" s="1"/>
  <c r="AK19" i="65"/>
  <c r="AX19" i="65" s="1"/>
  <c r="BK19" i="65" s="1"/>
  <c r="BX19" i="65" s="1"/>
  <c r="CK19" i="65" s="1"/>
  <c r="X122" i="65"/>
  <c r="AK122" i="65" s="1"/>
  <c r="AX122" i="65" s="1"/>
  <c r="BK122" i="65" s="1"/>
  <c r="BX122" i="65" s="1"/>
  <c r="CK122" i="65" s="1"/>
  <c r="X113" i="65"/>
  <c r="AK113" i="65" s="1"/>
  <c r="AX113" i="65" s="1"/>
  <c r="BK113" i="65" s="1"/>
  <c r="BX113" i="65" s="1"/>
  <c r="CK113" i="65" s="1"/>
  <c r="X98" i="65"/>
  <c r="AK98" i="65" s="1"/>
  <c r="AX98" i="65" s="1"/>
  <c r="BK98" i="65" s="1"/>
  <c r="BX98" i="65" s="1"/>
  <c r="CK98" i="65" s="1"/>
  <c r="X86" i="65"/>
  <c r="AK86" i="65" s="1"/>
  <c r="AX86" i="65" s="1"/>
  <c r="BK86" i="65" s="1"/>
  <c r="BX86" i="65" s="1"/>
  <c r="CK86" i="65" s="1"/>
  <c r="X73" i="65"/>
  <c r="AK73" i="65" s="1"/>
  <c r="AX73" i="65" s="1"/>
  <c r="BK73" i="65" s="1"/>
  <c r="BX73" i="65" s="1"/>
  <c r="CK73" i="65" s="1"/>
  <c r="X60" i="65"/>
  <c r="AK60" i="65" s="1"/>
  <c r="AX60" i="65" s="1"/>
  <c r="BK60" i="65" s="1"/>
  <c r="BX60" i="65" s="1"/>
  <c r="CK60" i="65" s="1"/>
  <c r="X50" i="65"/>
  <c r="AK50" i="65" s="1"/>
  <c r="AX50" i="65" s="1"/>
  <c r="BK50" i="65" s="1"/>
  <c r="BX50" i="65" s="1"/>
  <c r="CK50" i="65" s="1"/>
  <c r="X38" i="65"/>
  <c r="AK38" i="65" s="1"/>
  <c r="AX38" i="65" s="1"/>
  <c r="BK38" i="65" s="1"/>
  <c r="BX38" i="65" s="1"/>
  <c r="CK38" i="65" s="1"/>
  <c r="AK20" i="65"/>
  <c r="AX20" i="65" s="1"/>
  <c r="BK20" i="65" s="1"/>
  <c r="BX20" i="65" s="1"/>
  <c r="CK20" i="65" s="1"/>
  <c r="X129" i="65"/>
  <c r="AK129" i="65" s="1"/>
  <c r="AX129" i="65" s="1"/>
  <c r="BK129" i="65" s="1"/>
  <c r="BX129" i="65" s="1"/>
  <c r="CK129" i="65" s="1"/>
  <c r="X115" i="65"/>
  <c r="AK115" i="65" s="1"/>
  <c r="AX115" i="65" s="1"/>
  <c r="BK115" i="65" s="1"/>
  <c r="BX115" i="65" s="1"/>
  <c r="CK115" i="65" s="1"/>
  <c r="X105" i="65"/>
  <c r="AK105" i="65" s="1"/>
  <c r="AX105" i="65" s="1"/>
  <c r="BK105" i="65" s="1"/>
  <c r="BX105" i="65" s="1"/>
  <c r="CK105" i="65" s="1"/>
  <c r="X91" i="65"/>
  <c r="AK91" i="65" s="1"/>
  <c r="AX91" i="65" s="1"/>
  <c r="BK91" i="65" s="1"/>
  <c r="BX91" i="65" s="1"/>
  <c r="CK91" i="65" s="1"/>
  <c r="X80" i="65"/>
  <c r="AK80" i="65" s="1"/>
  <c r="AX80" i="65" s="1"/>
  <c r="BK80" i="65" s="1"/>
  <c r="BX80" i="65" s="1"/>
  <c r="CK80" i="65" s="1"/>
  <c r="X67" i="65"/>
  <c r="AK67" i="65" s="1"/>
  <c r="AX67" i="65" s="1"/>
  <c r="BK67" i="65" s="1"/>
  <c r="BX67" i="65" s="1"/>
  <c r="CK67" i="65" s="1"/>
  <c r="X57" i="65"/>
  <c r="AK57" i="65" s="1"/>
  <c r="AX57" i="65" s="1"/>
  <c r="BK57" i="65" s="1"/>
  <c r="BX57" i="65" s="1"/>
  <c r="CK57" i="65" s="1"/>
  <c r="X45" i="65"/>
  <c r="AK45" i="65" s="1"/>
  <c r="AX45" i="65" s="1"/>
  <c r="BK45" i="65" s="1"/>
  <c r="X33" i="65"/>
  <c r="AK33" i="65" s="1"/>
  <c r="AX33" i="65" s="1"/>
  <c r="BK33" i="65" s="1"/>
  <c r="BX33" i="65" s="1"/>
  <c r="CK33" i="65" s="1"/>
  <c r="AK25" i="65"/>
  <c r="AX25" i="65" s="1"/>
  <c r="BK25" i="65" s="1"/>
  <c r="BX25" i="65" s="1"/>
  <c r="CK25" i="65" s="1"/>
  <c r="X126" i="65"/>
  <c r="AK126" i="65" s="1"/>
  <c r="AX126" i="65" s="1"/>
  <c r="BK126" i="65" s="1"/>
  <c r="BX126" i="65" s="1"/>
  <c r="CK126" i="65" s="1"/>
  <c r="X106" i="65"/>
  <c r="AK106" i="65" s="1"/>
  <c r="AX106" i="65" s="1"/>
  <c r="BK106" i="65" s="1"/>
  <c r="BX106" i="65" s="1"/>
  <c r="CK106" i="65" s="1"/>
  <c r="X84" i="65"/>
  <c r="AK84" i="65" s="1"/>
  <c r="AX84" i="65" s="1"/>
  <c r="BK84" i="65" s="1"/>
  <c r="BX84" i="65" s="1"/>
  <c r="CK84" i="65" s="1"/>
  <c r="X63" i="65"/>
  <c r="AK63" i="65" s="1"/>
  <c r="AX63" i="65" s="1"/>
  <c r="BK63" i="65" s="1"/>
  <c r="BX63" i="65" s="1"/>
  <c r="CK63" i="65" s="1"/>
  <c r="X43" i="65"/>
  <c r="AK43" i="65" s="1"/>
  <c r="AX43" i="65" s="1"/>
  <c r="BK43" i="65" s="1"/>
  <c r="AK23" i="65"/>
  <c r="AX23" i="65" s="1"/>
  <c r="BK23" i="65" s="1"/>
  <c r="BX23" i="65" s="1"/>
  <c r="CK23" i="65" s="1"/>
  <c r="X94" i="65"/>
  <c r="AK94" i="65" s="1"/>
  <c r="AX94" i="65" s="1"/>
  <c r="BK94" i="65" s="1"/>
  <c r="BX94" i="65" s="1"/>
  <c r="CK94" i="65" s="1"/>
  <c r="AK29" i="65"/>
  <c r="AX29" i="65" s="1"/>
  <c r="BK29" i="65" s="1"/>
  <c r="BX29" i="65" s="1"/>
  <c r="CK29" i="65" s="1"/>
  <c r="X125" i="65"/>
  <c r="AK125" i="65" s="1"/>
  <c r="AX125" i="65" s="1"/>
  <c r="BK125" i="65" s="1"/>
  <c r="BX125" i="65" s="1"/>
  <c r="CK125" i="65" s="1"/>
  <c r="X103" i="65"/>
  <c r="AK103" i="65" s="1"/>
  <c r="AX103" i="65" s="1"/>
  <c r="BK103" i="65" s="1"/>
  <c r="BX103" i="65" s="1"/>
  <c r="CK103" i="65" s="1"/>
  <c r="X83" i="65"/>
  <c r="AK83" i="65" s="1"/>
  <c r="AX83" i="65" s="1"/>
  <c r="BK83" i="65" s="1"/>
  <c r="BX83" i="65" s="1"/>
  <c r="CK83" i="65" s="1"/>
  <c r="X59" i="65"/>
  <c r="AK59" i="65" s="1"/>
  <c r="AX59" i="65" s="1"/>
  <c r="BK59" i="65" s="1"/>
  <c r="BX59" i="65" s="1"/>
  <c r="CK59" i="65" s="1"/>
  <c r="X42" i="65"/>
  <c r="AK42" i="65" s="1"/>
  <c r="AX42" i="65" s="1"/>
  <c r="BK42" i="65" s="1"/>
  <c r="AK24" i="65"/>
  <c r="AX24" i="65" s="1"/>
  <c r="BK24" i="65" s="1"/>
  <c r="BX24" i="65" s="1"/>
  <c r="CK24" i="65" s="1"/>
  <c r="X109" i="65"/>
  <c r="AK109" i="65" s="1"/>
  <c r="AX109" i="65" s="1"/>
  <c r="BK109" i="65" s="1"/>
  <c r="BX109" i="65" s="1"/>
  <c r="CK109" i="65" s="1"/>
  <c r="X121" i="65"/>
  <c r="AK121" i="65" s="1"/>
  <c r="AX121" i="65" s="1"/>
  <c r="BK121" i="65" s="1"/>
  <c r="BX121" i="65" s="1"/>
  <c r="CK121" i="65" s="1"/>
  <c r="X102" i="65"/>
  <c r="AK102" i="65" s="1"/>
  <c r="AX102" i="65" s="1"/>
  <c r="BK102" i="65" s="1"/>
  <c r="BX102" i="65" s="1"/>
  <c r="CK102" i="65" s="1"/>
  <c r="X81" i="65"/>
  <c r="AK81" i="65" s="1"/>
  <c r="AX81" i="65" s="1"/>
  <c r="BK81" i="65" s="1"/>
  <c r="BX81" i="65" s="1"/>
  <c r="CK81" i="65" s="1"/>
  <c r="X58" i="65"/>
  <c r="AK58" i="65" s="1"/>
  <c r="AX58" i="65" s="1"/>
  <c r="BK58" i="65" s="1"/>
  <c r="BX58" i="65" s="1"/>
  <c r="CK58" i="65" s="1"/>
  <c r="X41" i="65"/>
  <c r="AK41" i="65" s="1"/>
  <c r="AX41" i="65" s="1"/>
  <c r="BK41" i="65" s="1"/>
  <c r="AK27" i="65"/>
  <c r="AX27" i="65" s="1"/>
  <c r="BK27" i="65" s="1"/>
  <c r="BX27" i="65" s="1"/>
  <c r="CK27" i="65" s="1"/>
  <c r="X95" i="65"/>
  <c r="AK95" i="65" s="1"/>
  <c r="AX95" i="65" s="1"/>
  <c r="BK95" i="65" s="1"/>
  <c r="BX95" i="65" s="1"/>
  <c r="CK95" i="65" s="1"/>
  <c r="X118" i="65"/>
  <c r="AK118" i="65" s="1"/>
  <c r="AX118" i="65" s="1"/>
  <c r="BK118" i="65" s="1"/>
  <c r="BX118" i="65" s="1"/>
  <c r="CK118" i="65" s="1"/>
  <c r="X101" i="65"/>
  <c r="AK101" i="65" s="1"/>
  <c r="AX101" i="65" s="1"/>
  <c r="BK101" i="65" s="1"/>
  <c r="BX101" i="65" s="1"/>
  <c r="CK101" i="65" s="1"/>
  <c r="X78" i="65"/>
  <c r="AK78" i="65" s="1"/>
  <c r="AX78" i="65" s="1"/>
  <c r="BK78" i="65" s="1"/>
  <c r="BX78" i="65" s="1"/>
  <c r="CK78" i="65" s="1"/>
  <c r="X69" i="65"/>
  <c r="AK69" i="65" s="1"/>
  <c r="AX69" i="65" s="1"/>
  <c r="BK69" i="65" s="1"/>
  <c r="X37" i="65"/>
  <c r="AK37" i="65" s="1"/>
  <c r="AX37" i="65" s="1"/>
  <c r="BK37" i="65" s="1"/>
  <c r="BX37" i="65" s="1"/>
  <c r="CK37" i="65" s="1"/>
  <c r="X117" i="65"/>
  <c r="AK117" i="65" s="1"/>
  <c r="AX117" i="65" s="1"/>
  <c r="BK117" i="65" s="1"/>
  <c r="BX117" i="65" s="1"/>
  <c r="CK117" i="65" s="1"/>
  <c r="X97" i="65"/>
  <c r="AK97" i="65" s="1"/>
  <c r="AX97" i="65" s="1"/>
  <c r="BK97" i="65" s="1"/>
  <c r="BX97" i="65" s="1"/>
  <c r="CK97" i="65" s="1"/>
  <c r="X77" i="65"/>
  <c r="AK77" i="65" s="1"/>
  <c r="AX77" i="65" s="1"/>
  <c r="BK77" i="65" s="1"/>
  <c r="BX77" i="65" s="1"/>
  <c r="CK77" i="65" s="1"/>
  <c r="X70" i="65"/>
  <c r="AK70" i="65" s="1"/>
  <c r="AX70" i="65" s="1"/>
  <c r="BK70" i="65" s="1"/>
  <c r="BX70" i="65" s="1"/>
  <c r="CK70" i="65" s="1"/>
  <c r="X36" i="65"/>
  <c r="AK36" i="65" s="1"/>
  <c r="AX36" i="65" s="1"/>
  <c r="BK36" i="65" s="1"/>
  <c r="BX36" i="65" s="1"/>
  <c r="CK36" i="65" s="1"/>
  <c r="X116" i="65"/>
  <c r="AK116" i="65" s="1"/>
  <c r="AX116" i="65" s="1"/>
  <c r="BK116" i="65" s="1"/>
  <c r="BX116" i="65" s="1"/>
  <c r="CK116" i="65" s="1"/>
  <c r="X96" i="65"/>
  <c r="AK96" i="65" s="1"/>
  <c r="AX96" i="65" s="1"/>
  <c r="BK96" i="65" s="1"/>
  <c r="BX96" i="65" s="1"/>
  <c r="CK96" i="65" s="1"/>
  <c r="X76" i="65"/>
  <c r="AK76" i="65" s="1"/>
  <c r="AX76" i="65" s="1"/>
  <c r="BK76" i="65" s="1"/>
  <c r="BX76" i="65" s="1"/>
  <c r="CK76" i="65" s="1"/>
  <c r="X54" i="65"/>
  <c r="AK54" i="65" s="1"/>
  <c r="AX54" i="65" s="1"/>
  <c r="BK54" i="65" s="1"/>
  <c r="BX54" i="65" s="1"/>
  <c r="CK54" i="65" s="1"/>
  <c r="X35" i="65"/>
  <c r="AK35" i="65" s="1"/>
  <c r="AX35" i="65" s="1"/>
  <c r="BK35" i="65" s="1"/>
  <c r="BX35" i="65" s="1"/>
  <c r="CK35" i="65" s="1"/>
  <c r="X131" i="65"/>
  <c r="AK131" i="65" s="1"/>
  <c r="AX131" i="65" s="1"/>
  <c r="BK131" i="65" s="1"/>
  <c r="BX131" i="65" s="1"/>
  <c r="CK131" i="65" s="1"/>
  <c r="X68" i="65"/>
  <c r="AK68" i="65" s="1"/>
  <c r="AX68" i="65" s="1"/>
  <c r="BK68" i="65" s="1"/>
  <c r="BX68" i="65" s="1"/>
  <c r="CK68" i="65" s="1"/>
  <c r="X130" i="65"/>
  <c r="AK130" i="65" s="1"/>
  <c r="AX130" i="65" s="1"/>
  <c r="BK130" i="65" s="1"/>
  <c r="BX130" i="65" s="1"/>
  <c r="CK130" i="65" s="1"/>
  <c r="X120" i="65"/>
  <c r="AK120" i="65" s="1"/>
  <c r="AX120" i="65" s="1"/>
  <c r="BK120" i="65" s="1"/>
  <c r="BX120" i="65" s="1"/>
  <c r="CK120" i="65" s="1"/>
  <c r="X93" i="65"/>
  <c r="AK93" i="65" s="1"/>
  <c r="AX93" i="65" s="1"/>
  <c r="BK93" i="65" s="1"/>
  <c r="BX93" i="65" s="1"/>
  <c r="CK93" i="65" s="1"/>
  <c r="X72" i="65"/>
  <c r="AK72" i="65" s="1"/>
  <c r="AX72" i="65" s="1"/>
  <c r="BK72" i="65" s="1"/>
  <c r="BX72" i="65" s="1"/>
  <c r="CK72" i="65" s="1"/>
  <c r="X53" i="65"/>
  <c r="AK53" i="65" s="1"/>
  <c r="AX53" i="65" s="1"/>
  <c r="BK53" i="65" s="1"/>
  <c r="BX53" i="65" s="1"/>
  <c r="CK53" i="65" s="1"/>
  <c r="X34" i="65"/>
  <c r="AK34" i="65" s="1"/>
  <c r="AX34" i="65" s="1"/>
  <c r="BK34" i="65" s="1"/>
  <c r="BX34" i="65" s="1"/>
  <c r="CK34" i="65" s="1"/>
  <c r="X48" i="65"/>
  <c r="AK48" i="65" s="1"/>
  <c r="AX48" i="65" s="1"/>
  <c r="BK48" i="65" s="1"/>
  <c r="BX48" i="65" s="1"/>
  <c r="CK48" i="65" s="1"/>
  <c r="X119" i="65"/>
  <c r="AK119" i="65" s="1"/>
  <c r="AX119" i="65" s="1"/>
  <c r="BK119" i="65" s="1"/>
  <c r="BX119" i="65" s="1"/>
  <c r="CK119" i="65" s="1"/>
  <c r="X92" i="65"/>
  <c r="AK92" i="65" s="1"/>
  <c r="AX92" i="65" s="1"/>
  <c r="BK92" i="65" s="1"/>
  <c r="BX92" i="65" s="1"/>
  <c r="CK92" i="65" s="1"/>
  <c r="X82" i="65"/>
  <c r="AK82" i="65" s="1"/>
  <c r="AX82" i="65" s="1"/>
  <c r="BK82" i="65" s="1"/>
  <c r="BX82" i="65" s="1"/>
  <c r="CK82" i="65" s="1"/>
  <c r="X55" i="65"/>
  <c r="AK55" i="65" s="1"/>
  <c r="AX55" i="65" s="1"/>
  <c r="BK55" i="65" s="1"/>
  <c r="BX55" i="65" s="1"/>
  <c r="CK55" i="65" s="1"/>
  <c r="X31" i="65"/>
  <c r="AK31" i="65" s="1"/>
  <c r="AX31" i="65" s="1"/>
  <c r="BK31" i="65" s="1"/>
  <c r="BX31" i="65" s="1"/>
  <c r="CK31" i="65" s="1"/>
  <c r="X47" i="65"/>
  <c r="AK47" i="65" s="1"/>
  <c r="AX47" i="65" s="1"/>
  <c r="BK47" i="65" s="1"/>
  <c r="BX47" i="65" s="1"/>
  <c r="CK47" i="65" s="1"/>
  <c r="X132" i="65"/>
  <c r="AK132" i="65" s="1"/>
  <c r="AX132" i="65" s="1"/>
  <c r="BK132" i="65" s="1"/>
  <c r="BX132" i="65" s="1"/>
  <c r="CK132" i="65" s="1"/>
  <c r="X112" i="65"/>
  <c r="AK112" i="65" s="1"/>
  <c r="AX112" i="65" s="1"/>
  <c r="BK112" i="65" s="1"/>
  <c r="BX112" i="65" s="1"/>
  <c r="CK112" i="65" s="1"/>
  <c r="X89" i="65"/>
  <c r="AK89" i="65" s="1"/>
  <c r="AX89" i="65" s="1"/>
  <c r="BK89" i="65" s="1"/>
  <c r="BX89" i="65" s="1"/>
  <c r="CK89" i="65" s="1"/>
  <c r="X71" i="65"/>
  <c r="AK71" i="65" s="1"/>
  <c r="AX71" i="65" s="1"/>
  <c r="BK71" i="65" s="1"/>
  <c r="X49" i="65"/>
  <c r="AK49" i="65" s="1"/>
  <c r="AX49" i="65" s="1"/>
  <c r="BK49" i="65" s="1"/>
  <c r="BX49" i="65" s="1"/>
  <c r="CK49" i="65" s="1"/>
  <c r="X30" i="65"/>
  <c r="AK30" i="65" s="1"/>
  <c r="AX30" i="65" s="1"/>
  <c r="BK30" i="65" s="1"/>
  <c r="BX30" i="65" s="1"/>
  <c r="CK30" i="65" s="1"/>
  <c r="X65" i="65"/>
  <c r="AK65" i="65" s="1"/>
  <c r="AX65" i="65" s="1"/>
  <c r="BK65" i="65" s="1"/>
  <c r="BX65" i="65" s="1"/>
  <c r="CK65" i="65" s="1"/>
  <c r="X127" i="65"/>
  <c r="AK127" i="65" s="1"/>
  <c r="AX127" i="65" s="1"/>
  <c r="BK127" i="65" s="1"/>
  <c r="BX127" i="65" s="1"/>
  <c r="CK127" i="65" s="1"/>
  <c r="X107" i="65"/>
  <c r="AK107" i="65" s="1"/>
  <c r="AX107" i="65" s="1"/>
  <c r="BK107" i="65" s="1"/>
  <c r="BX107" i="65" s="1"/>
  <c r="CK107" i="65" s="1"/>
  <c r="X85" i="65"/>
  <c r="AK85" i="65" s="1"/>
  <c r="AX85" i="65" s="1"/>
  <c r="BK85" i="65" s="1"/>
  <c r="BX85" i="65" s="1"/>
  <c r="CK85" i="65" s="1"/>
  <c r="X64" i="65"/>
  <c r="AK64" i="65" s="1"/>
  <c r="AX64" i="65" s="1"/>
  <c r="BK64" i="65" s="1"/>
  <c r="BX64" i="65" s="1"/>
  <c r="CK64" i="65" s="1"/>
  <c r="X46" i="65"/>
  <c r="AK46" i="65" s="1"/>
  <c r="AX46" i="65" s="1"/>
  <c r="BK46" i="65" s="1"/>
  <c r="BX46" i="65" s="1"/>
  <c r="CK46" i="65" s="1"/>
  <c r="AK22" i="65"/>
  <c r="AX22" i="65" s="1"/>
  <c r="BK22" i="65" s="1"/>
  <c r="BX22" i="65" s="1"/>
  <c r="CK22" i="65" s="1"/>
  <c r="X111" i="65"/>
  <c r="AK111" i="65" s="1"/>
  <c r="AX111" i="65" s="1"/>
  <c r="BK111" i="65" s="1"/>
  <c r="BX111" i="65" s="1"/>
  <c r="CK111" i="65" s="1"/>
  <c r="AK21" i="65"/>
  <c r="AX21" i="65" s="1"/>
  <c r="BK21" i="65" s="1"/>
  <c r="BX21" i="65" s="1"/>
  <c r="CK21" i="65" s="1"/>
  <c r="Q14" i="53"/>
  <c r="BL18" i="8"/>
  <c r="M18" i="30" s="1"/>
  <c r="M18" i="53"/>
  <c r="BQ18" i="65" s="1"/>
  <c r="G20" i="30"/>
  <c r="N20" i="30" s="1"/>
  <c r="AA20" i="6"/>
  <c r="AH20" i="6" s="1"/>
  <c r="E16" i="53"/>
  <c r="F15" i="53"/>
  <c r="B19" i="30"/>
  <c r="AP15" i="53"/>
  <c r="AQ15" i="53" s="1"/>
  <c r="H18" i="30"/>
  <c r="AB18" i="30" s="1"/>
  <c r="C19" i="30"/>
  <c r="AG19" i="7"/>
  <c r="H17" i="53" s="1"/>
  <c r="AH10" i="30"/>
  <c r="AI10" i="30" s="1"/>
  <c r="D16" i="53"/>
  <c r="AL18" i="6"/>
  <c r="AI18" i="6"/>
  <c r="G16" i="53" s="1"/>
  <c r="AK18" i="6"/>
  <c r="AH18" i="6"/>
  <c r="AH14" i="30"/>
  <c r="AI14" i="30" s="1"/>
  <c r="K17" i="53"/>
  <c r="L17" i="53" s="1"/>
  <c r="K18" i="53"/>
  <c r="L18" i="53" s="1"/>
  <c r="D18" i="53"/>
  <c r="C17" i="53"/>
  <c r="I19" i="30"/>
  <c r="BK20" i="8"/>
  <c r="L20" i="30" s="1"/>
  <c r="BK19" i="8"/>
  <c r="L19" i="30" s="1"/>
  <c r="AF16" i="30"/>
  <c r="AG16" i="30" s="1"/>
  <c r="AG15" i="30"/>
  <c r="AI9" i="30"/>
  <c r="AJ9" i="30" s="1"/>
  <c r="AG12" i="30"/>
  <c r="O20" i="30"/>
  <c r="AG13" i="30"/>
  <c r="H34" i="36"/>
  <c r="I20" i="37"/>
  <c r="AB20" i="37" s="1"/>
  <c r="L14" i="37"/>
  <c r="H47" i="41"/>
  <c r="J47" i="41" s="1"/>
  <c r="H44" i="41"/>
  <c r="J44" i="41" s="1"/>
  <c r="H46" i="36"/>
  <c r="L62" i="37"/>
  <c r="I68" i="37"/>
  <c r="AB68" i="37" s="1"/>
  <c r="L58" i="37"/>
  <c r="I64" i="37"/>
  <c r="AB64" i="37" s="1"/>
  <c r="Q15" i="53" l="1"/>
  <c r="BX41" i="65"/>
  <c r="CK41" i="65" s="1"/>
  <c r="BX43" i="65"/>
  <c r="CK43" i="65" s="1"/>
  <c r="BX42" i="65"/>
  <c r="CK42" i="65" s="1"/>
  <c r="BX45" i="65"/>
  <c r="CK45" i="65" s="1"/>
  <c r="BU44" i="65"/>
  <c r="CH44" i="65" s="1"/>
  <c r="BX44" i="65"/>
  <c r="CK44" i="65" s="1"/>
  <c r="BZ62" i="65"/>
  <c r="CM62" i="65" s="1"/>
  <c r="BY62" i="65"/>
  <c r="CL62" i="65" s="1"/>
  <c r="BX62" i="65"/>
  <c r="CK62" i="65" s="1"/>
  <c r="BW62" i="65"/>
  <c r="CJ62" i="65" s="1"/>
  <c r="BV62" i="65"/>
  <c r="CI62" i="65" s="1"/>
  <c r="K6" i="65"/>
  <c r="C18" i="40" s="1"/>
  <c r="AA18" i="40" s="1"/>
  <c r="L6" i="65"/>
  <c r="D18" i="40" s="1"/>
  <c r="I6" i="65"/>
  <c r="C18" i="37" s="1"/>
  <c r="AA18" i="37" s="1"/>
  <c r="C6" i="65"/>
  <c r="B10" i="33" s="1"/>
  <c r="V10" i="33" s="1"/>
  <c r="E6" i="65"/>
  <c r="B10" i="38" s="1"/>
  <c r="W10" i="38" s="1"/>
  <c r="N6" i="65"/>
  <c r="C28" i="36" s="1"/>
  <c r="W28" i="36" s="1"/>
  <c r="G6" i="65"/>
  <c r="B10" i="39" s="1"/>
  <c r="W10" i="39" s="1"/>
  <c r="P6" i="65"/>
  <c r="C16" i="41" s="1"/>
  <c r="W16" i="41" s="1"/>
  <c r="H6" i="65"/>
  <c r="C10" i="39" s="1"/>
  <c r="F6" i="65"/>
  <c r="C10" i="38" s="1"/>
  <c r="J11" i="38" s="1"/>
  <c r="D6" i="65"/>
  <c r="C10" i="33" s="1"/>
  <c r="M6" i="65"/>
  <c r="B28" i="36" s="1"/>
  <c r="J6" i="65"/>
  <c r="D18" i="37" s="1"/>
  <c r="O6" i="65"/>
  <c r="B16" i="41" s="1"/>
  <c r="BT62" i="65"/>
  <c r="CG62" i="65" s="1"/>
  <c r="E4" i="65"/>
  <c r="B6" i="38" s="1"/>
  <c r="W6" i="38" s="1"/>
  <c r="D4" i="65"/>
  <c r="C6" i="33" s="1"/>
  <c r="N4" i="65"/>
  <c r="C6" i="36" s="1"/>
  <c r="W6" i="36" s="1"/>
  <c r="P4" i="65"/>
  <c r="C6" i="41" s="1"/>
  <c r="W6" i="41" s="1"/>
  <c r="O4" i="65"/>
  <c r="B6" i="41" s="1"/>
  <c r="J4" i="65"/>
  <c r="D6" i="37" s="1"/>
  <c r="C4" i="65"/>
  <c r="B6" i="33" s="1"/>
  <c r="V6" i="33" s="1"/>
  <c r="G4" i="65"/>
  <c r="B6" i="39" s="1"/>
  <c r="J7" i="39" s="1"/>
  <c r="M4" i="65"/>
  <c r="B6" i="36" s="1"/>
  <c r="C14" i="36" s="1"/>
  <c r="W14" i="36" s="1"/>
  <c r="H4" i="65"/>
  <c r="C6" i="39" s="1"/>
  <c r="L4" i="65"/>
  <c r="D6" i="40" s="1"/>
  <c r="I4" i="65"/>
  <c r="C6" i="37" s="1"/>
  <c r="AA6" i="37" s="1"/>
  <c r="K4" i="65"/>
  <c r="C6" i="40" s="1"/>
  <c r="AA6" i="40" s="1"/>
  <c r="F4" i="65"/>
  <c r="C6" i="38" s="1"/>
  <c r="BZ18" i="65"/>
  <c r="BZ44" i="65" s="1"/>
  <c r="CM44" i="65" s="1"/>
  <c r="K64" i="37"/>
  <c r="AD58" i="37"/>
  <c r="K62" i="37"/>
  <c r="AD62" i="37" s="1"/>
  <c r="AD56" i="37"/>
  <c r="BY52" i="65"/>
  <c r="CL52" i="65" s="1"/>
  <c r="BZ50" i="65"/>
  <c r="CM50" i="65" s="1"/>
  <c r="BZ55" i="65"/>
  <c r="CM55" i="65" s="1"/>
  <c r="BZ51" i="65"/>
  <c r="CM51" i="65" s="1"/>
  <c r="BZ54" i="65"/>
  <c r="CM54" i="65" s="1"/>
  <c r="BZ52" i="65"/>
  <c r="CM52" i="65" s="1"/>
  <c r="BZ53" i="65"/>
  <c r="CM53" i="65" s="1"/>
  <c r="BZ71" i="65"/>
  <c r="CM71" i="65" s="1"/>
  <c r="BX71" i="65"/>
  <c r="CK71" i="65" s="1"/>
  <c r="CL70" i="65"/>
  <c r="BZ70" i="65"/>
  <c r="CM70" i="65" s="1"/>
  <c r="CL69" i="65"/>
  <c r="BZ69" i="65"/>
  <c r="CM69" i="65" s="1"/>
  <c r="BX69" i="65"/>
  <c r="CK69" i="65" s="1"/>
  <c r="AL20" i="6"/>
  <c r="AK20" i="6"/>
  <c r="B20" i="30"/>
  <c r="AB20" i="6"/>
  <c r="AT15" i="53"/>
  <c r="AA18" i="65"/>
  <c r="BL19" i="8"/>
  <c r="M19" i="30" s="1"/>
  <c r="AJ10" i="30"/>
  <c r="AY10" i="30" s="1"/>
  <c r="BL20" i="8"/>
  <c r="M20" i="30" s="1"/>
  <c r="AQ18" i="30"/>
  <c r="AP18" i="30"/>
  <c r="AK18" i="30"/>
  <c r="AL18" i="30"/>
  <c r="AM18" i="30"/>
  <c r="AN18" i="30"/>
  <c r="AO18" i="30"/>
  <c r="W18" i="30"/>
  <c r="X18" i="30"/>
  <c r="Y18" i="30"/>
  <c r="AP16" i="53"/>
  <c r="AQ16" i="53" s="1"/>
  <c r="F16" i="53"/>
  <c r="N16" i="53"/>
  <c r="AD19" i="6"/>
  <c r="J19" i="30"/>
  <c r="H19" i="30" s="1"/>
  <c r="AJ14" i="30"/>
  <c r="AY14" i="30" s="1"/>
  <c r="AY9" i="30"/>
  <c r="AC9" i="30"/>
  <c r="AH11" i="30"/>
  <c r="AI11" i="30" s="1"/>
  <c r="AJ11" i="30" s="1"/>
  <c r="AH15" i="30"/>
  <c r="AH12" i="30"/>
  <c r="AI12" i="30" s="1"/>
  <c r="AF17" i="30"/>
  <c r="AH16" i="30"/>
  <c r="AH13" i="30"/>
  <c r="H48" i="41"/>
  <c r="J48" i="41" s="1"/>
  <c r="H52" i="41"/>
  <c r="J52" i="41" s="1"/>
  <c r="I26" i="37"/>
  <c r="L20" i="37"/>
  <c r="H45" i="36"/>
  <c r="H57" i="36"/>
  <c r="L68" i="37"/>
  <c r="I74" i="37"/>
  <c r="I70" i="37"/>
  <c r="AB70" i="37" s="1"/>
  <c r="L64" i="37"/>
  <c r="AC10" i="30" l="1"/>
  <c r="Z10" i="30" s="1"/>
  <c r="AA10" i="30" s="1"/>
  <c r="BZ45" i="65"/>
  <c r="CM45" i="65" s="1"/>
  <c r="BZ43" i="65"/>
  <c r="CM43" i="65" s="1"/>
  <c r="BZ41" i="65"/>
  <c r="CM41" i="65" s="1"/>
  <c r="BZ40" i="65"/>
  <c r="CM40" i="65" s="1"/>
  <c r="BZ42" i="65"/>
  <c r="CM42" i="65" s="1"/>
  <c r="C30" i="36"/>
  <c r="W30" i="36" s="1"/>
  <c r="H11" i="38"/>
  <c r="C34" i="36"/>
  <c r="W34" i="36" s="1"/>
  <c r="C32" i="36"/>
  <c r="W32" i="36" s="1"/>
  <c r="C36" i="36"/>
  <c r="W36" i="36" s="1"/>
  <c r="J7" i="38"/>
  <c r="G7" i="38"/>
  <c r="X7" i="38" s="1"/>
  <c r="G6" i="38"/>
  <c r="X6" i="38" s="1"/>
  <c r="G7" i="33"/>
  <c r="W7" i="33" s="1"/>
  <c r="G6" i="33"/>
  <c r="G19" i="41"/>
  <c r="G18" i="41"/>
  <c r="G17" i="41"/>
  <c r="G16" i="41"/>
  <c r="G7" i="39"/>
  <c r="X7" i="39" s="1"/>
  <c r="G6" i="39"/>
  <c r="X6" i="39" s="1"/>
  <c r="H10" i="33"/>
  <c r="G11" i="33"/>
  <c r="W11" i="33" s="1"/>
  <c r="G11" i="38"/>
  <c r="X11" i="38" s="1"/>
  <c r="H11" i="39"/>
  <c r="G11" i="39"/>
  <c r="X11" i="39" s="1"/>
  <c r="J11" i="39"/>
  <c r="H7" i="38"/>
  <c r="H11" i="33"/>
  <c r="O8" i="65"/>
  <c r="B26" i="41" s="1"/>
  <c r="F8" i="65"/>
  <c r="C14" i="38" s="1"/>
  <c r="H15" i="38" s="1"/>
  <c r="P8" i="65"/>
  <c r="C26" i="41" s="1"/>
  <c r="W26" i="41" s="1"/>
  <c r="E8" i="65"/>
  <c r="B14" i="38" s="1"/>
  <c r="W14" i="38" s="1"/>
  <c r="C8" i="65"/>
  <c r="B14" i="33" s="1"/>
  <c r="V14" i="33" s="1"/>
  <c r="H8" i="65"/>
  <c r="C14" i="39" s="1"/>
  <c r="D8" i="65"/>
  <c r="C14" i="33" s="1"/>
  <c r="G8" i="65"/>
  <c r="B14" i="39" s="1"/>
  <c r="J15" i="39" s="1"/>
  <c r="N8" i="65"/>
  <c r="C50" i="36" s="1"/>
  <c r="W50" i="36" s="1"/>
  <c r="M8" i="65"/>
  <c r="B50" i="36" s="1"/>
  <c r="I8" i="65"/>
  <c r="C30" i="37" s="1"/>
  <c r="AA30" i="37" s="1"/>
  <c r="L8" i="65"/>
  <c r="D30" i="40" s="1"/>
  <c r="K8" i="65"/>
  <c r="C30" i="40" s="1"/>
  <c r="AA30" i="40" s="1"/>
  <c r="J8" i="65"/>
  <c r="D30" i="37" s="1"/>
  <c r="K7" i="65"/>
  <c r="C24" i="40" s="1"/>
  <c r="AA24" i="40" s="1"/>
  <c r="C7" i="65"/>
  <c r="B12" i="33" s="1"/>
  <c r="V12" i="33" s="1"/>
  <c r="J7" i="65"/>
  <c r="D24" i="37" s="1"/>
  <c r="L7" i="65"/>
  <c r="D24" i="40" s="1"/>
  <c r="I7" i="65"/>
  <c r="C24" i="37" s="1"/>
  <c r="AA24" i="37" s="1"/>
  <c r="H7" i="65"/>
  <c r="C12" i="39" s="1"/>
  <c r="E7" i="65"/>
  <c r="B12" i="38" s="1"/>
  <c r="W12" i="38" s="1"/>
  <c r="N7" i="65"/>
  <c r="C39" i="36" s="1"/>
  <c r="W39" i="36" s="1"/>
  <c r="G7" i="65"/>
  <c r="B12" i="39" s="1"/>
  <c r="J13" i="39" s="1"/>
  <c r="P7" i="65"/>
  <c r="C21" i="41" s="1"/>
  <c r="W21" i="41" s="1"/>
  <c r="F7" i="65"/>
  <c r="C12" i="38" s="1"/>
  <c r="D7" i="65"/>
  <c r="C12" i="33" s="1"/>
  <c r="O7" i="65"/>
  <c r="B21" i="41" s="1"/>
  <c r="M7" i="65"/>
  <c r="B39" i="36" s="1"/>
  <c r="H7" i="33"/>
  <c r="W6" i="39"/>
  <c r="P5" i="65"/>
  <c r="C11" i="41" s="1"/>
  <c r="W11" i="41" s="1"/>
  <c r="N5" i="65"/>
  <c r="C17" i="36" s="1"/>
  <c r="W17" i="36" s="1"/>
  <c r="C5" i="65"/>
  <c r="B8" i="33" s="1"/>
  <c r="V8" i="33" s="1"/>
  <c r="M5" i="65"/>
  <c r="B17" i="36" s="1"/>
  <c r="L5" i="65"/>
  <c r="D12" i="40" s="1"/>
  <c r="F5" i="65"/>
  <c r="C8" i="38" s="1"/>
  <c r="K5" i="65"/>
  <c r="C12" i="40" s="1"/>
  <c r="AA12" i="40" s="1"/>
  <c r="J5" i="65"/>
  <c r="D12" i="37" s="1"/>
  <c r="H5" i="65"/>
  <c r="C8" i="39" s="1"/>
  <c r="I5" i="65"/>
  <c r="C12" i="37" s="1"/>
  <c r="AA12" i="37" s="1"/>
  <c r="O5" i="65"/>
  <c r="B11" i="41" s="1"/>
  <c r="G5" i="65"/>
  <c r="B8" i="39" s="1"/>
  <c r="J9" i="39" s="1"/>
  <c r="D5" i="65"/>
  <c r="C8" i="33" s="1"/>
  <c r="E5" i="65"/>
  <c r="B8" i="38" s="1"/>
  <c r="W8" i="38" s="1"/>
  <c r="C8" i="36"/>
  <c r="W8" i="36" s="1"/>
  <c r="C10" i="36"/>
  <c r="W10" i="36" s="1"/>
  <c r="C12" i="36"/>
  <c r="W12" i="36" s="1"/>
  <c r="H7" i="39"/>
  <c r="G9" i="65"/>
  <c r="B16" i="39" s="1"/>
  <c r="W16" i="39" s="1"/>
  <c r="K10" i="65"/>
  <c r="C42" i="40" s="1"/>
  <c r="AA42" i="40" s="1"/>
  <c r="E10" i="65"/>
  <c r="B18" i="38" s="1"/>
  <c r="W18" i="38" s="1"/>
  <c r="D10" i="65"/>
  <c r="C18" i="33" s="1"/>
  <c r="P10" i="65"/>
  <c r="C36" i="41" s="1"/>
  <c r="W36" i="41" s="1"/>
  <c r="F10" i="65"/>
  <c r="C18" i="38" s="1"/>
  <c r="G10" i="65"/>
  <c r="B18" i="39" s="1"/>
  <c r="J19" i="39" s="1"/>
  <c r="H10" i="65"/>
  <c r="C18" i="39" s="1"/>
  <c r="I10" i="65"/>
  <c r="C42" i="37" s="1"/>
  <c r="AA42" i="37" s="1"/>
  <c r="L10" i="65"/>
  <c r="D42" i="40" s="1"/>
  <c r="J10" i="65"/>
  <c r="D42" i="37" s="1"/>
  <c r="N10" i="65"/>
  <c r="C72" i="36" s="1"/>
  <c r="W72" i="36" s="1"/>
  <c r="H6" i="39"/>
  <c r="J6" i="39" s="1"/>
  <c r="N24" i="34" s="1"/>
  <c r="J24" i="34" s="1"/>
  <c r="T20" i="53" s="1"/>
  <c r="H6" i="38"/>
  <c r="J6" i="38" s="1"/>
  <c r="K70" i="37"/>
  <c r="AD64" i="37"/>
  <c r="L26" i="37"/>
  <c r="AB26" i="37"/>
  <c r="L74" i="37"/>
  <c r="AB74" i="37"/>
  <c r="C10" i="65"/>
  <c r="B18" i="33" s="1"/>
  <c r="V18" i="33" s="1"/>
  <c r="L11" i="65"/>
  <c r="D48" i="40" s="1"/>
  <c r="F9" i="65"/>
  <c r="C16" i="38" s="1"/>
  <c r="I11" i="65"/>
  <c r="C48" i="37" s="1"/>
  <c r="AA48" i="37" s="1"/>
  <c r="M10" i="65"/>
  <c r="B72" i="36" s="1"/>
  <c r="L9" i="65"/>
  <c r="D36" i="40" s="1"/>
  <c r="D9" i="65"/>
  <c r="C16" i="33" s="1"/>
  <c r="O9" i="65"/>
  <c r="B31" i="41" s="1"/>
  <c r="C9" i="65"/>
  <c r="B16" i="33" s="1"/>
  <c r="V16" i="33" s="1"/>
  <c r="M11" i="65"/>
  <c r="B83" i="36" s="1"/>
  <c r="H9" i="65"/>
  <c r="C16" i="39" s="1"/>
  <c r="I9" i="65"/>
  <c r="C36" i="37" s="1"/>
  <c r="AA36" i="37" s="1"/>
  <c r="N11" i="65"/>
  <c r="C83" i="36" s="1"/>
  <c r="W83" i="36" s="1"/>
  <c r="M9" i="65"/>
  <c r="B61" i="36" s="1"/>
  <c r="J9" i="65"/>
  <c r="D36" i="37" s="1"/>
  <c r="C11" i="65"/>
  <c r="B20" i="33" s="1"/>
  <c r="V20" i="33" s="1"/>
  <c r="N9" i="65"/>
  <c r="C61" i="36" s="1"/>
  <c r="K9" i="65"/>
  <c r="C36" i="40" s="1"/>
  <c r="AA36" i="40" s="1"/>
  <c r="D11" i="65"/>
  <c r="C20" i="33" s="1"/>
  <c r="P9" i="65"/>
  <c r="C31" i="41" s="1"/>
  <c r="W31" i="41" s="1"/>
  <c r="E9" i="65"/>
  <c r="B16" i="38" s="1"/>
  <c r="W16" i="38" s="1"/>
  <c r="O10" i="65"/>
  <c r="B36" i="41" s="1"/>
  <c r="G11" i="65"/>
  <c r="B20" i="39" s="1"/>
  <c r="H11" i="65"/>
  <c r="C20" i="39" s="1"/>
  <c r="O11" i="65"/>
  <c r="B41" i="41" s="1"/>
  <c r="E11" i="65"/>
  <c r="B20" i="38" s="1"/>
  <c r="W20" i="38" s="1"/>
  <c r="J11" i="65"/>
  <c r="D48" i="37" s="1"/>
  <c r="F11" i="65"/>
  <c r="C20" i="38" s="1"/>
  <c r="P11" i="65"/>
  <c r="C41" i="41" s="1"/>
  <c r="W41" i="41" s="1"/>
  <c r="K11" i="65"/>
  <c r="C48" i="40" s="1"/>
  <c r="AA48" i="40" s="1"/>
  <c r="I20" i="30"/>
  <c r="H20" i="30" s="1"/>
  <c r="Y20" i="30" s="1"/>
  <c r="C18" i="53"/>
  <c r="F18" i="53" s="1"/>
  <c r="AD18" i="65" s="1"/>
  <c r="AI20" i="6"/>
  <c r="G18" i="53" s="1"/>
  <c r="AU15" i="53"/>
  <c r="CN18" i="65" s="1"/>
  <c r="CA18" i="65"/>
  <c r="AA123" i="65"/>
  <c r="AN123" i="65" s="1"/>
  <c r="BA123" i="65" s="1"/>
  <c r="BN123" i="65" s="1"/>
  <c r="CA123" i="65" s="1"/>
  <c r="CN123" i="65" s="1"/>
  <c r="AA109" i="65"/>
  <c r="AN109" i="65" s="1"/>
  <c r="BA109" i="65" s="1"/>
  <c r="BN109" i="65" s="1"/>
  <c r="CA109" i="65" s="1"/>
  <c r="CN109" i="65" s="1"/>
  <c r="AA99" i="65"/>
  <c r="AN99" i="65" s="1"/>
  <c r="BA99" i="65" s="1"/>
  <c r="BN99" i="65" s="1"/>
  <c r="CA99" i="65" s="1"/>
  <c r="CN99" i="65" s="1"/>
  <c r="AA81" i="65"/>
  <c r="AN81" i="65" s="1"/>
  <c r="BA81" i="65" s="1"/>
  <c r="BN81" i="65" s="1"/>
  <c r="CA81" i="65" s="1"/>
  <c r="CN81" i="65" s="1"/>
  <c r="AA82" i="65"/>
  <c r="AN82" i="65" s="1"/>
  <c r="BA82" i="65" s="1"/>
  <c r="BN82" i="65" s="1"/>
  <c r="CA82" i="65" s="1"/>
  <c r="CN82" i="65" s="1"/>
  <c r="AA62" i="65"/>
  <c r="AN62" i="65" s="1"/>
  <c r="BA62" i="65" s="1"/>
  <c r="BN62" i="65" s="1"/>
  <c r="AA50" i="65"/>
  <c r="AN50" i="65" s="1"/>
  <c r="BA50" i="65" s="1"/>
  <c r="BN50" i="65" s="1"/>
  <c r="CA50" i="65" s="1"/>
  <c r="CN50" i="65" s="1"/>
  <c r="AA38" i="65"/>
  <c r="AN38" i="65" s="1"/>
  <c r="BA38" i="65" s="1"/>
  <c r="BN38" i="65" s="1"/>
  <c r="CA38" i="65" s="1"/>
  <c r="CN38" i="65" s="1"/>
  <c r="AN19" i="65"/>
  <c r="BA19" i="65" s="1"/>
  <c r="BN19" i="65" s="1"/>
  <c r="CA19" i="65" s="1"/>
  <c r="CN19" i="65" s="1"/>
  <c r="AA108" i="65"/>
  <c r="AN108" i="65" s="1"/>
  <c r="BA108" i="65" s="1"/>
  <c r="BN108" i="65" s="1"/>
  <c r="CA108" i="65" s="1"/>
  <c r="CN108" i="65" s="1"/>
  <c r="AA74" i="65"/>
  <c r="AN74" i="65" s="1"/>
  <c r="BA74" i="65" s="1"/>
  <c r="BN74" i="65" s="1"/>
  <c r="CA74" i="65" s="1"/>
  <c r="CN74" i="65" s="1"/>
  <c r="AA49" i="65"/>
  <c r="AN49" i="65" s="1"/>
  <c r="BA49" i="65" s="1"/>
  <c r="BN49" i="65" s="1"/>
  <c r="CA49" i="65" s="1"/>
  <c r="CN49" i="65" s="1"/>
  <c r="AN20" i="65"/>
  <c r="BA20" i="65" s="1"/>
  <c r="BN20" i="65" s="1"/>
  <c r="CA20" i="65" s="1"/>
  <c r="CN20" i="65" s="1"/>
  <c r="AA71" i="65"/>
  <c r="AN71" i="65" s="1"/>
  <c r="BA71" i="65" s="1"/>
  <c r="BN71" i="65" s="1"/>
  <c r="CA71" i="65" s="1"/>
  <c r="CN71" i="65" s="1"/>
  <c r="AA36" i="65"/>
  <c r="AN36" i="65" s="1"/>
  <c r="BA36" i="65" s="1"/>
  <c r="BN36" i="65" s="1"/>
  <c r="CA36" i="65" s="1"/>
  <c r="CN36" i="65" s="1"/>
  <c r="AA112" i="65"/>
  <c r="AN112" i="65" s="1"/>
  <c r="BA112" i="65" s="1"/>
  <c r="BN112" i="65" s="1"/>
  <c r="CA112" i="65" s="1"/>
  <c r="CN112" i="65" s="1"/>
  <c r="AA65" i="65"/>
  <c r="AN65" i="65" s="1"/>
  <c r="BA65" i="65" s="1"/>
  <c r="BN65" i="65" s="1"/>
  <c r="CA65" i="65" s="1"/>
  <c r="CN65" i="65" s="1"/>
  <c r="AA84" i="65"/>
  <c r="AN84" i="65" s="1"/>
  <c r="BA84" i="65" s="1"/>
  <c r="BN84" i="65" s="1"/>
  <c r="CA84" i="65" s="1"/>
  <c r="CN84" i="65" s="1"/>
  <c r="AA122" i="65"/>
  <c r="AN122" i="65" s="1"/>
  <c r="BA122" i="65" s="1"/>
  <c r="BN122" i="65" s="1"/>
  <c r="CA122" i="65" s="1"/>
  <c r="CN122" i="65" s="1"/>
  <c r="AA98" i="65"/>
  <c r="AN98" i="65" s="1"/>
  <c r="BA98" i="65" s="1"/>
  <c r="BN98" i="65" s="1"/>
  <c r="CA98" i="65" s="1"/>
  <c r="CN98" i="65" s="1"/>
  <c r="AA80" i="65"/>
  <c r="AN80" i="65" s="1"/>
  <c r="BA80" i="65" s="1"/>
  <c r="BN80" i="65" s="1"/>
  <c r="CA80" i="65" s="1"/>
  <c r="CN80" i="65" s="1"/>
  <c r="AA61" i="65"/>
  <c r="AN61" i="65" s="1"/>
  <c r="BA61" i="65" s="1"/>
  <c r="BN61" i="65" s="1"/>
  <c r="CA61" i="65" s="1"/>
  <c r="CN61" i="65" s="1"/>
  <c r="AA37" i="65"/>
  <c r="AN37" i="65" s="1"/>
  <c r="BA37" i="65" s="1"/>
  <c r="BN37" i="65" s="1"/>
  <c r="CA37" i="65" s="1"/>
  <c r="CN37" i="65" s="1"/>
  <c r="AA60" i="65"/>
  <c r="AN60" i="65" s="1"/>
  <c r="BA60" i="65" s="1"/>
  <c r="BN60" i="65" s="1"/>
  <c r="CA60" i="65" s="1"/>
  <c r="CN60" i="65" s="1"/>
  <c r="AN21" i="65"/>
  <c r="BA21" i="65" s="1"/>
  <c r="BN21" i="65" s="1"/>
  <c r="CA21" i="65" s="1"/>
  <c r="CN21" i="65" s="1"/>
  <c r="AA41" i="65"/>
  <c r="AN41" i="65" s="1"/>
  <c r="BA41" i="65" s="1"/>
  <c r="BN41" i="65" s="1"/>
  <c r="CA41" i="65" s="1"/>
  <c r="AA40" i="65"/>
  <c r="AN40" i="65" s="1"/>
  <c r="BA40" i="65" s="1"/>
  <c r="BN40" i="65" s="1"/>
  <c r="CA40" i="65" s="1"/>
  <c r="AA121" i="65"/>
  <c r="AN121" i="65" s="1"/>
  <c r="BA121" i="65" s="1"/>
  <c r="BN121" i="65" s="1"/>
  <c r="CA121" i="65" s="1"/>
  <c r="CN121" i="65" s="1"/>
  <c r="AA120" i="65"/>
  <c r="AN120" i="65" s="1"/>
  <c r="BA120" i="65" s="1"/>
  <c r="BN120" i="65" s="1"/>
  <c r="CA120" i="65" s="1"/>
  <c r="CN120" i="65" s="1"/>
  <c r="AA97" i="65"/>
  <c r="AN97" i="65" s="1"/>
  <c r="BA97" i="65" s="1"/>
  <c r="BN97" i="65" s="1"/>
  <c r="CA97" i="65" s="1"/>
  <c r="CN97" i="65" s="1"/>
  <c r="AA79" i="65"/>
  <c r="AN79" i="65" s="1"/>
  <c r="BA79" i="65" s="1"/>
  <c r="BN79" i="65" s="1"/>
  <c r="CA79" i="65" s="1"/>
  <c r="CN79" i="65" s="1"/>
  <c r="AA48" i="65"/>
  <c r="AN48" i="65" s="1"/>
  <c r="BA48" i="65" s="1"/>
  <c r="BN48" i="65" s="1"/>
  <c r="CA48" i="65" s="1"/>
  <c r="CN48" i="65" s="1"/>
  <c r="AN29" i="65"/>
  <c r="BA29" i="65" s="1"/>
  <c r="BN29" i="65" s="1"/>
  <c r="CA29" i="65" s="1"/>
  <c r="CN29" i="65" s="1"/>
  <c r="AA64" i="65"/>
  <c r="AN64" i="65" s="1"/>
  <c r="BA64" i="65" s="1"/>
  <c r="BN64" i="65" s="1"/>
  <c r="CA64" i="65" s="1"/>
  <c r="CN64" i="65" s="1"/>
  <c r="AA132" i="65"/>
  <c r="AN132" i="65" s="1"/>
  <c r="BA132" i="65" s="1"/>
  <c r="BN132" i="65" s="1"/>
  <c r="CA132" i="65" s="1"/>
  <c r="CN132" i="65" s="1"/>
  <c r="AA118" i="65"/>
  <c r="AN118" i="65" s="1"/>
  <c r="BA118" i="65" s="1"/>
  <c r="BN118" i="65" s="1"/>
  <c r="CA118" i="65" s="1"/>
  <c r="CN118" i="65" s="1"/>
  <c r="AA119" i="65"/>
  <c r="AN119" i="65" s="1"/>
  <c r="BA119" i="65" s="1"/>
  <c r="BN119" i="65" s="1"/>
  <c r="CA119" i="65" s="1"/>
  <c r="CN119" i="65" s="1"/>
  <c r="AA96" i="65"/>
  <c r="AN96" i="65" s="1"/>
  <c r="BA96" i="65" s="1"/>
  <c r="BN96" i="65" s="1"/>
  <c r="CA96" i="65" s="1"/>
  <c r="CN96" i="65" s="1"/>
  <c r="AA78" i="65"/>
  <c r="AN78" i="65" s="1"/>
  <c r="BA78" i="65" s="1"/>
  <c r="BN78" i="65" s="1"/>
  <c r="CA78" i="65" s="1"/>
  <c r="CN78" i="65" s="1"/>
  <c r="AA73" i="65"/>
  <c r="AN73" i="65" s="1"/>
  <c r="BA73" i="65" s="1"/>
  <c r="BN73" i="65" s="1"/>
  <c r="CA73" i="65" s="1"/>
  <c r="CN73" i="65" s="1"/>
  <c r="AA59" i="65"/>
  <c r="AN59" i="65" s="1"/>
  <c r="BA59" i="65" s="1"/>
  <c r="BN59" i="65" s="1"/>
  <c r="CA59" i="65" s="1"/>
  <c r="CN59" i="65" s="1"/>
  <c r="AA47" i="65"/>
  <c r="AN47" i="65" s="1"/>
  <c r="BA47" i="65" s="1"/>
  <c r="BN47" i="65" s="1"/>
  <c r="CA47" i="65" s="1"/>
  <c r="CN47" i="65" s="1"/>
  <c r="AA35" i="65"/>
  <c r="AN35" i="65" s="1"/>
  <c r="BA35" i="65" s="1"/>
  <c r="BN35" i="65" s="1"/>
  <c r="CA35" i="65" s="1"/>
  <c r="CN35" i="65" s="1"/>
  <c r="AN22" i="65"/>
  <c r="BA22" i="65" s="1"/>
  <c r="BN22" i="65" s="1"/>
  <c r="CA22" i="65" s="1"/>
  <c r="CN22" i="65" s="1"/>
  <c r="AA52" i="65"/>
  <c r="AN52" i="65" s="1"/>
  <c r="BA52" i="65" s="1"/>
  <c r="BN52" i="65" s="1"/>
  <c r="CA52" i="65" s="1"/>
  <c r="CN52" i="65" s="1"/>
  <c r="AA131" i="65"/>
  <c r="AN131" i="65" s="1"/>
  <c r="BA131" i="65" s="1"/>
  <c r="BN131" i="65" s="1"/>
  <c r="CA131" i="65" s="1"/>
  <c r="CN131" i="65" s="1"/>
  <c r="AA117" i="65"/>
  <c r="AN117" i="65" s="1"/>
  <c r="BA117" i="65" s="1"/>
  <c r="BN117" i="65" s="1"/>
  <c r="CA117" i="65" s="1"/>
  <c r="CN117" i="65" s="1"/>
  <c r="AA107" i="65"/>
  <c r="AN107" i="65" s="1"/>
  <c r="BA107" i="65" s="1"/>
  <c r="BN107" i="65" s="1"/>
  <c r="CA107" i="65" s="1"/>
  <c r="CN107" i="65" s="1"/>
  <c r="AA95" i="65"/>
  <c r="AN95" i="65" s="1"/>
  <c r="BA95" i="65" s="1"/>
  <c r="BN95" i="65" s="1"/>
  <c r="CA95" i="65" s="1"/>
  <c r="CN95" i="65" s="1"/>
  <c r="AA77" i="65"/>
  <c r="AN77" i="65" s="1"/>
  <c r="BA77" i="65" s="1"/>
  <c r="BN77" i="65" s="1"/>
  <c r="CA77" i="65" s="1"/>
  <c r="CN77" i="65" s="1"/>
  <c r="AA72" i="65"/>
  <c r="AN72" i="65" s="1"/>
  <c r="BA72" i="65" s="1"/>
  <c r="BN72" i="65" s="1"/>
  <c r="CA72" i="65" s="1"/>
  <c r="CN72" i="65" s="1"/>
  <c r="AA58" i="65"/>
  <c r="AN58" i="65" s="1"/>
  <c r="BA58" i="65" s="1"/>
  <c r="BN58" i="65" s="1"/>
  <c r="CA58" i="65" s="1"/>
  <c r="CN58" i="65" s="1"/>
  <c r="AA46" i="65"/>
  <c r="AN46" i="65" s="1"/>
  <c r="BA46" i="65" s="1"/>
  <c r="BN46" i="65" s="1"/>
  <c r="CA46" i="65" s="1"/>
  <c r="CN46" i="65" s="1"/>
  <c r="AA34" i="65"/>
  <c r="AN34" i="65" s="1"/>
  <c r="BA34" i="65" s="1"/>
  <c r="BN34" i="65" s="1"/>
  <c r="CA34" i="65" s="1"/>
  <c r="CN34" i="65" s="1"/>
  <c r="AN23" i="65"/>
  <c r="BA23" i="65" s="1"/>
  <c r="BN23" i="65" s="1"/>
  <c r="CA23" i="65" s="1"/>
  <c r="CN23" i="65" s="1"/>
  <c r="AA75" i="65"/>
  <c r="AN75" i="65" s="1"/>
  <c r="BA75" i="65" s="1"/>
  <c r="BN75" i="65" s="1"/>
  <c r="CA75" i="65" s="1"/>
  <c r="CN75" i="65" s="1"/>
  <c r="AA44" i="65"/>
  <c r="AN44" i="65" s="1"/>
  <c r="BA44" i="65" s="1"/>
  <c r="BN44" i="65" s="1"/>
  <c r="CA44" i="65" s="1"/>
  <c r="CN44" i="65" s="1"/>
  <c r="AN27" i="65"/>
  <c r="BA27" i="65" s="1"/>
  <c r="BN27" i="65" s="1"/>
  <c r="CA27" i="65" s="1"/>
  <c r="CN27" i="65" s="1"/>
  <c r="AN28" i="65"/>
  <c r="BA28" i="65" s="1"/>
  <c r="BN28" i="65" s="1"/>
  <c r="CA28" i="65" s="1"/>
  <c r="CN28" i="65" s="1"/>
  <c r="AA130" i="65"/>
  <c r="AN130" i="65" s="1"/>
  <c r="BA130" i="65" s="1"/>
  <c r="BN130" i="65" s="1"/>
  <c r="CA130" i="65" s="1"/>
  <c r="CN130" i="65" s="1"/>
  <c r="AA116" i="65"/>
  <c r="AN116" i="65" s="1"/>
  <c r="BA116" i="65" s="1"/>
  <c r="BN116" i="65" s="1"/>
  <c r="CA116" i="65" s="1"/>
  <c r="CN116" i="65" s="1"/>
  <c r="AA106" i="65"/>
  <c r="AN106" i="65" s="1"/>
  <c r="BA106" i="65" s="1"/>
  <c r="BN106" i="65" s="1"/>
  <c r="CA106" i="65" s="1"/>
  <c r="CN106" i="65" s="1"/>
  <c r="AA94" i="65"/>
  <c r="AN94" i="65" s="1"/>
  <c r="BA94" i="65" s="1"/>
  <c r="BN94" i="65" s="1"/>
  <c r="CA94" i="65" s="1"/>
  <c r="CN94" i="65" s="1"/>
  <c r="AA76" i="65"/>
  <c r="AN76" i="65" s="1"/>
  <c r="BA76" i="65" s="1"/>
  <c r="BN76" i="65" s="1"/>
  <c r="CA76" i="65" s="1"/>
  <c r="CN76" i="65" s="1"/>
  <c r="AA70" i="65"/>
  <c r="AN70" i="65" s="1"/>
  <c r="BA70" i="65" s="1"/>
  <c r="BN70" i="65" s="1"/>
  <c r="CA70" i="65" s="1"/>
  <c r="CN70" i="65" s="1"/>
  <c r="AA57" i="65"/>
  <c r="AN57" i="65" s="1"/>
  <c r="BA57" i="65" s="1"/>
  <c r="BN57" i="65" s="1"/>
  <c r="CA57" i="65" s="1"/>
  <c r="CN57" i="65" s="1"/>
  <c r="AA45" i="65"/>
  <c r="AN45" i="65" s="1"/>
  <c r="BA45" i="65" s="1"/>
  <c r="BN45" i="65" s="1"/>
  <c r="CA45" i="65" s="1"/>
  <c r="CN45" i="65" s="1"/>
  <c r="AA33" i="65"/>
  <c r="AN33" i="65" s="1"/>
  <c r="BA33" i="65" s="1"/>
  <c r="BN33" i="65" s="1"/>
  <c r="CA33" i="65" s="1"/>
  <c r="CN33" i="65" s="1"/>
  <c r="AN24" i="65"/>
  <c r="BA24" i="65" s="1"/>
  <c r="BN24" i="65" s="1"/>
  <c r="CA24" i="65" s="1"/>
  <c r="CN24" i="65" s="1"/>
  <c r="AA129" i="65"/>
  <c r="AN129" i="65" s="1"/>
  <c r="BA129" i="65" s="1"/>
  <c r="BN129" i="65" s="1"/>
  <c r="CA129" i="65" s="1"/>
  <c r="CN129" i="65" s="1"/>
  <c r="AA105" i="65"/>
  <c r="AN105" i="65" s="1"/>
  <c r="BA105" i="65" s="1"/>
  <c r="BN105" i="65" s="1"/>
  <c r="CA105" i="65" s="1"/>
  <c r="CN105" i="65" s="1"/>
  <c r="AA68" i="65"/>
  <c r="AN68" i="65" s="1"/>
  <c r="BA68" i="65" s="1"/>
  <c r="BN68" i="65" s="1"/>
  <c r="CA68" i="65" s="1"/>
  <c r="CN68" i="65" s="1"/>
  <c r="AA32" i="65"/>
  <c r="AN32" i="65" s="1"/>
  <c r="BA32" i="65" s="1"/>
  <c r="BN32" i="65" s="1"/>
  <c r="CA32" i="65" s="1"/>
  <c r="CN32" i="65" s="1"/>
  <c r="AN26" i="65"/>
  <c r="BA26" i="65" s="1"/>
  <c r="BN26" i="65" s="1"/>
  <c r="CA26" i="65" s="1"/>
  <c r="CN26" i="65" s="1"/>
  <c r="AA85" i="65"/>
  <c r="AN85" i="65" s="1"/>
  <c r="BA85" i="65" s="1"/>
  <c r="BN85" i="65" s="1"/>
  <c r="CA85" i="65" s="1"/>
  <c r="CN85" i="65" s="1"/>
  <c r="AA125" i="65"/>
  <c r="AN125" i="65" s="1"/>
  <c r="BA125" i="65" s="1"/>
  <c r="BN125" i="65" s="1"/>
  <c r="CA125" i="65" s="1"/>
  <c r="CN125" i="65" s="1"/>
  <c r="AA115" i="65"/>
  <c r="AN115" i="65" s="1"/>
  <c r="BA115" i="65" s="1"/>
  <c r="BN115" i="65" s="1"/>
  <c r="CA115" i="65" s="1"/>
  <c r="CN115" i="65" s="1"/>
  <c r="AA93" i="65"/>
  <c r="AN93" i="65" s="1"/>
  <c r="BA93" i="65" s="1"/>
  <c r="BN93" i="65" s="1"/>
  <c r="CA93" i="65" s="1"/>
  <c r="CN93" i="65" s="1"/>
  <c r="AA69" i="65"/>
  <c r="AN69" i="65" s="1"/>
  <c r="BA69" i="65" s="1"/>
  <c r="BN69" i="65" s="1"/>
  <c r="CA69" i="65" s="1"/>
  <c r="CN69" i="65" s="1"/>
  <c r="AN25" i="65"/>
  <c r="BA25" i="65" s="1"/>
  <c r="BN25" i="65" s="1"/>
  <c r="CA25" i="65" s="1"/>
  <c r="CN25" i="65" s="1"/>
  <c r="AA126" i="65"/>
  <c r="AN126" i="65" s="1"/>
  <c r="BA126" i="65" s="1"/>
  <c r="BN126" i="65" s="1"/>
  <c r="CA126" i="65" s="1"/>
  <c r="CN126" i="65" s="1"/>
  <c r="AA53" i="65"/>
  <c r="AN53" i="65" s="1"/>
  <c r="BA53" i="65" s="1"/>
  <c r="BN53" i="65" s="1"/>
  <c r="CA53" i="65" s="1"/>
  <c r="CN53" i="65" s="1"/>
  <c r="AA89" i="65"/>
  <c r="AN89" i="65" s="1"/>
  <c r="BA89" i="65" s="1"/>
  <c r="BN89" i="65" s="1"/>
  <c r="CA89" i="65" s="1"/>
  <c r="CN89" i="65" s="1"/>
  <c r="AA128" i="65"/>
  <c r="AN128" i="65" s="1"/>
  <c r="BA128" i="65" s="1"/>
  <c r="BN128" i="65" s="1"/>
  <c r="CA128" i="65" s="1"/>
  <c r="CN128" i="65" s="1"/>
  <c r="AA114" i="65"/>
  <c r="AN114" i="65" s="1"/>
  <c r="BA114" i="65" s="1"/>
  <c r="BN114" i="65" s="1"/>
  <c r="CA114" i="65" s="1"/>
  <c r="CN114" i="65" s="1"/>
  <c r="AA104" i="65"/>
  <c r="AN104" i="65" s="1"/>
  <c r="BA104" i="65" s="1"/>
  <c r="BN104" i="65" s="1"/>
  <c r="CA104" i="65" s="1"/>
  <c r="CN104" i="65" s="1"/>
  <c r="AA92" i="65"/>
  <c r="AN92" i="65" s="1"/>
  <c r="BA92" i="65" s="1"/>
  <c r="BN92" i="65" s="1"/>
  <c r="CA92" i="65" s="1"/>
  <c r="CN92" i="65" s="1"/>
  <c r="AA87" i="65"/>
  <c r="AN87" i="65" s="1"/>
  <c r="BA87" i="65" s="1"/>
  <c r="BN87" i="65" s="1"/>
  <c r="CA87" i="65" s="1"/>
  <c r="CN87" i="65" s="1"/>
  <c r="AA67" i="65"/>
  <c r="AN67" i="65" s="1"/>
  <c r="BA67" i="65" s="1"/>
  <c r="BN67" i="65" s="1"/>
  <c r="CA67" i="65" s="1"/>
  <c r="CN67" i="65" s="1"/>
  <c r="AA56" i="65"/>
  <c r="AN56" i="65" s="1"/>
  <c r="BA56" i="65" s="1"/>
  <c r="BN56" i="65" s="1"/>
  <c r="CA56" i="65" s="1"/>
  <c r="CN56" i="65" s="1"/>
  <c r="AA43" i="65"/>
  <c r="AN43" i="65" s="1"/>
  <c r="BA43" i="65" s="1"/>
  <c r="BN43" i="65" s="1"/>
  <c r="CA43" i="65" s="1"/>
  <c r="CN43" i="65" s="1"/>
  <c r="AA31" i="65"/>
  <c r="AN31" i="65" s="1"/>
  <c r="BA31" i="65" s="1"/>
  <c r="BN31" i="65" s="1"/>
  <c r="CA31" i="65" s="1"/>
  <c r="CN31" i="65" s="1"/>
  <c r="AA102" i="65"/>
  <c r="AN102" i="65" s="1"/>
  <c r="BA102" i="65" s="1"/>
  <c r="BN102" i="65" s="1"/>
  <c r="CA102" i="65" s="1"/>
  <c r="CN102" i="65" s="1"/>
  <c r="AA101" i="65"/>
  <c r="AN101" i="65" s="1"/>
  <c r="BA101" i="65" s="1"/>
  <c r="BN101" i="65" s="1"/>
  <c r="CA101" i="65" s="1"/>
  <c r="CN101" i="65" s="1"/>
  <c r="AA127" i="65"/>
  <c r="AN127" i="65" s="1"/>
  <c r="BA127" i="65" s="1"/>
  <c r="BN127" i="65" s="1"/>
  <c r="CA127" i="65" s="1"/>
  <c r="CN127" i="65" s="1"/>
  <c r="AA113" i="65"/>
  <c r="AN113" i="65" s="1"/>
  <c r="BA113" i="65" s="1"/>
  <c r="BN113" i="65" s="1"/>
  <c r="CA113" i="65" s="1"/>
  <c r="CN113" i="65" s="1"/>
  <c r="AA103" i="65"/>
  <c r="AN103" i="65" s="1"/>
  <c r="BA103" i="65" s="1"/>
  <c r="BN103" i="65" s="1"/>
  <c r="CA103" i="65" s="1"/>
  <c r="CN103" i="65" s="1"/>
  <c r="AA91" i="65"/>
  <c r="AN91" i="65" s="1"/>
  <c r="BA91" i="65" s="1"/>
  <c r="BN91" i="65" s="1"/>
  <c r="CA91" i="65" s="1"/>
  <c r="CN91" i="65" s="1"/>
  <c r="AA86" i="65"/>
  <c r="AN86" i="65" s="1"/>
  <c r="BA86" i="65" s="1"/>
  <c r="BN86" i="65" s="1"/>
  <c r="CA86" i="65" s="1"/>
  <c r="CN86" i="65" s="1"/>
  <c r="AA66" i="65"/>
  <c r="AN66" i="65" s="1"/>
  <c r="BA66" i="65" s="1"/>
  <c r="BN66" i="65" s="1"/>
  <c r="CA66" i="65" s="1"/>
  <c r="CN66" i="65" s="1"/>
  <c r="AA54" i="65"/>
  <c r="AN54" i="65" s="1"/>
  <c r="BA54" i="65" s="1"/>
  <c r="BN54" i="65" s="1"/>
  <c r="CA54" i="65" s="1"/>
  <c r="CN54" i="65" s="1"/>
  <c r="AA42" i="65"/>
  <c r="AN42" i="65" s="1"/>
  <c r="BA42" i="65" s="1"/>
  <c r="BN42" i="65" s="1"/>
  <c r="CA42" i="65" s="1"/>
  <c r="CN42" i="65" s="1"/>
  <c r="AA30" i="65"/>
  <c r="AN30" i="65" s="1"/>
  <c r="BA30" i="65" s="1"/>
  <c r="BN30" i="65" s="1"/>
  <c r="CA30" i="65" s="1"/>
  <c r="CN30" i="65" s="1"/>
  <c r="AA124" i="65"/>
  <c r="AN124" i="65" s="1"/>
  <c r="BA124" i="65" s="1"/>
  <c r="BN124" i="65" s="1"/>
  <c r="CA124" i="65" s="1"/>
  <c r="CN124" i="65" s="1"/>
  <c r="AA110" i="65"/>
  <c r="AN110" i="65" s="1"/>
  <c r="BA110" i="65" s="1"/>
  <c r="BN110" i="65" s="1"/>
  <c r="CA110" i="65" s="1"/>
  <c r="CN110" i="65" s="1"/>
  <c r="AA100" i="65"/>
  <c r="AN100" i="65" s="1"/>
  <c r="BA100" i="65" s="1"/>
  <c r="BN100" i="65" s="1"/>
  <c r="CA100" i="65" s="1"/>
  <c r="CN100" i="65" s="1"/>
  <c r="AA88" i="65"/>
  <c r="AN88" i="65" s="1"/>
  <c r="BA88" i="65" s="1"/>
  <c r="BN88" i="65" s="1"/>
  <c r="CA88" i="65" s="1"/>
  <c r="CN88" i="65" s="1"/>
  <c r="AA83" i="65"/>
  <c r="AN83" i="65" s="1"/>
  <c r="BA83" i="65" s="1"/>
  <c r="BN83" i="65" s="1"/>
  <c r="CA83" i="65" s="1"/>
  <c r="CN83" i="65" s="1"/>
  <c r="AA63" i="65"/>
  <c r="AN63" i="65" s="1"/>
  <c r="BA63" i="65" s="1"/>
  <c r="BN63" i="65" s="1"/>
  <c r="CA63" i="65" s="1"/>
  <c r="CN63" i="65" s="1"/>
  <c r="AA51" i="65"/>
  <c r="AN51" i="65" s="1"/>
  <c r="BA51" i="65" s="1"/>
  <c r="BN51" i="65" s="1"/>
  <c r="CA51" i="65" s="1"/>
  <c r="CN51" i="65" s="1"/>
  <c r="AA39" i="65"/>
  <c r="AN39" i="65" s="1"/>
  <c r="BA39" i="65" s="1"/>
  <c r="BN39" i="65" s="1"/>
  <c r="CA39" i="65" s="1"/>
  <c r="CN39" i="65" s="1"/>
  <c r="AA55" i="65"/>
  <c r="AN55" i="65" s="1"/>
  <c r="BA55" i="65" s="1"/>
  <c r="BN55" i="65" s="1"/>
  <c r="CA55" i="65" s="1"/>
  <c r="CN55" i="65" s="1"/>
  <c r="AA90" i="65"/>
  <c r="AN90" i="65" s="1"/>
  <c r="BA90" i="65" s="1"/>
  <c r="BN90" i="65" s="1"/>
  <c r="CA90" i="65" s="1"/>
  <c r="CN90" i="65" s="1"/>
  <c r="AA111" i="65"/>
  <c r="AN111" i="65" s="1"/>
  <c r="BA111" i="65" s="1"/>
  <c r="BN111" i="65" s="1"/>
  <c r="CA111" i="65" s="1"/>
  <c r="CN111" i="65" s="1"/>
  <c r="AB18" i="65"/>
  <c r="AT16" i="53"/>
  <c r="AC14" i="30"/>
  <c r="AJ12" i="30"/>
  <c r="AY12" i="30" s="1"/>
  <c r="AI16" i="30"/>
  <c r="AJ16" i="30" s="1"/>
  <c r="AE18" i="30"/>
  <c r="AF18" i="30" s="1"/>
  <c r="O19" i="30"/>
  <c r="W19" i="30" s="1"/>
  <c r="Y19" i="30"/>
  <c r="X19" i="30"/>
  <c r="D17" i="53"/>
  <c r="AK19" i="6"/>
  <c r="AL19" i="6"/>
  <c r="AH19" i="6"/>
  <c r="AI19" i="6"/>
  <c r="G17" i="53" s="1"/>
  <c r="P16" i="53"/>
  <c r="AD16" i="53" s="1"/>
  <c r="Q16" i="53"/>
  <c r="P27" i="34"/>
  <c r="O27" i="34" s="1"/>
  <c r="J15" i="36"/>
  <c r="AC11" i="30"/>
  <c r="Z11" i="30" s="1"/>
  <c r="AA11" i="30" s="1"/>
  <c r="J6" i="36"/>
  <c r="Z9" i="30"/>
  <c r="AA9" i="30" s="1"/>
  <c r="AR9" i="30"/>
  <c r="AS9" i="30"/>
  <c r="AS10" i="30"/>
  <c r="AR10" i="30"/>
  <c r="AY11" i="30"/>
  <c r="AI15" i="30"/>
  <c r="AG17" i="30"/>
  <c r="AH17" i="30" s="1"/>
  <c r="AI13" i="30"/>
  <c r="H14" i="41"/>
  <c r="J14" i="41" s="1"/>
  <c r="H12" i="41"/>
  <c r="J12" i="41" s="1"/>
  <c r="H53" i="41"/>
  <c r="J53" i="41" s="1"/>
  <c r="H68" i="36"/>
  <c r="H56" i="36"/>
  <c r="H57" i="41"/>
  <c r="J57" i="41" s="1"/>
  <c r="H54" i="41"/>
  <c r="J54" i="41" s="1"/>
  <c r="L70" i="37"/>
  <c r="I76" i="37"/>
  <c r="J36" i="36" l="1"/>
  <c r="N23" i="34"/>
  <c r="J23" i="34" s="1"/>
  <c r="S20" i="53" s="1"/>
  <c r="CN40" i="65"/>
  <c r="C25" i="36"/>
  <c r="CN41" i="65"/>
  <c r="H6" i="33"/>
  <c r="W6" i="33"/>
  <c r="C58" i="36"/>
  <c r="W58" i="36" s="1"/>
  <c r="C47" i="36"/>
  <c r="W47" i="36" s="1"/>
  <c r="C41" i="36"/>
  <c r="W41" i="36" s="1"/>
  <c r="C43" i="36"/>
  <c r="W43" i="36" s="1"/>
  <c r="C45" i="36"/>
  <c r="W45" i="36" s="1"/>
  <c r="C52" i="36"/>
  <c r="W52" i="36" s="1"/>
  <c r="C54" i="36"/>
  <c r="W54" i="36" s="1"/>
  <c r="J18" i="36"/>
  <c r="J17" i="36"/>
  <c r="C56" i="36"/>
  <c r="W56" i="36" s="1"/>
  <c r="C19" i="36"/>
  <c r="W19" i="36" s="1"/>
  <c r="C21" i="36"/>
  <c r="J21" i="36" s="1"/>
  <c r="C23" i="36"/>
  <c r="J23" i="36" s="1"/>
  <c r="J10" i="36"/>
  <c r="J11" i="36" s="1"/>
  <c r="J15" i="38"/>
  <c r="G8" i="38"/>
  <c r="X8" i="38" s="1"/>
  <c r="G9" i="38"/>
  <c r="X9" i="38" s="1"/>
  <c r="G21" i="39"/>
  <c r="X21" i="39" s="1"/>
  <c r="G17" i="38"/>
  <c r="X17" i="38" s="1"/>
  <c r="H13" i="33"/>
  <c r="G13" i="33"/>
  <c r="W13" i="33" s="1"/>
  <c r="G15" i="38"/>
  <c r="X15" i="38" s="1"/>
  <c r="G37" i="41"/>
  <c r="G38" i="41"/>
  <c r="G39" i="41"/>
  <c r="G36" i="41"/>
  <c r="G25" i="36"/>
  <c r="X25" i="36" s="1"/>
  <c r="G24" i="36"/>
  <c r="X24" i="36" s="1"/>
  <c r="G23" i="36"/>
  <c r="X23" i="36" s="1"/>
  <c r="G22" i="36"/>
  <c r="X22" i="36" s="1"/>
  <c r="G21" i="36"/>
  <c r="G20" i="36"/>
  <c r="X20" i="36" s="1"/>
  <c r="G19" i="36"/>
  <c r="H19" i="36" s="1"/>
  <c r="G18" i="36"/>
  <c r="X18" i="36" s="1"/>
  <c r="G17" i="36"/>
  <c r="X17" i="36" s="1"/>
  <c r="G26" i="36"/>
  <c r="X26" i="36" s="1"/>
  <c r="G17" i="39"/>
  <c r="X17" i="39" s="1"/>
  <c r="H19" i="39"/>
  <c r="G19" i="39"/>
  <c r="X19" i="39" s="1"/>
  <c r="G29" i="41"/>
  <c r="G28" i="41"/>
  <c r="G27" i="41"/>
  <c r="G26" i="41"/>
  <c r="G34" i="41"/>
  <c r="G33" i="41"/>
  <c r="G32" i="41"/>
  <c r="G31" i="41"/>
  <c r="G21" i="33"/>
  <c r="W21" i="33" s="1"/>
  <c r="G17" i="33"/>
  <c r="W17" i="33" s="1"/>
  <c r="J19" i="38"/>
  <c r="G19" i="38"/>
  <c r="X19" i="38" s="1"/>
  <c r="H9" i="33"/>
  <c r="G8" i="33"/>
  <c r="G9" i="33"/>
  <c r="W9" i="33" s="1"/>
  <c r="H13" i="39"/>
  <c r="G13" i="39"/>
  <c r="X13" i="39" s="1"/>
  <c r="H15" i="33"/>
  <c r="G15" i="33"/>
  <c r="W15" i="33" s="1"/>
  <c r="G13" i="38"/>
  <c r="X13" i="38" s="1"/>
  <c r="H21" i="38"/>
  <c r="G21" i="38"/>
  <c r="X21" i="38" s="1"/>
  <c r="G19" i="33"/>
  <c r="W19" i="33" s="1"/>
  <c r="G14" i="41"/>
  <c r="G13" i="41"/>
  <c r="G12" i="41"/>
  <c r="G11" i="41"/>
  <c r="H15" i="39"/>
  <c r="G15" i="39"/>
  <c r="X15" i="39" s="1"/>
  <c r="H13" i="38"/>
  <c r="J13" i="38"/>
  <c r="G9" i="39"/>
  <c r="X9" i="39" s="1"/>
  <c r="G8" i="39"/>
  <c r="X8" i="39" s="1"/>
  <c r="G44" i="41"/>
  <c r="G43" i="41"/>
  <c r="G42" i="41"/>
  <c r="G41" i="41"/>
  <c r="G22" i="41"/>
  <c r="G24" i="41"/>
  <c r="G23" i="41"/>
  <c r="G21" i="41"/>
  <c r="J12" i="36"/>
  <c r="CA62" i="65"/>
  <c r="CN62" i="65" s="1"/>
  <c r="H14" i="33"/>
  <c r="W14" i="39"/>
  <c r="W8" i="39"/>
  <c r="J8" i="36"/>
  <c r="J9" i="36" s="1"/>
  <c r="W12" i="39"/>
  <c r="J9" i="38"/>
  <c r="H9" i="38"/>
  <c r="H12" i="33"/>
  <c r="H8" i="33"/>
  <c r="H9" i="39"/>
  <c r="H20" i="33"/>
  <c r="H21" i="33"/>
  <c r="H17" i="33"/>
  <c r="H16" i="33"/>
  <c r="H19" i="33"/>
  <c r="H18" i="33"/>
  <c r="J17" i="39"/>
  <c r="H19" i="38"/>
  <c r="C87" i="36"/>
  <c r="W87" i="36" s="1"/>
  <c r="C80" i="36"/>
  <c r="W80" i="36" s="1"/>
  <c r="W18" i="39"/>
  <c r="H17" i="38"/>
  <c r="J17" i="38"/>
  <c r="J21" i="39"/>
  <c r="W20" i="39"/>
  <c r="H8" i="38"/>
  <c r="J8" i="38" s="1"/>
  <c r="K76" i="37"/>
  <c r="AD76" i="37" s="1"/>
  <c r="AD70" i="37"/>
  <c r="H17" i="36"/>
  <c r="J25" i="36"/>
  <c r="W25" i="36"/>
  <c r="H18" i="36"/>
  <c r="L76" i="37"/>
  <c r="AB76" i="37"/>
  <c r="J61" i="36"/>
  <c r="W61" i="36"/>
  <c r="J62" i="36"/>
  <c r="C74" i="36"/>
  <c r="W74" i="36" s="1"/>
  <c r="C76" i="36"/>
  <c r="W76" i="36" s="1"/>
  <c r="C78" i="36"/>
  <c r="W78" i="36" s="1"/>
  <c r="H17" i="39"/>
  <c r="X20" i="30"/>
  <c r="W20" i="30"/>
  <c r="AE20" i="30" s="1"/>
  <c r="C91" i="36"/>
  <c r="W91" i="36" s="1"/>
  <c r="C85" i="36"/>
  <c r="W85" i="36" s="1"/>
  <c r="C89" i="36"/>
  <c r="W89" i="36" s="1"/>
  <c r="AP18" i="53"/>
  <c r="AQ18" i="53" s="1"/>
  <c r="C65" i="36"/>
  <c r="C69" i="36"/>
  <c r="C63" i="36"/>
  <c r="J63" i="36" s="1"/>
  <c r="C67" i="36"/>
  <c r="J21" i="38"/>
  <c r="AB20" i="30"/>
  <c r="AP20" i="30" s="1"/>
  <c r="N18" i="53"/>
  <c r="P18" i="53" s="1"/>
  <c r="AD18" i="53" s="1"/>
  <c r="AB19" i="30"/>
  <c r="AL19" i="30" s="1"/>
  <c r="AT18" i="53"/>
  <c r="AU18" i="53" s="1"/>
  <c r="CQ18" i="65" s="1"/>
  <c r="H21" i="39"/>
  <c r="AY16" i="30"/>
  <c r="AU16" i="53"/>
  <c r="CO18" i="65" s="1"/>
  <c r="CB18" i="65"/>
  <c r="AB132" i="65"/>
  <c r="AO132" i="65" s="1"/>
  <c r="BB132" i="65" s="1"/>
  <c r="BO132" i="65" s="1"/>
  <c r="CB132" i="65" s="1"/>
  <c r="CO132" i="65" s="1"/>
  <c r="AB120" i="65"/>
  <c r="AO120" i="65" s="1"/>
  <c r="BB120" i="65" s="1"/>
  <c r="BO120" i="65" s="1"/>
  <c r="CB120" i="65" s="1"/>
  <c r="CO120" i="65" s="1"/>
  <c r="AB108" i="65"/>
  <c r="AO108" i="65" s="1"/>
  <c r="BB108" i="65" s="1"/>
  <c r="BO108" i="65" s="1"/>
  <c r="CB108" i="65" s="1"/>
  <c r="CO108" i="65" s="1"/>
  <c r="AB97" i="65"/>
  <c r="AO97" i="65" s="1"/>
  <c r="BB97" i="65" s="1"/>
  <c r="BO97" i="65" s="1"/>
  <c r="CB97" i="65" s="1"/>
  <c r="CO97" i="65" s="1"/>
  <c r="AB78" i="65"/>
  <c r="AO78" i="65" s="1"/>
  <c r="BB78" i="65" s="1"/>
  <c r="BO78" i="65" s="1"/>
  <c r="CB78" i="65" s="1"/>
  <c r="CO78" i="65" s="1"/>
  <c r="AB82" i="65"/>
  <c r="AO82" i="65" s="1"/>
  <c r="BB82" i="65" s="1"/>
  <c r="BO82" i="65" s="1"/>
  <c r="CB82" i="65" s="1"/>
  <c r="CO82" i="65" s="1"/>
  <c r="AB58" i="65"/>
  <c r="AO58" i="65" s="1"/>
  <c r="BB58" i="65" s="1"/>
  <c r="BO58" i="65" s="1"/>
  <c r="CB58" i="65" s="1"/>
  <c r="CO58" i="65" s="1"/>
  <c r="AB48" i="65"/>
  <c r="AO48" i="65" s="1"/>
  <c r="BB48" i="65" s="1"/>
  <c r="BO48" i="65" s="1"/>
  <c r="CB48" i="65" s="1"/>
  <c r="CO48" i="65" s="1"/>
  <c r="AB36" i="65"/>
  <c r="AO36" i="65" s="1"/>
  <c r="BB36" i="65" s="1"/>
  <c r="BO36" i="65" s="1"/>
  <c r="CB36" i="65" s="1"/>
  <c r="CO36" i="65" s="1"/>
  <c r="AO22" i="65"/>
  <c r="BB22" i="65" s="1"/>
  <c r="BO22" i="65" s="1"/>
  <c r="CB22" i="65" s="1"/>
  <c r="CO22" i="65" s="1"/>
  <c r="AB131" i="65"/>
  <c r="AO131" i="65" s="1"/>
  <c r="BB131" i="65" s="1"/>
  <c r="BO131" i="65" s="1"/>
  <c r="CB131" i="65" s="1"/>
  <c r="CO131" i="65" s="1"/>
  <c r="AB119" i="65"/>
  <c r="AO119" i="65" s="1"/>
  <c r="BB119" i="65" s="1"/>
  <c r="BO119" i="65" s="1"/>
  <c r="CB119" i="65" s="1"/>
  <c r="CO119" i="65" s="1"/>
  <c r="AB107" i="65"/>
  <c r="AO107" i="65" s="1"/>
  <c r="BB107" i="65" s="1"/>
  <c r="BO107" i="65" s="1"/>
  <c r="CB107" i="65" s="1"/>
  <c r="CO107" i="65" s="1"/>
  <c r="AB95" i="65"/>
  <c r="AO95" i="65" s="1"/>
  <c r="BB95" i="65" s="1"/>
  <c r="BO95" i="65" s="1"/>
  <c r="CB95" i="65" s="1"/>
  <c r="CO95" i="65" s="1"/>
  <c r="AB77" i="65"/>
  <c r="AO77" i="65" s="1"/>
  <c r="BB77" i="65" s="1"/>
  <c r="BO77" i="65" s="1"/>
  <c r="CB77" i="65" s="1"/>
  <c r="CO77" i="65" s="1"/>
  <c r="AB70" i="65"/>
  <c r="AO70" i="65" s="1"/>
  <c r="BB70" i="65" s="1"/>
  <c r="BO70" i="65" s="1"/>
  <c r="CB70" i="65" s="1"/>
  <c r="CO70" i="65" s="1"/>
  <c r="AB57" i="65"/>
  <c r="AO57" i="65" s="1"/>
  <c r="BB57" i="65" s="1"/>
  <c r="BO57" i="65" s="1"/>
  <c r="CB57" i="65" s="1"/>
  <c r="CO57" i="65" s="1"/>
  <c r="AB47" i="65"/>
  <c r="AO47" i="65" s="1"/>
  <c r="BB47" i="65" s="1"/>
  <c r="BO47" i="65" s="1"/>
  <c r="CB47" i="65" s="1"/>
  <c r="CO47" i="65" s="1"/>
  <c r="AB35" i="65"/>
  <c r="AO35" i="65" s="1"/>
  <c r="BB35" i="65" s="1"/>
  <c r="BO35" i="65" s="1"/>
  <c r="CB35" i="65" s="1"/>
  <c r="CO35" i="65" s="1"/>
  <c r="AO23" i="65"/>
  <c r="BB23" i="65" s="1"/>
  <c r="BO23" i="65" s="1"/>
  <c r="CB23" i="65" s="1"/>
  <c r="CO23" i="65" s="1"/>
  <c r="AB130" i="65"/>
  <c r="AO130" i="65" s="1"/>
  <c r="BB130" i="65" s="1"/>
  <c r="BO130" i="65" s="1"/>
  <c r="CB130" i="65" s="1"/>
  <c r="CO130" i="65" s="1"/>
  <c r="AB118" i="65"/>
  <c r="AO118" i="65" s="1"/>
  <c r="BB118" i="65" s="1"/>
  <c r="BO118" i="65" s="1"/>
  <c r="CB118" i="65" s="1"/>
  <c r="CO118" i="65" s="1"/>
  <c r="AB106" i="65"/>
  <c r="AO106" i="65" s="1"/>
  <c r="BB106" i="65" s="1"/>
  <c r="BO106" i="65" s="1"/>
  <c r="CB106" i="65" s="1"/>
  <c r="CO106" i="65" s="1"/>
  <c r="AB96" i="65"/>
  <c r="AO96" i="65" s="1"/>
  <c r="BB96" i="65" s="1"/>
  <c r="BO96" i="65" s="1"/>
  <c r="CB96" i="65" s="1"/>
  <c r="CO96" i="65" s="1"/>
  <c r="AB76" i="65"/>
  <c r="AO76" i="65" s="1"/>
  <c r="BB76" i="65" s="1"/>
  <c r="BO76" i="65" s="1"/>
  <c r="CB76" i="65" s="1"/>
  <c r="CO76" i="65" s="1"/>
  <c r="AB68" i="65"/>
  <c r="AO68" i="65" s="1"/>
  <c r="BB68" i="65" s="1"/>
  <c r="BO68" i="65" s="1"/>
  <c r="CB68" i="65" s="1"/>
  <c r="CO68" i="65" s="1"/>
  <c r="AB56" i="65"/>
  <c r="AO56" i="65" s="1"/>
  <c r="BB56" i="65" s="1"/>
  <c r="BO56" i="65" s="1"/>
  <c r="CB56" i="65" s="1"/>
  <c r="CO56" i="65" s="1"/>
  <c r="AB46" i="65"/>
  <c r="AO46" i="65" s="1"/>
  <c r="BB46" i="65" s="1"/>
  <c r="BO46" i="65" s="1"/>
  <c r="CB46" i="65" s="1"/>
  <c r="CO46" i="65" s="1"/>
  <c r="AB34" i="65"/>
  <c r="AO34" i="65" s="1"/>
  <c r="BB34" i="65" s="1"/>
  <c r="BO34" i="65" s="1"/>
  <c r="CB34" i="65" s="1"/>
  <c r="CO34" i="65" s="1"/>
  <c r="AO24" i="65"/>
  <c r="BB24" i="65" s="1"/>
  <c r="BO24" i="65" s="1"/>
  <c r="CB24" i="65" s="1"/>
  <c r="CO24" i="65" s="1"/>
  <c r="AB129" i="65"/>
  <c r="AO129" i="65" s="1"/>
  <c r="BB129" i="65" s="1"/>
  <c r="BO129" i="65" s="1"/>
  <c r="CB129" i="65" s="1"/>
  <c r="CO129" i="65" s="1"/>
  <c r="AB117" i="65"/>
  <c r="AO117" i="65" s="1"/>
  <c r="BB117" i="65" s="1"/>
  <c r="BO117" i="65" s="1"/>
  <c r="CB117" i="65" s="1"/>
  <c r="CO117" i="65" s="1"/>
  <c r="AB105" i="65"/>
  <c r="AO105" i="65" s="1"/>
  <c r="BB105" i="65" s="1"/>
  <c r="BO105" i="65" s="1"/>
  <c r="CB105" i="65" s="1"/>
  <c r="CO105" i="65" s="1"/>
  <c r="AB93" i="65"/>
  <c r="AO93" i="65" s="1"/>
  <c r="BB93" i="65" s="1"/>
  <c r="BO93" i="65" s="1"/>
  <c r="CB93" i="65" s="1"/>
  <c r="CO93" i="65" s="1"/>
  <c r="AB75" i="65"/>
  <c r="AO75" i="65" s="1"/>
  <c r="BB75" i="65" s="1"/>
  <c r="BO75" i="65" s="1"/>
  <c r="CB75" i="65" s="1"/>
  <c r="CO75" i="65" s="1"/>
  <c r="AB67" i="65"/>
  <c r="AO67" i="65" s="1"/>
  <c r="BB67" i="65" s="1"/>
  <c r="BO67" i="65" s="1"/>
  <c r="CB67" i="65" s="1"/>
  <c r="CO67" i="65" s="1"/>
  <c r="AB55" i="65"/>
  <c r="AO55" i="65" s="1"/>
  <c r="BB55" i="65" s="1"/>
  <c r="BO55" i="65" s="1"/>
  <c r="CB55" i="65" s="1"/>
  <c r="CO55" i="65" s="1"/>
  <c r="AB45" i="65"/>
  <c r="AO45" i="65" s="1"/>
  <c r="BB45" i="65" s="1"/>
  <c r="BO45" i="65" s="1"/>
  <c r="CB45" i="65" s="1"/>
  <c r="CO45" i="65" s="1"/>
  <c r="AB33" i="65"/>
  <c r="AO33" i="65" s="1"/>
  <c r="BB33" i="65" s="1"/>
  <c r="BO33" i="65" s="1"/>
  <c r="CB33" i="65" s="1"/>
  <c r="CO33" i="65" s="1"/>
  <c r="AO25" i="65"/>
  <c r="BB25" i="65" s="1"/>
  <c r="BO25" i="65" s="1"/>
  <c r="CB25" i="65" s="1"/>
  <c r="CO25" i="65" s="1"/>
  <c r="AB128" i="65"/>
  <c r="AO128" i="65" s="1"/>
  <c r="BB128" i="65" s="1"/>
  <c r="BO128" i="65" s="1"/>
  <c r="CB128" i="65" s="1"/>
  <c r="CO128" i="65" s="1"/>
  <c r="AB116" i="65"/>
  <c r="AO116" i="65" s="1"/>
  <c r="BB116" i="65" s="1"/>
  <c r="BO116" i="65" s="1"/>
  <c r="CB116" i="65" s="1"/>
  <c r="CO116" i="65" s="1"/>
  <c r="AB104" i="65"/>
  <c r="AO104" i="65" s="1"/>
  <c r="BB104" i="65" s="1"/>
  <c r="BO104" i="65" s="1"/>
  <c r="CB104" i="65" s="1"/>
  <c r="CO104" i="65" s="1"/>
  <c r="AB92" i="65"/>
  <c r="AO92" i="65" s="1"/>
  <c r="BB92" i="65" s="1"/>
  <c r="BO92" i="65" s="1"/>
  <c r="CB92" i="65" s="1"/>
  <c r="CO92" i="65" s="1"/>
  <c r="AB74" i="65"/>
  <c r="AO74" i="65" s="1"/>
  <c r="BB74" i="65" s="1"/>
  <c r="BO74" i="65" s="1"/>
  <c r="CB74" i="65" s="1"/>
  <c r="CO74" i="65" s="1"/>
  <c r="AB66" i="65"/>
  <c r="AO66" i="65" s="1"/>
  <c r="BB66" i="65" s="1"/>
  <c r="BO66" i="65" s="1"/>
  <c r="CB66" i="65" s="1"/>
  <c r="CO66" i="65" s="1"/>
  <c r="AB69" i="65"/>
  <c r="AO69" i="65" s="1"/>
  <c r="BB69" i="65" s="1"/>
  <c r="BO69" i="65" s="1"/>
  <c r="CB69" i="65" s="1"/>
  <c r="CO69" i="65" s="1"/>
  <c r="AB44" i="65"/>
  <c r="AO44" i="65" s="1"/>
  <c r="BB44" i="65" s="1"/>
  <c r="BO44" i="65" s="1"/>
  <c r="CB44" i="65" s="1"/>
  <c r="CO44" i="65" s="1"/>
  <c r="AB32" i="65"/>
  <c r="AO32" i="65" s="1"/>
  <c r="BB32" i="65" s="1"/>
  <c r="BO32" i="65" s="1"/>
  <c r="CB32" i="65" s="1"/>
  <c r="CO32" i="65" s="1"/>
  <c r="AO26" i="65"/>
  <c r="BB26" i="65" s="1"/>
  <c r="BO26" i="65" s="1"/>
  <c r="CB26" i="65" s="1"/>
  <c r="CO26" i="65" s="1"/>
  <c r="AB127" i="65"/>
  <c r="AO127" i="65" s="1"/>
  <c r="BB127" i="65" s="1"/>
  <c r="BO127" i="65" s="1"/>
  <c r="CB127" i="65" s="1"/>
  <c r="CO127" i="65" s="1"/>
  <c r="AB115" i="65"/>
  <c r="AO115" i="65" s="1"/>
  <c r="BB115" i="65" s="1"/>
  <c r="BO115" i="65" s="1"/>
  <c r="CB115" i="65" s="1"/>
  <c r="CO115" i="65" s="1"/>
  <c r="AB103" i="65"/>
  <c r="AO103" i="65" s="1"/>
  <c r="BB103" i="65" s="1"/>
  <c r="BO103" i="65" s="1"/>
  <c r="CB103" i="65" s="1"/>
  <c r="CO103" i="65" s="1"/>
  <c r="AB91" i="65"/>
  <c r="AO91" i="65" s="1"/>
  <c r="BB91" i="65" s="1"/>
  <c r="BO91" i="65" s="1"/>
  <c r="CB91" i="65" s="1"/>
  <c r="CO91" i="65" s="1"/>
  <c r="AB73" i="65"/>
  <c r="AO73" i="65" s="1"/>
  <c r="BB73" i="65" s="1"/>
  <c r="BO73" i="65" s="1"/>
  <c r="CB73" i="65" s="1"/>
  <c r="CO73" i="65" s="1"/>
  <c r="AB65" i="65"/>
  <c r="AO65" i="65" s="1"/>
  <c r="BB65" i="65" s="1"/>
  <c r="BO65" i="65" s="1"/>
  <c r="CB65" i="65" s="1"/>
  <c r="CO65" i="65" s="1"/>
  <c r="AB71" i="65"/>
  <c r="AO71" i="65" s="1"/>
  <c r="BB71" i="65" s="1"/>
  <c r="BO71" i="65" s="1"/>
  <c r="CB71" i="65" s="1"/>
  <c r="CO71" i="65" s="1"/>
  <c r="AB43" i="65"/>
  <c r="AO43" i="65" s="1"/>
  <c r="BB43" i="65" s="1"/>
  <c r="BO43" i="65" s="1"/>
  <c r="CB43" i="65" s="1"/>
  <c r="CO43" i="65" s="1"/>
  <c r="AB31" i="65"/>
  <c r="AO31" i="65" s="1"/>
  <c r="BB31" i="65" s="1"/>
  <c r="BO31" i="65" s="1"/>
  <c r="CB31" i="65" s="1"/>
  <c r="CO31" i="65" s="1"/>
  <c r="AO27" i="65"/>
  <c r="BB27" i="65" s="1"/>
  <c r="BO27" i="65" s="1"/>
  <c r="CB27" i="65" s="1"/>
  <c r="CO27" i="65" s="1"/>
  <c r="AB126" i="65"/>
  <c r="AO126" i="65" s="1"/>
  <c r="BB126" i="65" s="1"/>
  <c r="BO126" i="65" s="1"/>
  <c r="CB126" i="65" s="1"/>
  <c r="CO126" i="65" s="1"/>
  <c r="AB114" i="65"/>
  <c r="AO114" i="65" s="1"/>
  <c r="BB114" i="65" s="1"/>
  <c r="BO114" i="65" s="1"/>
  <c r="CB114" i="65" s="1"/>
  <c r="CO114" i="65" s="1"/>
  <c r="AB102" i="65"/>
  <c r="AO102" i="65" s="1"/>
  <c r="BB102" i="65" s="1"/>
  <c r="BO102" i="65" s="1"/>
  <c r="CB102" i="65" s="1"/>
  <c r="CO102" i="65" s="1"/>
  <c r="AB90" i="65"/>
  <c r="AO90" i="65" s="1"/>
  <c r="BB90" i="65" s="1"/>
  <c r="BO90" i="65" s="1"/>
  <c r="CB90" i="65" s="1"/>
  <c r="CO90" i="65" s="1"/>
  <c r="AB72" i="65"/>
  <c r="AO72" i="65" s="1"/>
  <c r="BB72" i="65" s="1"/>
  <c r="BO72" i="65" s="1"/>
  <c r="CB72" i="65" s="1"/>
  <c r="CO72" i="65" s="1"/>
  <c r="AB64" i="65"/>
  <c r="AO64" i="65" s="1"/>
  <c r="BB64" i="65" s="1"/>
  <c r="BO64" i="65" s="1"/>
  <c r="CB64" i="65" s="1"/>
  <c r="CO64" i="65" s="1"/>
  <c r="AB54" i="65"/>
  <c r="AO54" i="65" s="1"/>
  <c r="BB54" i="65" s="1"/>
  <c r="BO54" i="65" s="1"/>
  <c r="CB54" i="65" s="1"/>
  <c r="CO54" i="65" s="1"/>
  <c r="AB42" i="65"/>
  <c r="AO42" i="65" s="1"/>
  <c r="BB42" i="65" s="1"/>
  <c r="BO42" i="65" s="1"/>
  <c r="CB42" i="65" s="1"/>
  <c r="CO42" i="65" s="1"/>
  <c r="AB30" i="65"/>
  <c r="AO30" i="65" s="1"/>
  <c r="BB30" i="65" s="1"/>
  <c r="BO30" i="65" s="1"/>
  <c r="CB30" i="65" s="1"/>
  <c r="CO30" i="65" s="1"/>
  <c r="AB125" i="65"/>
  <c r="AO125" i="65" s="1"/>
  <c r="BB125" i="65" s="1"/>
  <c r="BO125" i="65" s="1"/>
  <c r="CB125" i="65" s="1"/>
  <c r="CO125" i="65" s="1"/>
  <c r="AB113" i="65"/>
  <c r="AO113" i="65" s="1"/>
  <c r="BB113" i="65" s="1"/>
  <c r="BO113" i="65" s="1"/>
  <c r="CB113" i="65" s="1"/>
  <c r="CO113" i="65" s="1"/>
  <c r="AB101" i="65"/>
  <c r="AO101" i="65" s="1"/>
  <c r="BB101" i="65" s="1"/>
  <c r="BO101" i="65" s="1"/>
  <c r="CB101" i="65" s="1"/>
  <c r="CO101" i="65" s="1"/>
  <c r="AB89" i="65"/>
  <c r="AO89" i="65" s="1"/>
  <c r="BB89" i="65" s="1"/>
  <c r="BO89" i="65" s="1"/>
  <c r="CB89" i="65" s="1"/>
  <c r="CO89" i="65" s="1"/>
  <c r="AB87" i="65"/>
  <c r="AO87" i="65" s="1"/>
  <c r="BB87" i="65" s="1"/>
  <c r="BO87" i="65" s="1"/>
  <c r="CB87" i="65" s="1"/>
  <c r="CO87" i="65" s="1"/>
  <c r="AB63" i="65"/>
  <c r="AO63" i="65" s="1"/>
  <c r="BB63" i="65" s="1"/>
  <c r="BO63" i="65" s="1"/>
  <c r="CB63" i="65" s="1"/>
  <c r="CO63" i="65" s="1"/>
  <c r="AB53" i="65"/>
  <c r="AO53" i="65" s="1"/>
  <c r="BB53" i="65" s="1"/>
  <c r="BO53" i="65" s="1"/>
  <c r="CB53" i="65" s="1"/>
  <c r="CO53" i="65" s="1"/>
  <c r="AB41" i="65"/>
  <c r="AO41" i="65" s="1"/>
  <c r="BB41" i="65" s="1"/>
  <c r="BO41" i="65" s="1"/>
  <c r="CB41" i="65" s="1"/>
  <c r="CO41" i="65" s="1"/>
  <c r="AO29" i="65"/>
  <c r="BB29" i="65" s="1"/>
  <c r="BO29" i="65" s="1"/>
  <c r="CB29" i="65" s="1"/>
  <c r="CO29" i="65" s="1"/>
  <c r="AB124" i="65"/>
  <c r="AO124" i="65" s="1"/>
  <c r="BB124" i="65" s="1"/>
  <c r="BO124" i="65" s="1"/>
  <c r="CB124" i="65" s="1"/>
  <c r="CO124" i="65" s="1"/>
  <c r="AB112" i="65"/>
  <c r="AO112" i="65" s="1"/>
  <c r="BB112" i="65" s="1"/>
  <c r="BO112" i="65" s="1"/>
  <c r="CB112" i="65" s="1"/>
  <c r="CO112" i="65" s="1"/>
  <c r="AB100" i="65"/>
  <c r="AO100" i="65" s="1"/>
  <c r="BB100" i="65" s="1"/>
  <c r="BO100" i="65" s="1"/>
  <c r="CB100" i="65" s="1"/>
  <c r="CO100" i="65" s="1"/>
  <c r="AB88" i="65"/>
  <c r="AO88" i="65" s="1"/>
  <c r="BB88" i="65" s="1"/>
  <c r="BO88" i="65" s="1"/>
  <c r="CB88" i="65" s="1"/>
  <c r="CO88" i="65" s="1"/>
  <c r="AB86" i="65"/>
  <c r="AO86" i="65" s="1"/>
  <c r="BB86" i="65" s="1"/>
  <c r="BO86" i="65" s="1"/>
  <c r="CB86" i="65" s="1"/>
  <c r="CO86" i="65" s="1"/>
  <c r="AB62" i="65"/>
  <c r="AO62" i="65" s="1"/>
  <c r="BB62" i="65" s="1"/>
  <c r="BO62" i="65" s="1"/>
  <c r="AB52" i="65"/>
  <c r="AO52" i="65" s="1"/>
  <c r="BB52" i="65" s="1"/>
  <c r="BO52" i="65" s="1"/>
  <c r="CB52" i="65" s="1"/>
  <c r="CO52" i="65" s="1"/>
  <c r="AB40" i="65"/>
  <c r="AO40" i="65" s="1"/>
  <c r="BB40" i="65" s="1"/>
  <c r="BO40" i="65" s="1"/>
  <c r="CB40" i="65" s="1"/>
  <c r="CO40" i="65" s="1"/>
  <c r="AO28" i="65"/>
  <c r="BB28" i="65" s="1"/>
  <c r="BO28" i="65" s="1"/>
  <c r="CB28" i="65" s="1"/>
  <c r="CO28" i="65" s="1"/>
  <c r="AB121" i="65"/>
  <c r="AO121" i="65" s="1"/>
  <c r="BB121" i="65" s="1"/>
  <c r="BO121" i="65" s="1"/>
  <c r="CB121" i="65" s="1"/>
  <c r="CO121" i="65" s="1"/>
  <c r="AB109" i="65"/>
  <c r="AO109" i="65" s="1"/>
  <c r="BB109" i="65" s="1"/>
  <c r="BO109" i="65" s="1"/>
  <c r="CB109" i="65" s="1"/>
  <c r="CO109" i="65" s="1"/>
  <c r="AB94" i="65"/>
  <c r="AO94" i="65" s="1"/>
  <c r="BB94" i="65" s="1"/>
  <c r="BO94" i="65" s="1"/>
  <c r="CB94" i="65" s="1"/>
  <c r="CO94" i="65" s="1"/>
  <c r="AB79" i="65"/>
  <c r="AO79" i="65" s="1"/>
  <c r="BB79" i="65" s="1"/>
  <c r="BO79" i="65" s="1"/>
  <c r="CB79" i="65" s="1"/>
  <c r="CO79" i="65" s="1"/>
  <c r="AB83" i="65"/>
  <c r="AO83" i="65" s="1"/>
  <c r="BB83" i="65" s="1"/>
  <c r="BO83" i="65" s="1"/>
  <c r="CB83" i="65" s="1"/>
  <c r="CO83" i="65" s="1"/>
  <c r="AB59" i="65"/>
  <c r="AO59" i="65" s="1"/>
  <c r="BB59" i="65" s="1"/>
  <c r="BO59" i="65" s="1"/>
  <c r="CB59" i="65" s="1"/>
  <c r="CO59" i="65" s="1"/>
  <c r="AB49" i="65"/>
  <c r="AO49" i="65" s="1"/>
  <c r="BB49" i="65" s="1"/>
  <c r="BO49" i="65" s="1"/>
  <c r="CB49" i="65" s="1"/>
  <c r="CO49" i="65" s="1"/>
  <c r="AB37" i="65"/>
  <c r="AO37" i="65" s="1"/>
  <c r="BB37" i="65" s="1"/>
  <c r="BO37" i="65" s="1"/>
  <c r="CB37" i="65" s="1"/>
  <c r="CO37" i="65" s="1"/>
  <c r="AO21" i="65"/>
  <c r="BB21" i="65" s="1"/>
  <c r="BO21" i="65" s="1"/>
  <c r="CB21" i="65" s="1"/>
  <c r="CO21" i="65" s="1"/>
  <c r="AB123" i="65"/>
  <c r="AO123" i="65" s="1"/>
  <c r="BB123" i="65" s="1"/>
  <c r="BO123" i="65" s="1"/>
  <c r="CB123" i="65" s="1"/>
  <c r="CO123" i="65" s="1"/>
  <c r="AB51" i="65"/>
  <c r="AO51" i="65" s="1"/>
  <c r="BB51" i="65" s="1"/>
  <c r="BO51" i="65" s="1"/>
  <c r="CB51" i="65" s="1"/>
  <c r="CO51" i="65" s="1"/>
  <c r="AB61" i="65"/>
  <c r="AO61" i="65" s="1"/>
  <c r="BB61" i="65" s="1"/>
  <c r="BO61" i="65" s="1"/>
  <c r="CB61" i="65" s="1"/>
  <c r="CO61" i="65" s="1"/>
  <c r="AB122" i="65"/>
  <c r="AO122" i="65" s="1"/>
  <c r="BB122" i="65" s="1"/>
  <c r="BO122" i="65" s="1"/>
  <c r="CB122" i="65" s="1"/>
  <c r="CO122" i="65" s="1"/>
  <c r="AB50" i="65"/>
  <c r="AO50" i="65" s="1"/>
  <c r="BB50" i="65" s="1"/>
  <c r="BO50" i="65" s="1"/>
  <c r="CB50" i="65" s="1"/>
  <c r="CO50" i="65" s="1"/>
  <c r="AB111" i="65"/>
  <c r="AO111" i="65" s="1"/>
  <c r="BB111" i="65" s="1"/>
  <c r="BO111" i="65" s="1"/>
  <c r="CB111" i="65" s="1"/>
  <c r="CO111" i="65" s="1"/>
  <c r="AB39" i="65"/>
  <c r="AO39" i="65" s="1"/>
  <c r="BB39" i="65" s="1"/>
  <c r="BO39" i="65" s="1"/>
  <c r="CB39" i="65" s="1"/>
  <c r="CO39" i="65" s="1"/>
  <c r="AB110" i="65"/>
  <c r="AO110" i="65" s="1"/>
  <c r="BB110" i="65" s="1"/>
  <c r="BO110" i="65" s="1"/>
  <c r="CB110" i="65" s="1"/>
  <c r="CO110" i="65" s="1"/>
  <c r="AB38" i="65"/>
  <c r="AO38" i="65" s="1"/>
  <c r="BB38" i="65" s="1"/>
  <c r="BO38" i="65" s="1"/>
  <c r="CB38" i="65" s="1"/>
  <c r="CO38" i="65" s="1"/>
  <c r="AB99" i="65"/>
  <c r="AO99" i="65" s="1"/>
  <c r="BB99" i="65" s="1"/>
  <c r="BO99" i="65" s="1"/>
  <c r="CB99" i="65" s="1"/>
  <c r="CO99" i="65" s="1"/>
  <c r="AO19" i="65"/>
  <c r="BB19" i="65" s="1"/>
  <c r="BO19" i="65" s="1"/>
  <c r="CB19" i="65" s="1"/>
  <c r="CO19" i="65" s="1"/>
  <c r="AB98" i="65"/>
  <c r="AO98" i="65" s="1"/>
  <c r="BB98" i="65" s="1"/>
  <c r="BO98" i="65" s="1"/>
  <c r="CB98" i="65" s="1"/>
  <c r="CO98" i="65" s="1"/>
  <c r="AO20" i="65"/>
  <c r="BB20" i="65" s="1"/>
  <c r="BO20" i="65" s="1"/>
  <c r="CB20" i="65" s="1"/>
  <c r="CO20" i="65" s="1"/>
  <c r="AB81" i="65"/>
  <c r="AO81" i="65" s="1"/>
  <c r="BB81" i="65" s="1"/>
  <c r="BO81" i="65" s="1"/>
  <c r="CB81" i="65" s="1"/>
  <c r="CO81" i="65" s="1"/>
  <c r="AB84" i="65"/>
  <c r="AO84" i="65" s="1"/>
  <c r="BB84" i="65" s="1"/>
  <c r="BO84" i="65" s="1"/>
  <c r="CB84" i="65" s="1"/>
  <c r="CO84" i="65" s="1"/>
  <c r="AB80" i="65"/>
  <c r="AO80" i="65" s="1"/>
  <c r="BB80" i="65" s="1"/>
  <c r="BO80" i="65" s="1"/>
  <c r="CB80" i="65" s="1"/>
  <c r="CO80" i="65" s="1"/>
  <c r="AB85" i="65"/>
  <c r="AO85" i="65" s="1"/>
  <c r="BB85" i="65" s="1"/>
  <c r="BO85" i="65" s="1"/>
  <c r="CB85" i="65" s="1"/>
  <c r="CO85" i="65" s="1"/>
  <c r="AB60" i="65"/>
  <c r="AO60" i="65" s="1"/>
  <c r="BB60" i="65" s="1"/>
  <c r="BO60" i="65" s="1"/>
  <c r="CB60" i="65" s="1"/>
  <c r="CO60" i="65" s="1"/>
  <c r="AD124" i="65"/>
  <c r="AQ124" i="65" s="1"/>
  <c r="BD124" i="65" s="1"/>
  <c r="BQ124" i="65" s="1"/>
  <c r="CD124" i="65" s="1"/>
  <c r="CQ124" i="65" s="1"/>
  <c r="AD107" i="65"/>
  <c r="AQ107" i="65" s="1"/>
  <c r="BD107" i="65" s="1"/>
  <c r="BQ107" i="65" s="1"/>
  <c r="CD107" i="65" s="1"/>
  <c r="CQ107" i="65" s="1"/>
  <c r="AD114" i="65"/>
  <c r="AQ114" i="65" s="1"/>
  <c r="BD114" i="65" s="1"/>
  <c r="BQ114" i="65" s="1"/>
  <c r="CD114" i="65" s="1"/>
  <c r="CQ114" i="65" s="1"/>
  <c r="AD88" i="65"/>
  <c r="AQ88" i="65" s="1"/>
  <c r="BD88" i="65" s="1"/>
  <c r="BQ88" i="65" s="1"/>
  <c r="CD88" i="65" s="1"/>
  <c r="CQ88" i="65" s="1"/>
  <c r="AD76" i="65"/>
  <c r="AQ76" i="65" s="1"/>
  <c r="BD76" i="65" s="1"/>
  <c r="BQ76" i="65" s="1"/>
  <c r="CD76" i="65" s="1"/>
  <c r="CQ76" i="65" s="1"/>
  <c r="AD62" i="65"/>
  <c r="AQ62" i="65" s="1"/>
  <c r="BD62" i="65" s="1"/>
  <c r="BQ62" i="65" s="1"/>
  <c r="AD52" i="65"/>
  <c r="AQ52" i="65" s="1"/>
  <c r="BD52" i="65" s="1"/>
  <c r="BQ52" i="65" s="1"/>
  <c r="AD40" i="65"/>
  <c r="AQ40" i="65" s="1"/>
  <c r="BD40" i="65" s="1"/>
  <c r="BQ40" i="65" s="1"/>
  <c r="AQ24" i="65"/>
  <c r="BD24" i="65" s="1"/>
  <c r="BQ24" i="65" s="1"/>
  <c r="CD24" i="65" s="1"/>
  <c r="CQ24" i="65" s="1"/>
  <c r="AD123" i="65"/>
  <c r="AQ123" i="65" s="1"/>
  <c r="BD123" i="65" s="1"/>
  <c r="BQ123" i="65" s="1"/>
  <c r="CD123" i="65" s="1"/>
  <c r="CQ123" i="65" s="1"/>
  <c r="AD106" i="65"/>
  <c r="AQ106" i="65" s="1"/>
  <c r="BD106" i="65" s="1"/>
  <c r="BQ106" i="65" s="1"/>
  <c r="CD106" i="65" s="1"/>
  <c r="CQ106" i="65" s="1"/>
  <c r="AD112" i="65"/>
  <c r="AQ112" i="65" s="1"/>
  <c r="BD112" i="65" s="1"/>
  <c r="BQ112" i="65" s="1"/>
  <c r="CD112" i="65" s="1"/>
  <c r="CQ112" i="65" s="1"/>
  <c r="AD87" i="65"/>
  <c r="AQ87" i="65" s="1"/>
  <c r="BD87" i="65" s="1"/>
  <c r="BQ87" i="65" s="1"/>
  <c r="CD87" i="65" s="1"/>
  <c r="CQ87" i="65" s="1"/>
  <c r="AD75" i="65"/>
  <c r="AQ75" i="65" s="1"/>
  <c r="BD75" i="65" s="1"/>
  <c r="BQ75" i="65" s="1"/>
  <c r="CD75" i="65" s="1"/>
  <c r="CQ75" i="65" s="1"/>
  <c r="AD61" i="65"/>
  <c r="AQ61" i="65" s="1"/>
  <c r="BD61" i="65" s="1"/>
  <c r="BQ61" i="65" s="1"/>
  <c r="CD61" i="65" s="1"/>
  <c r="CQ61" i="65" s="1"/>
  <c r="AD51" i="65"/>
  <c r="AQ51" i="65" s="1"/>
  <c r="BD51" i="65" s="1"/>
  <c r="BQ51" i="65" s="1"/>
  <c r="AD39" i="65"/>
  <c r="AQ39" i="65" s="1"/>
  <c r="BD39" i="65" s="1"/>
  <c r="BQ39" i="65" s="1"/>
  <c r="CD39" i="65" s="1"/>
  <c r="CQ39" i="65" s="1"/>
  <c r="AQ25" i="65"/>
  <c r="BD25" i="65" s="1"/>
  <c r="BQ25" i="65" s="1"/>
  <c r="CD25" i="65" s="1"/>
  <c r="CQ25" i="65" s="1"/>
  <c r="AD122" i="65"/>
  <c r="AQ122" i="65" s="1"/>
  <c r="BD122" i="65" s="1"/>
  <c r="BQ122" i="65" s="1"/>
  <c r="CD122" i="65" s="1"/>
  <c r="CQ122" i="65" s="1"/>
  <c r="AD105" i="65"/>
  <c r="AQ105" i="65" s="1"/>
  <c r="BD105" i="65" s="1"/>
  <c r="BQ105" i="65" s="1"/>
  <c r="CD105" i="65" s="1"/>
  <c r="CQ105" i="65" s="1"/>
  <c r="AD110" i="65"/>
  <c r="AQ110" i="65" s="1"/>
  <c r="BD110" i="65" s="1"/>
  <c r="BQ110" i="65" s="1"/>
  <c r="CD110" i="65" s="1"/>
  <c r="CQ110" i="65" s="1"/>
  <c r="AD86" i="65"/>
  <c r="AQ86" i="65" s="1"/>
  <c r="BD86" i="65" s="1"/>
  <c r="BQ86" i="65" s="1"/>
  <c r="CD86" i="65" s="1"/>
  <c r="CQ86" i="65" s="1"/>
  <c r="AD74" i="65"/>
  <c r="AQ74" i="65" s="1"/>
  <c r="BD74" i="65" s="1"/>
  <c r="BQ74" i="65" s="1"/>
  <c r="CD74" i="65" s="1"/>
  <c r="CQ74" i="65" s="1"/>
  <c r="AD60" i="65"/>
  <c r="AQ60" i="65" s="1"/>
  <c r="BD60" i="65" s="1"/>
  <c r="BQ60" i="65" s="1"/>
  <c r="CD60" i="65" s="1"/>
  <c r="CQ60" i="65" s="1"/>
  <c r="AD50" i="65"/>
  <c r="AQ50" i="65" s="1"/>
  <c r="BD50" i="65" s="1"/>
  <c r="BQ50" i="65" s="1"/>
  <c r="CD50" i="65" s="1"/>
  <c r="CQ50" i="65" s="1"/>
  <c r="AD38" i="65"/>
  <c r="AQ38" i="65" s="1"/>
  <c r="BD38" i="65" s="1"/>
  <c r="BQ38" i="65" s="1"/>
  <c r="CD38" i="65" s="1"/>
  <c r="CQ38" i="65" s="1"/>
  <c r="AQ26" i="65"/>
  <c r="BD26" i="65" s="1"/>
  <c r="BQ26" i="65" s="1"/>
  <c r="CD26" i="65" s="1"/>
  <c r="CQ26" i="65" s="1"/>
  <c r="AD121" i="65"/>
  <c r="AQ121" i="65" s="1"/>
  <c r="BD121" i="65" s="1"/>
  <c r="BQ121" i="65" s="1"/>
  <c r="CD121" i="65" s="1"/>
  <c r="CQ121" i="65" s="1"/>
  <c r="AD104" i="65"/>
  <c r="AQ104" i="65" s="1"/>
  <c r="BD104" i="65" s="1"/>
  <c r="BQ104" i="65" s="1"/>
  <c r="CD104" i="65" s="1"/>
  <c r="CQ104" i="65" s="1"/>
  <c r="AD108" i="65"/>
  <c r="AQ108" i="65" s="1"/>
  <c r="BD108" i="65" s="1"/>
  <c r="BQ108" i="65" s="1"/>
  <c r="CD108" i="65" s="1"/>
  <c r="CQ108" i="65" s="1"/>
  <c r="AD85" i="65"/>
  <c r="AQ85" i="65" s="1"/>
  <c r="BD85" i="65" s="1"/>
  <c r="BQ85" i="65" s="1"/>
  <c r="CD85" i="65" s="1"/>
  <c r="CQ85" i="65" s="1"/>
  <c r="AD73" i="65"/>
  <c r="AQ73" i="65" s="1"/>
  <c r="BD73" i="65" s="1"/>
  <c r="BQ73" i="65" s="1"/>
  <c r="CD73" i="65" s="1"/>
  <c r="CQ73" i="65" s="1"/>
  <c r="AD59" i="65"/>
  <c r="AQ59" i="65" s="1"/>
  <c r="BD59" i="65" s="1"/>
  <c r="BQ59" i="65" s="1"/>
  <c r="CD59" i="65" s="1"/>
  <c r="CQ59" i="65" s="1"/>
  <c r="AD49" i="65"/>
  <c r="AQ49" i="65" s="1"/>
  <c r="BD49" i="65" s="1"/>
  <c r="BQ49" i="65" s="1"/>
  <c r="CD49" i="65" s="1"/>
  <c r="CQ49" i="65" s="1"/>
  <c r="AD37" i="65"/>
  <c r="AQ37" i="65" s="1"/>
  <c r="BD37" i="65" s="1"/>
  <c r="BQ37" i="65" s="1"/>
  <c r="CD37" i="65" s="1"/>
  <c r="CQ37" i="65" s="1"/>
  <c r="AQ27" i="65"/>
  <c r="BD27" i="65" s="1"/>
  <c r="BQ27" i="65" s="1"/>
  <c r="CD27" i="65" s="1"/>
  <c r="CQ27" i="65" s="1"/>
  <c r="AD132" i="65"/>
  <c r="AQ132" i="65" s="1"/>
  <c r="BD132" i="65" s="1"/>
  <c r="BQ132" i="65" s="1"/>
  <c r="CD132" i="65" s="1"/>
  <c r="CQ132" i="65" s="1"/>
  <c r="AD120" i="65"/>
  <c r="AQ120" i="65" s="1"/>
  <c r="BD120" i="65" s="1"/>
  <c r="BQ120" i="65" s="1"/>
  <c r="CD120" i="65" s="1"/>
  <c r="CQ120" i="65" s="1"/>
  <c r="AD103" i="65"/>
  <c r="AQ103" i="65" s="1"/>
  <c r="BD103" i="65" s="1"/>
  <c r="BQ103" i="65" s="1"/>
  <c r="CD103" i="65" s="1"/>
  <c r="CQ103" i="65" s="1"/>
  <c r="AD115" i="65"/>
  <c r="AQ115" i="65" s="1"/>
  <c r="BD115" i="65" s="1"/>
  <c r="BQ115" i="65" s="1"/>
  <c r="CD115" i="65" s="1"/>
  <c r="CQ115" i="65" s="1"/>
  <c r="AD84" i="65"/>
  <c r="AQ84" i="65" s="1"/>
  <c r="BD84" i="65" s="1"/>
  <c r="BQ84" i="65" s="1"/>
  <c r="CD84" i="65" s="1"/>
  <c r="CQ84" i="65" s="1"/>
  <c r="AD72" i="65"/>
  <c r="AQ72" i="65" s="1"/>
  <c r="BD72" i="65" s="1"/>
  <c r="BQ72" i="65" s="1"/>
  <c r="CD72" i="65" s="1"/>
  <c r="CQ72" i="65" s="1"/>
  <c r="AD58" i="65"/>
  <c r="AQ58" i="65" s="1"/>
  <c r="BD58" i="65" s="1"/>
  <c r="BQ58" i="65" s="1"/>
  <c r="CD58" i="65" s="1"/>
  <c r="CQ58" i="65" s="1"/>
  <c r="AD48" i="65"/>
  <c r="AQ48" i="65" s="1"/>
  <c r="BD48" i="65" s="1"/>
  <c r="BQ48" i="65" s="1"/>
  <c r="CD48" i="65" s="1"/>
  <c r="CQ48" i="65" s="1"/>
  <c r="AD36" i="65"/>
  <c r="AQ36" i="65" s="1"/>
  <c r="BD36" i="65" s="1"/>
  <c r="BQ36" i="65" s="1"/>
  <c r="CD36" i="65" s="1"/>
  <c r="CQ36" i="65" s="1"/>
  <c r="AD131" i="65"/>
  <c r="AQ131" i="65" s="1"/>
  <c r="BD131" i="65" s="1"/>
  <c r="BQ131" i="65" s="1"/>
  <c r="CD131" i="65" s="1"/>
  <c r="CQ131" i="65" s="1"/>
  <c r="AD119" i="65"/>
  <c r="AQ119" i="65" s="1"/>
  <c r="BD119" i="65" s="1"/>
  <c r="BQ119" i="65" s="1"/>
  <c r="CD119" i="65" s="1"/>
  <c r="CQ119" i="65" s="1"/>
  <c r="AD102" i="65"/>
  <c r="AQ102" i="65" s="1"/>
  <c r="BD102" i="65" s="1"/>
  <c r="BQ102" i="65" s="1"/>
  <c r="CD102" i="65" s="1"/>
  <c r="CQ102" i="65" s="1"/>
  <c r="AD94" i="65"/>
  <c r="AQ94" i="65" s="1"/>
  <c r="BD94" i="65" s="1"/>
  <c r="BQ94" i="65" s="1"/>
  <c r="CD94" i="65" s="1"/>
  <c r="CQ94" i="65" s="1"/>
  <c r="AD83" i="65"/>
  <c r="AQ83" i="65" s="1"/>
  <c r="BD83" i="65" s="1"/>
  <c r="BQ83" i="65" s="1"/>
  <c r="CD83" i="65" s="1"/>
  <c r="CQ83" i="65" s="1"/>
  <c r="AD70" i="65"/>
  <c r="AQ70" i="65" s="1"/>
  <c r="BD70" i="65" s="1"/>
  <c r="BQ70" i="65" s="1"/>
  <c r="CD70" i="65" s="1"/>
  <c r="CQ70" i="65" s="1"/>
  <c r="AD57" i="65"/>
  <c r="AQ57" i="65" s="1"/>
  <c r="BD57" i="65" s="1"/>
  <c r="BQ57" i="65" s="1"/>
  <c r="CD57" i="65" s="1"/>
  <c r="CQ57" i="65" s="1"/>
  <c r="AD47" i="65"/>
  <c r="AQ47" i="65" s="1"/>
  <c r="BD47" i="65" s="1"/>
  <c r="BQ47" i="65" s="1"/>
  <c r="CD47" i="65" s="1"/>
  <c r="CQ47" i="65" s="1"/>
  <c r="AD35" i="65"/>
  <c r="AQ35" i="65" s="1"/>
  <c r="BD35" i="65" s="1"/>
  <c r="BQ35" i="65" s="1"/>
  <c r="CD35" i="65" s="1"/>
  <c r="CQ35" i="65" s="1"/>
  <c r="AD130" i="65"/>
  <c r="AQ130" i="65" s="1"/>
  <c r="BD130" i="65" s="1"/>
  <c r="BQ130" i="65" s="1"/>
  <c r="CD130" i="65" s="1"/>
  <c r="CQ130" i="65" s="1"/>
  <c r="AD118" i="65"/>
  <c r="AQ118" i="65" s="1"/>
  <c r="BD118" i="65" s="1"/>
  <c r="BQ118" i="65" s="1"/>
  <c r="CD118" i="65" s="1"/>
  <c r="CQ118" i="65" s="1"/>
  <c r="AD101" i="65"/>
  <c r="AQ101" i="65" s="1"/>
  <c r="BD101" i="65" s="1"/>
  <c r="BQ101" i="65" s="1"/>
  <c r="CD101" i="65" s="1"/>
  <c r="CQ101" i="65" s="1"/>
  <c r="AD95" i="65"/>
  <c r="AQ95" i="65" s="1"/>
  <c r="BD95" i="65" s="1"/>
  <c r="BQ95" i="65" s="1"/>
  <c r="CD95" i="65" s="1"/>
  <c r="CQ95" i="65" s="1"/>
  <c r="AD82" i="65"/>
  <c r="AQ82" i="65" s="1"/>
  <c r="BD82" i="65" s="1"/>
  <c r="BQ82" i="65" s="1"/>
  <c r="CD82" i="65" s="1"/>
  <c r="CQ82" i="65" s="1"/>
  <c r="AD68" i="65"/>
  <c r="AQ68" i="65" s="1"/>
  <c r="BD68" i="65" s="1"/>
  <c r="BQ68" i="65" s="1"/>
  <c r="CD68" i="65" s="1"/>
  <c r="CQ68" i="65" s="1"/>
  <c r="AD56" i="65"/>
  <c r="AQ56" i="65" s="1"/>
  <c r="BD56" i="65" s="1"/>
  <c r="BQ56" i="65" s="1"/>
  <c r="CD56" i="65" s="1"/>
  <c r="CQ56" i="65" s="1"/>
  <c r="AD46" i="65"/>
  <c r="AQ46" i="65" s="1"/>
  <c r="BD46" i="65" s="1"/>
  <c r="BQ46" i="65" s="1"/>
  <c r="CD46" i="65" s="1"/>
  <c r="CQ46" i="65" s="1"/>
  <c r="AD34" i="65"/>
  <c r="AQ34" i="65" s="1"/>
  <c r="BD34" i="65" s="1"/>
  <c r="BQ34" i="65" s="1"/>
  <c r="CD34" i="65" s="1"/>
  <c r="CQ34" i="65" s="1"/>
  <c r="AD129" i="65"/>
  <c r="AQ129" i="65" s="1"/>
  <c r="BD129" i="65" s="1"/>
  <c r="BQ129" i="65" s="1"/>
  <c r="CD129" i="65" s="1"/>
  <c r="CQ129" i="65" s="1"/>
  <c r="AD117" i="65"/>
  <c r="AQ117" i="65" s="1"/>
  <c r="BD117" i="65" s="1"/>
  <c r="BQ117" i="65" s="1"/>
  <c r="CD117" i="65" s="1"/>
  <c r="CQ117" i="65" s="1"/>
  <c r="AD100" i="65"/>
  <c r="AQ100" i="65" s="1"/>
  <c r="BD100" i="65" s="1"/>
  <c r="BQ100" i="65" s="1"/>
  <c r="CD100" i="65" s="1"/>
  <c r="CQ100" i="65" s="1"/>
  <c r="AD93" i="65"/>
  <c r="AQ93" i="65" s="1"/>
  <c r="BD93" i="65" s="1"/>
  <c r="BQ93" i="65" s="1"/>
  <c r="CD93" i="65" s="1"/>
  <c r="CQ93" i="65" s="1"/>
  <c r="AD81" i="65"/>
  <c r="AQ81" i="65" s="1"/>
  <c r="BD81" i="65" s="1"/>
  <c r="BQ81" i="65" s="1"/>
  <c r="CD81" i="65" s="1"/>
  <c r="CQ81" i="65" s="1"/>
  <c r="AD67" i="65"/>
  <c r="AQ67" i="65" s="1"/>
  <c r="BD67" i="65" s="1"/>
  <c r="BQ67" i="65" s="1"/>
  <c r="CD67" i="65" s="1"/>
  <c r="CQ67" i="65" s="1"/>
  <c r="AD55" i="65"/>
  <c r="AQ55" i="65" s="1"/>
  <c r="BD55" i="65" s="1"/>
  <c r="BQ55" i="65" s="1"/>
  <c r="CD55" i="65" s="1"/>
  <c r="CQ55" i="65" s="1"/>
  <c r="AD45" i="65"/>
  <c r="AQ45" i="65" s="1"/>
  <c r="BD45" i="65" s="1"/>
  <c r="BQ45" i="65" s="1"/>
  <c r="AQ19" i="65"/>
  <c r="BD19" i="65" s="1"/>
  <c r="BQ19" i="65" s="1"/>
  <c r="CD19" i="65" s="1"/>
  <c r="CQ19" i="65" s="1"/>
  <c r="AD128" i="65"/>
  <c r="AQ128" i="65" s="1"/>
  <c r="BD128" i="65" s="1"/>
  <c r="BQ128" i="65" s="1"/>
  <c r="CD128" i="65" s="1"/>
  <c r="CQ128" i="65" s="1"/>
  <c r="AD116" i="65"/>
  <c r="AQ116" i="65" s="1"/>
  <c r="BD116" i="65" s="1"/>
  <c r="BQ116" i="65" s="1"/>
  <c r="CD116" i="65" s="1"/>
  <c r="CQ116" i="65" s="1"/>
  <c r="AD99" i="65"/>
  <c r="AQ99" i="65" s="1"/>
  <c r="BD99" i="65" s="1"/>
  <c r="BQ99" i="65" s="1"/>
  <c r="CD99" i="65" s="1"/>
  <c r="CQ99" i="65" s="1"/>
  <c r="AD92" i="65"/>
  <c r="AQ92" i="65" s="1"/>
  <c r="BD92" i="65" s="1"/>
  <c r="BQ92" i="65" s="1"/>
  <c r="CD92" i="65" s="1"/>
  <c r="CQ92" i="65" s="1"/>
  <c r="AD80" i="65"/>
  <c r="AQ80" i="65" s="1"/>
  <c r="BD80" i="65" s="1"/>
  <c r="BQ80" i="65" s="1"/>
  <c r="CD80" i="65" s="1"/>
  <c r="CQ80" i="65" s="1"/>
  <c r="AD66" i="65"/>
  <c r="AQ66" i="65" s="1"/>
  <c r="BD66" i="65" s="1"/>
  <c r="BQ66" i="65" s="1"/>
  <c r="CD66" i="65" s="1"/>
  <c r="CQ66" i="65" s="1"/>
  <c r="AD69" i="65"/>
  <c r="AQ69" i="65" s="1"/>
  <c r="BD69" i="65" s="1"/>
  <c r="BQ69" i="65" s="1"/>
  <c r="CD69" i="65" s="1"/>
  <c r="CQ69" i="65" s="1"/>
  <c r="AD44" i="65"/>
  <c r="AQ44" i="65" s="1"/>
  <c r="BD44" i="65" s="1"/>
  <c r="BQ44" i="65" s="1"/>
  <c r="AQ20" i="65"/>
  <c r="BD20" i="65" s="1"/>
  <c r="BQ20" i="65" s="1"/>
  <c r="CD20" i="65" s="1"/>
  <c r="CQ20" i="65" s="1"/>
  <c r="AD125" i="65"/>
  <c r="AQ125" i="65" s="1"/>
  <c r="BD125" i="65" s="1"/>
  <c r="BQ125" i="65" s="1"/>
  <c r="CD125" i="65" s="1"/>
  <c r="CQ125" i="65" s="1"/>
  <c r="AD109" i="65"/>
  <c r="AQ109" i="65" s="1"/>
  <c r="BD109" i="65" s="1"/>
  <c r="BQ109" i="65" s="1"/>
  <c r="CD109" i="65" s="1"/>
  <c r="CQ109" i="65" s="1"/>
  <c r="AD96" i="65"/>
  <c r="AQ96" i="65" s="1"/>
  <c r="BD96" i="65" s="1"/>
  <c r="BQ96" i="65" s="1"/>
  <c r="CD96" i="65" s="1"/>
  <c r="CQ96" i="65" s="1"/>
  <c r="AD89" i="65"/>
  <c r="AQ89" i="65" s="1"/>
  <c r="BD89" i="65" s="1"/>
  <c r="BQ89" i="65" s="1"/>
  <c r="CD89" i="65" s="1"/>
  <c r="CQ89" i="65" s="1"/>
  <c r="AD77" i="65"/>
  <c r="AQ77" i="65" s="1"/>
  <c r="BD77" i="65" s="1"/>
  <c r="BQ77" i="65" s="1"/>
  <c r="CD77" i="65" s="1"/>
  <c r="CQ77" i="65" s="1"/>
  <c r="AD63" i="65"/>
  <c r="AQ63" i="65" s="1"/>
  <c r="BD63" i="65" s="1"/>
  <c r="BQ63" i="65" s="1"/>
  <c r="CD63" i="65" s="1"/>
  <c r="CQ63" i="65" s="1"/>
  <c r="AD53" i="65"/>
  <c r="AQ53" i="65" s="1"/>
  <c r="BD53" i="65" s="1"/>
  <c r="BQ53" i="65" s="1"/>
  <c r="CD53" i="65" s="1"/>
  <c r="CQ53" i="65" s="1"/>
  <c r="AD41" i="65"/>
  <c r="AQ41" i="65" s="1"/>
  <c r="BD41" i="65" s="1"/>
  <c r="BQ41" i="65" s="1"/>
  <c r="AQ23" i="65"/>
  <c r="BD23" i="65" s="1"/>
  <c r="BQ23" i="65" s="1"/>
  <c r="CD23" i="65" s="1"/>
  <c r="CQ23" i="65" s="1"/>
  <c r="AD127" i="65"/>
  <c r="AQ127" i="65" s="1"/>
  <c r="BD127" i="65" s="1"/>
  <c r="BQ127" i="65" s="1"/>
  <c r="CD127" i="65" s="1"/>
  <c r="CQ127" i="65" s="1"/>
  <c r="AD71" i="65"/>
  <c r="AQ71" i="65" s="1"/>
  <c r="BD71" i="65" s="1"/>
  <c r="BQ71" i="65" s="1"/>
  <c r="CD71" i="65" s="1"/>
  <c r="CQ71" i="65" s="1"/>
  <c r="AD31" i="65"/>
  <c r="AQ31" i="65" s="1"/>
  <c r="BD31" i="65" s="1"/>
  <c r="BQ31" i="65" s="1"/>
  <c r="CD31" i="65" s="1"/>
  <c r="CQ31" i="65" s="1"/>
  <c r="AD126" i="65"/>
  <c r="AQ126" i="65" s="1"/>
  <c r="BD126" i="65" s="1"/>
  <c r="BQ126" i="65" s="1"/>
  <c r="CD126" i="65" s="1"/>
  <c r="CQ126" i="65" s="1"/>
  <c r="AD54" i="65"/>
  <c r="AQ54" i="65" s="1"/>
  <c r="BD54" i="65" s="1"/>
  <c r="BQ54" i="65" s="1"/>
  <c r="CD54" i="65" s="1"/>
  <c r="CQ54" i="65" s="1"/>
  <c r="AD32" i="65"/>
  <c r="AQ32" i="65" s="1"/>
  <c r="BD32" i="65" s="1"/>
  <c r="BQ32" i="65" s="1"/>
  <c r="CD32" i="65" s="1"/>
  <c r="CQ32" i="65" s="1"/>
  <c r="AD113" i="65"/>
  <c r="AQ113" i="65" s="1"/>
  <c r="BD113" i="65" s="1"/>
  <c r="BQ113" i="65" s="1"/>
  <c r="CD113" i="65" s="1"/>
  <c r="CQ113" i="65" s="1"/>
  <c r="AD43" i="65"/>
  <c r="AQ43" i="65" s="1"/>
  <c r="BD43" i="65" s="1"/>
  <c r="BQ43" i="65" s="1"/>
  <c r="AD33" i="65"/>
  <c r="AQ33" i="65" s="1"/>
  <c r="BD33" i="65" s="1"/>
  <c r="BQ33" i="65" s="1"/>
  <c r="CD33" i="65" s="1"/>
  <c r="CQ33" i="65" s="1"/>
  <c r="AD111" i="65"/>
  <c r="AQ111" i="65" s="1"/>
  <c r="BD111" i="65" s="1"/>
  <c r="BQ111" i="65" s="1"/>
  <c r="CD111" i="65" s="1"/>
  <c r="CQ111" i="65" s="1"/>
  <c r="AD42" i="65"/>
  <c r="AQ42" i="65" s="1"/>
  <c r="BD42" i="65" s="1"/>
  <c r="BQ42" i="65" s="1"/>
  <c r="AD98" i="65"/>
  <c r="AQ98" i="65" s="1"/>
  <c r="BD98" i="65" s="1"/>
  <c r="BQ98" i="65" s="1"/>
  <c r="CD98" i="65" s="1"/>
  <c r="CQ98" i="65" s="1"/>
  <c r="AQ21" i="65"/>
  <c r="BD21" i="65" s="1"/>
  <c r="BQ21" i="65" s="1"/>
  <c r="CD21" i="65" s="1"/>
  <c r="CQ21" i="65" s="1"/>
  <c r="AD97" i="65"/>
  <c r="AQ97" i="65" s="1"/>
  <c r="BD97" i="65" s="1"/>
  <c r="BQ97" i="65" s="1"/>
  <c r="CD97" i="65" s="1"/>
  <c r="CQ97" i="65" s="1"/>
  <c r="AQ22" i="65"/>
  <c r="BD22" i="65" s="1"/>
  <c r="BQ22" i="65" s="1"/>
  <c r="CD22" i="65" s="1"/>
  <c r="CQ22" i="65" s="1"/>
  <c r="AD91" i="65"/>
  <c r="AQ91" i="65" s="1"/>
  <c r="BD91" i="65" s="1"/>
  <c r="BQ91" i="65" s="1"/>
  <c r="CD91" i="65" s="1"/>
  <c r="CQ91" i="65" s="1"/>
  <c r="AD90" i="65"/>
  <c r="AQ90" i="65" s="1"/>
  <c r="BD90" i="65" s="1"/>
  <c r="BQ90" i="65" s="1"/>
  <c r="CD90" i="65" s="1"/>
  <c r="CQ90" i="65" s="1"/>
  <c r="AD78" i="65"/>
  <c r="AQ78" i="65" s="1"/>
  <c r="BD78" i="65" s="1"/>
  <c r="BQ78" i="65" s="1"/>
  <c r="CD78" i="65" s="1"/>
  <c r="CQ78" i="65" s="1"/>
  <c r="AD79" i="65"/>
  <c r="AQ79" i="65" s="1"/>
  <c r="BD79" i="65" s="1"/>
  <c r="BQ79" i="65" s="1"/>
  <c r="CD79" i="65" s="1"/>
  <c r="CQ79" i="65" s="1"/>
  <c r="AD64" i="65"/>
  <c r="AQ64" i="65" s="1"/>
  <c r="BD64" i="65" s="1"/>
  <c r="BQ64" i="65" s="1"/>
  <c r="CD64" i="65" s="1"/>
  <c r="CQ64" i="65" s="1"/>
  <c r="AD30" i="65"/>
  <c r="AQ30" i="65" s="1"/>
  <c r="BD30" i="65" s="1"/>
  <c r="BQ30" i="65" s="1"/>
  <c r="CD30" i="65" s="1"/>
  <c r="CQ30" i="65" s="1"/>
  <c r="AQ28" i="65"/>
  <c r="BD28" i="65" s="1"/>
  <c r="BQ28" i="65" s="1"/>
  <c r="CD28" i="65" s="1"/>
  <c r="CQ28" i="65" s="1"/>
  <c r="AD65" i="65"/>
  <c r="AQ65" i="65" s="1"/>
  <c r="BD65" i="65" s="1"/>
  <c r="BQ65" i="65" s="1"/>
  <c r="CD65" i="65" s="1"/>
  <c r="CQ65" i="65" s="1"/>
  <c r="AQ29" i="65"/>
  <c r="BD29" i="65" s="1"/>
  <c r="BQ29" i="65" s="1"/>
  <c r="CD29" i="65" s="1"/>
  <c r="CQ29" i="65" s="1"/>
  <c r="J26" i="36"/>
  <c r="AC16" i="30"/>
  <c r="Z16" i="30" s="1"/>
  <c r="AA16" i="30" s="1"/>
  <c r="AT9" i="30"/>
  <c r="AX9" i="30" s="1"/>
  <c r="AE19" i="30"/>
  <c r="AF19" i="30" s="1"/>
  <c r="Z14" i="30"/>
  <c r="AA14" i="30" s="1"/>
  <c r="AR14" i="30"/>
  <c r="AS14" i="30"/>
  <c r="AC12" i="30"/>
  <c r="J39" i="36"/>
  <c r="J48" i="36"/>
  <c r="J42" i="36"/>
  <c r="AJ13" i="30"/>
  <c r="AY13" i="30" s="1"/>
  <c r="F17" i="53"/>
  <c r="N17" i="53"/>
  <c r="AP17" i="53"/>
  <c r="AQ17" i="53" s="1"/>
  <c r="AJ15" i="30"/>
  <c r="AY15" i="30" s="1"/>
  <c r="K13" i="40"/>
  <c r="AD13" i="40" s="1"/>
  <c r="AS11" i="30"/>
  <c r="AT11" i="30" s="1"/>
  <c r="AZ9" i="30"/>
  <c r="J6" i="41" s="1"/>
  <c r="J14" i="36"/>
  <c r="J7" i="36"/>
  <c r="AR11" i="30"/>
  <c r="AT10" i="30"/>
  <c r="AX10" i="30" s="1"/>
  <c r="AZ10" i="30"/>
  <c r="AI17" i="30"/>
  <c r="J28" i="36"/>
  <c r="J33" i="36"/>
  <c r="J31" i="36"/>
  <c r="J34" i="36"/>
  <c r="G36" i="36"/>
  <c r="G47" i="36" s="1"/>
  <c r="G58" i="36" s="1"/>
  <c r="G69" i="36" s="1"/>
  <c r="G80" i="36" s="1"/>
  <c r="G91" i="36" s="1"/>
  <c r="I13" i="37"/>
  <c r="K13" i="37"/>
  <c r="AD13" i="37" s="1"/>
  <c r="K15" i="40"/>
  <c r="AD15" i="40" s="1"/>
  <c r="I13" i="40"/>
  <c r="J37" i="36"/>
  <c r="I15" i="40"/>
  <c r="AB15" i="40" s="1"/>
  <c r="I16" i="40"/>
  <c r="AB16" i="40" s="1"/>
  <c r="AG18" i="30"/>
  <c r="AH18" i="30" s="1"/>
  <c r="K14" i="40"/>
  <c r="AD14" i="40" s="1"/>
  <c r="K16" i="40"/>
  <c r="AD16" i="40" s="1"/>
  <c r="I14" i="40"/>
  <c r="AB14" i="40" s="1"/>
  <c r="H17" i="41"/>
  <c r="J17" i="41" s="1"/>
  <c r="H79" i="36"/>
  <c r="H58" i="41"/>
  <c r="J58" i="41" s="1"/>
  <c r="H59" i="41"/>
  <c r="J59" i="41" s="1"/>
  <c r="H67" i="36"/>
  <c r="J13" i="36"/>
  <c r="J43" i="36" l="1"/>
  <c r="X21" i="36"/>
  <c r="H21" i="36"/>
  <c r="J46" i="36"/>
  <c r="G10" i="33"/>
  <c r="W8" i="33"/>
  <c r="H8" i="39"/>
  <c r="J8" i="39" s="1"/>
  <c r="G37" i="36"/>
  <c r="G48" i="36" s="1"/>
  <c r="G59" i="36" s="1"/>
  <c r="G70" i="36" s="1"/>
  <c r="G81" i="36" s="1"/>
  <c r="G92" i="36" s="1"/>
  <c r="G28" i="36"/>
  <c r="G39" i="36" s="1"/>
  <c r="G50" i="36" s="1"/>
  <c r="G61" i="36" s="1"/>
  <c r="G72" i="36" s="1"/>
  <c r="G83" i="36" s="1"/>
  <c r="G35" i="36"/>
  <c r="G46" i="36" s="1"/>
  <c r="G57" i="36" s="1"/>
  <c r="G68" i="36" s="1"/>
  <c r="G79" i="36" s="1"/>
  <c r="G90" i="36" s="1"/>
  <c r="X19" i="36"/>
  <c r="G30" i="36"/>
  <c r="H30" i="36" s="1"/>
  <c r="G29" i="36"/>
  <c r="G34" i="36"/>
  <c r="G45" i="36" s="1"/>
  <c r="G56" i="36" s="1"/>
  <c r="G67" i="36" s="1"/>
  <c r="G78" i="36" s="1"/>
  <c r="G89" i="36" s="1"/>
  <c r="G33" i="36"/>
  <c r="G32" i="36"/>
  <c r="H32" i="36" s="1"/>
  <c r="G31" i="36"/>
  <c r="G10" i="39"/>
  <c r="G10" i="38"/>
  <c r="H10" i="38" s="1"/>
  <c r="J10" i="38" s="1"/>
  <c r="J22" i="36"/>
  <c r="W21" i="36"/>
  <c r="J20" i="36"/>
  <c r="J19" i="36"/>
  <c r="W23" i="36"/>
  <c r="J24" i="36"/>
  <c r="CD62" i="65"/>
  <c r="CQ62" i="65" s="1"/>
  <c r="CB62" i="65"/>
  <c r="CO62" i="65" s="1"/>
  <c r="N12" i="65"/>
  <c r="C94" i="36" s="1"/>
  <c r="W94" i="36" s="1"/>
  <c r="L12" i="65"/>
  <c r="D54" i="40" s="1"/>
  <c r="C12" i="65"/>
  <c r="B22" i="33" s="1"/>
  <c r="V22" i="33" s="1"/>
  <c r="K12" i="65"/>
  <c r="C54" i="40" s="1"/>
  <c r="AA54" i="40" s="1"/>
  <c r="J12" i="65"/>
  <c r="D54" i="37" s="1"/>
  <c r="G12" i="65"/>
  <c r="B22" i="39" s="1"/>
  <c r="W22" i="39" s="1"/>
  <c r="F12" i="65"/>
  <c r="C22" i="38" s="1"/>
  <c r="H12" i="65"/>
  <c r="C22" i="39" s="1"/>
  <c r="P12" i="65"/>
  <c r="C46" i="41" s="1"/>
  <c r="W46" i="41" s="1"/>
  <c r="E12" i="65"/>
  <c r="B22" i="38" s="1"/>
  <c r="W22" i="38" s="1"/>
  <c r="M12" i="65"/>
  <c r="B94" i="36" s="1"/>
  <c r="D12" i="65"/>
  <c r="C22" i="33" s="1"/>
  <c r="I12" i="65"/>
  <c r="C54" i="37" s="1"/>
  <c r="AA54" i="37" s="1"/>
  <c r="O12" i="65"/>
  <c r="B46" i="41" s="1"/>
  <c r="AO20" i="30"/>
  <c r="AF20" i="30"/>
  <c r="AG20" i="30" s="1"/>
  <c r="AQ20" i="30"/>
  <c r="L13" i="37"/>
  <c r="AB13" i="37"/>
  <c r="J65" i="36"/>
  <c r="W65" i="36"/>
  <c r="X48" i="36"/>
  <c r="X37" i="36"/>
  <c r="L13" i="40"/>
  <c r="AB13" i="40"/>
  <c r="J67" i="36"/>
  <c r="W67" i="36"/>
  <c r="J64" i="36"/>
  <c r="W63" i="36"/>
  <c r="J70" i="36"/>
  <c r="W69" i="36"/>
  <c r="X47" i="36"/>
  <c r="X36" i="36"/>
  <c r="CD18" i="65"/>
  <c r="CD43" i="65" s="1"/>
  <c r="CQ43" i="65" s="1"/>
  <c r="J66" i="36"/>
  <c r="J68" i="36"/>
  <c r="J69" i="36"/>
  <c r="Q18" i="53"/>
  <c r="AL20" i="30"/>
  <c r="AP19" i="30"/>
  <c r="AK19" i="30"/>
  <c r="AM19" i="30"/>
  <c r="AN20" i="30"/>
  <c r="AN19" i="30"/>
  <c r="AO19" i="30"/>
  <c r="AQ19" i="30"/>
  <c r="AM20" i="30"/>
  <c r="AK20" i="30"/>
  <c r="CD52" i="65"/>
  <c r="CQ52" i="65" s="1"/>
  <c r="CD51" i="65"/>
  <c r="CQ51" i="65" s="1"/>
  <c r="AU9" i="30"/>
  <c r="AV9" i="30" s="1"/>
  <c r="AC18" i="65"/>
  <c r="AT17" i="53"/>
  <c r="AS16" i="30"/>
  <c r="AR16" i="30"/>
  <c r="AT16" i="30" s="1"/>
  <c r="AX16" i="30" s="1"/>
  <c r="J44" i="36"/>
  <c r="J45" i="36"/>
  <c r="J41" i="36"/>
  <c r="AZ14" i="30"/>
  <c r="AT14" i="30"/>
  <c r="J47" i="36"/>
  <c r="J40" i="36"/>
  <c r="AC13" i="30"/>
  <c r="AS13" i="30" s="1"/>
  <c r="AC15" i="30"/>
  <c r="Z15" i="30" s="1"/>
  <c r="AA15" i="30" s="1"/>
  <c r="J16" i="36"/>
  <c r="Z12" i="30"/>
  <c r="AA12" i="30" s="1"/>
  <c r="AS12" i="30"/>
  <c r="AR12" i="30"/>
  <c r="J54" i="36"/>
  <c r="J52" i="36"/>
  <c r="J59" i="36"/>
  <c r="J57" i="36"/>
  <c r="J51" i="36"/>
  <c r="P17" i="53"/>
  <c r="AD17" i="53" s="1"/>
  <c r="Q17" i="53"/>
  <c r="J79" i="36"/>
  <c r="J75" i="36"/>
  <c r="J73" i="36"/>
  <c r="J81" i="36"/>
  <c r="J76" i="36"/>
  <c r="AJ17" i="30"/>
  <c r="AY17" i="30" s="1"/>
  <c r="AU11" i="30"/>
  <c r="AV11" i="30" s="1"/>
  <c r="AZ11" i="30"/>
  <c r="N8" i="37"/>
  <c r="N7" i="37"/>
  <c r="N9" i="37"/>
  <c r="N10" i="37"/>
  <c r="N6" i="37"/>
  <c r="J7" i="41"/>
  <c r="J30" i="36"/>
  <c r="H28" i="36"/>
  <c r="X12" i="41"/>
  <c r="X13" i="41"/>
  <c r="X14" i="41"/>
  <c r="AU10" i="30"/>
  <c r="AV10" i="30" s="1"/>
  <c r="J29" i="36"/>
  <c r="H58" i="36"/>
  <c r="AI18" i="30"/>
  <c r="AG19" i="30"/>
  <c r="J35" i="36"/>
  <c r="J32" i="36"/>
  <c r="L15" i="40"/>
  <c r="J50" i="36"/>
  <c r="L16" i="40"/>
  <c r="L14" i="40"/>
  <c r="AX11" i="30"/>
  <c r="J87" i="36"/>
  <c r="J88" i="36"/>
  <c r="J90" i="36"/>
  <c r="J89" i="36"/>
  <c r="J91" i="36"/>
  <c r="J92" i="36"/>
  <c r="J86" i="36"/>
  <c r="J85" i="36"/>
  <c r="J84" i="36"/>
  <c r="J83" i="36"/>
  <c r="H39" i="36"/>
  <c r="H22" i="41"/>
  <c r="J22" i="41" s="1"/>
  <c r="H78" i="36"/>
  <c r="H90" i="36"/>
  <c r="X35" i="36" l="1"/>
  <c r="X46" i="36"/>
  <c r="X28" i="36"/>
  <c r="X50" i="36"/>
  <c r="X39" i="36"/>
  <c r="CD41" i="65"/>
  <c r="CQ41" i="65" s="1"/>
  <c r="CD42" i="65"/>
  <c r="CQ42" i="65" s="1"/>
  <c r="CD40" i="65"/>
  <c r="CQ40" i="65" s="1"/>
  <c r="CD44" i="65"/>
  <c r="CQ44" i="65" s="1"/>
  <c r="CD45" i="65"/>
  <c r="CQ45" i="65" s="1"/>
  <c r="X34" i="36"/>
  <c r="J27" i="36"/>
  <c r="X45" i="36"/>
  <c r="G12" i="33"/>
  <c r="W10" i="33"/>
  <c r="Z13" i="30"/>
  <c r="AA13" i="30" s="1"/>
  <c r="H10" i="39"/>
  <c r="J10" i="39" s="1"/>
  <c r="X10" i="39"/>
  <c r="G12" i="39"/>
  <c r="X31" i="36"/>
  <c r="G42" i="36"/>
  <c r="X32" i="36"/>
  <c r="G43" i="36"/>
  <c r="H43" i="36" s="1"/>
  <c r="X33" i="36"/>
  <c r="G44" i="36"/>
  <c r="X29" i="36"/>
  <c r="G40" i="36"/>
  <c r="X40" i="36" s="1"/>
  <c r="X30" i="36"/>
  <c r="G41" i="36"/>
  <c r="G12" i="38"/>
  <c r="X10" i="38"/>
  <c r="J23" i="39"/>
  <c r="G23" i="39"/>
  <c r="X23" i="39" s="1"/>
  <c r="J23" i="38"/>
  <c r="G23" i="38"/>
  <c r="X23" i="38" s="1"/>
  <c r="G49" i="41"/>
  <c r="G48" i="41"/>
  <c r="G47" i="41"/>
  <c r="G46" i="41"/>
  <c r="H23" i="33"/>
  <c r="G23" i="33"/>
  <c r="W23" i="33" s="1"/>
  <c r="C98" i="36"/>
  <c r="W98" i="36" s="1"/>
  <c r="G103" i="36"/>
  <c r="G102" i="36"/>
  <c r="G101" i="36"/>
  <c r="G100" i="36"/>
  <c r="G94" i="36"/>
  <c r="H23" i="39"/>
  <c r="M13" i="65"/>
  <c r="B105" i="36" s="1"/>
  <c r="C113" i="36" s="1"/>
  <c r="W113" i="36" s="1"/>
  <c r="P13" i="65"/>
  <c r="C51" i="41" s="1"/>
  <c r="W51" i="41" s="1"/>
  <c r="F13" i="65"/>
  <c r="C24" i="38" s="1"/>
  <c r="H25" i="38" s="1"/>
  <c r="E13" i="65"/>
  <c r="B24" i="38" s="1"/>
  <c r="W24" i="38" s="1"/>
  <c r="D13" i="65"/>
  <c r="C24" i="33" s="1"/>
  <c r="O13" i="65"/>
  <c r="B51" i="41" s="1"/>
  <c r="N13" i="65"/>
  <c r="C105" i="36" s="1"/>
  <c r="W105" i="36" s="1"/>
  <c r="K13" i="65"/>
  <c r="C60" i="40" s="1"/>
  <c r="AA60" i="40" s="1"/>
  <c r="C13" i="65"/>
  <c r="B24" i="33" s="1"/>
  <c r="V24" i="33" s="1"/>
  <c r="J13" i="65"/>
  <c r="D60" i="37" s="1"/>
  <c r="L13" i="65"/>
  <c r="D60" i="40" s="1"/>
  <c r="I13" i="65"/>
  <c r="C60" i="37" s="1"/>
  <c r="AA60" i="37" s="1"/>
  <c r="G13" i="65"/>
  <c r="B24" i="39" s="1"/>
  <c r="J25" i="39" s="1"/>
  <c r="H13" i="65"/>
  <c r="C24" i="39" s="1"/>
  <c r="H25" i="39" s="1"/>
  <c r="H23" i="38"/>
  <c r="C96" i="36"/>
  <c r="W96" i="36" s="1"/>
  <c r="C100" i="36"/>
  <c r="W100" i="36" s="1"/>
  <c r="C102" i="36"/>
  <c r="W102" i="36" s="1"/>
  <c r="H22" i="33"/>
  <c r="X59" i="36"/>
  <c r="X56" i="36"/>
  <c r="X57" i="36"/>
  <c r="J71" i="36"/>
  <c r="H11" i="41"/>
  <c r="J11" i="41" s="1"/>
  <c r="J15" i="41" s="1"/>
  <c r="X11" i="41"/>
  <c r="X69" i="36"/>
  <c r="X58" i="36"/>
  <c r="AU16" i="30"/>
  <c r="H12" i="38"/>
  <c r="J12" i="38" s="1"/>
  <c r="AZ16" i="30"/>
  <c r="J49" i="36"/>
  <c r="AU17" i="53"/>
  <c r="CP18" i="65" s="1"/>
  <c r="CC18" i="65"/>
  <c r="AC35" i="65"/>
  <c r="AP35" i="65" s="1"/>
  <c r="BC35" i="65" s="1"/>
  <c r="BP35" i="65" s="1"/>
  <c r="CC35" i="65" s="1"/>
  <c r="CP35" i="65" s="1"/>
  <c r="AC126" i="65"/>
  <c r="AP126" i="65" s="1"/>
  <c r="BC126" i="65" s="1"/>
  <c r="BP126" i="65" s="1"/>
  <c r="CC126" i="65" s="1"/>
  <c r="CP126" i="65" s="1"/>
  <c r="AC114" i="65"/>
  <c r="AP114" i="65" s="1"/>
  <c r="BC114" i="65" s="1"/>
  <c r="BP114" i="65" s="1"/>
  <c r="CC114" i="65" s="1"/>
  <c r="CP114" i="65" s="1"/>
  <c r="AC112" i="65"/>
  <c r="AP112" i="65" s="1"/>
  <c r="BC112" i="65" s="1"/>
  <c r="BP112" i="65" s="1"/>
  <c r="CC112" i="65" s="1"/>
  <c r="CP112" i="65" s="1"/>
  <c r="AC89" i="65"/>
  <c r="AP89" i="65" s="1"/>
  <c r="BC89" i="65" s="1"/>
  <c r="BP89" i="65" s="1"/>
  <c r="CC89" i="65" s="1"/>
  <c r="CP89" i="65" s="1"/>
  <c r="AC78" i="65"/>
  <c r="AP78" i="65" s="1"/>
  <c r="BC78" i="65" s="1"/>
  <c r="BP78" i="65" s="1"/>
  <c r="CC78" i="65" s="1"/>
  <c r="CP78" i="65" s="1"/>
  <c r="AC64" i="65"/>
  <c r="AP64" i="65" s="1"/>
  <c r="BC64" i="65" s="1"/>
  <c r="BP64" i="65" s="1"/>
  <c r="CC64" i="65" s="1"/>
  <c r="CP64" i="65" s="1"/>
  <c r="AC57" i="65"/>
  <c r="AP57" i="65" s="1"/>
  <c r="BC57" i="65" s="1"/>
  <c r="BP57" i="65" s="1"/>
  <c r="CC57" i="65" s="1"/>
  <c r="CP57" i="65" s="1"/>
  <c r="AC41" i="65"/>
  <c r="AP41" i="65" s="1"/>
  <c r="BC41" i="65" s="1"/>
  <c r="BP41" i="65" s="1"/>
  <c r="AP24" i="65"/>
  <c r="BC24" i="65" s="1"/>
  <c r="BP24" i="65" s="1"/>
  <c r="CC24" i="65" s="1"/>
  <c r="CP24" i="65" s="1"/>
  <c r="AC125" i="65"/>
  <c r="AP125" i="65" s="1"/>
  <c r="BC125" i="65" s="1"/>
  <c r="BP125" i="65" s="1"/>
  <c r="CC125" i="65" s="1"/>
  <c r="CP125" i="65" s="1"/>
  <c r="AC113" i="65"/>
  <c r="AP113" i="65" s="1"/>
  <c r="BC113" i="65" s="1"/>
  <c r="BP113" i="65" s="1"/>
  <c r="CC113" i="65" s="1"/>
  <c r="CP113" i="65" s="1"/>
  <c r="AC110" i="65"/>
  <c r="AP110" i="65" s="1"/>
  <c r="BC110" i="65" s="1"/>
  <c r="BP110" i="65" s="1"/>
  <c r="CC110" i="65" s="1"/>
  <c r="CP110" i="65" s="1"/>
  <c r="AC88" i="65"/>
  <c r="AP88" i="65" s="1"/>
  <c r="BC88" i="65" s="1"/>
  <c r="BP88" i="65" s="1"/>
  <c r="CC88" i="65" s="1"/>
  <c r="CP88" i="65" s="1"/>
  <c r="AC77" i="65"/>
  <c r="AP77" i="65" s="1"/>
  <c r="BC77" i="65" s="1"/>
  <c r="BP77" i="65" s="1"/>
  <c r="CC77" i="65" s="1"/>
  <c r="CP77" i="65" s="1"/>
  <c r="AC63" i="65"/>
  <c r="AP63" i="65" s="1"/>
  <c r="BC63" i="65" s="1"/>
  <c r="BP63" i="65" s="1"/>
  <c r="CC63" i="65" s="1"/>
  <c r="CP63" i="65" s="1"/>
  <c r="AC52" i="65"/>
  <c r="AP52" i="65" s="1"/>
  <c r="BC52" i="65" s="1"/>
  <c r="BP52" i="65" s="1"/>
  <c r="CC52" i="65" s="1"/>
  <c r="CP52" i="65" s="1"/>
  <c r="AC40" i="65"/>
  <c r="AP40" i="65" s="1"/>
  <c r="BC40" i="65" s="1"/>
  <c r="BP40" i="65" s="1"/>
  <c r="CC40" i="65" s="1"/>
  <c r="CP40" i="65" s="1"/>
  <c r="AP25" i="65"/>
  <c r="BC25" i="65" s="1"/>
  <c r="BP25" i="65" s="1"/>
  <c r="CC25" i="65" s="1"/>
  <c r="CP25" i="65" s="1"/>
  <c r="AC124" i="65"/>
  <c r="AP124" i="65" s="1"/>
  <c r="BC124" i="65" s="1"/>
  <c r="BP124" i="65" s="1"/>
  <c r="CC124" i="65" s="1"/>
  <c r="CP124" i="65" s="1"/>
  <c r="AC111" i="65"/>
  <c r="AP111" i="65" s="1"/>
  <c r="BC111" i="65" s="1"/>
  <c r="BP111" i="65" s="1"/>
  <c r="CC111" i="65" s="1"/>
  <c r="CP111" i="65" s="1"/>
  <c r="AC108" i="65"/>
  <c r="AP108" i="65" s="1"/>
  <c r="BC108" i="65" s="1"/>
  <c r="BP108" i="65" s="1"/>
  <c r="CC108" i="65" s="1"/>
  <c r="CP108" i="65" s="1"/>
  <c r="AC87" i="65"/>
  <c r="AP87" i="65" s="1"/>
  <c r="BC87" i="65" s="1"/>
  <c r="BP87" i="65" s="1"/>
  <c r="CC87" i="65" s="1"/>
  <c r="CP87" i="65" s="1"/>
  <c r="AC76" i="65"/>
  <c r="AP76" i="65" s="1"/>
  <c r="BC76" i="65" s="1"/>
  <c r="BP76" i="65" s="1"/>
  <c r="CC76" i="65" s="1"/>
  <c r="CP76" i="65" s="1"/>
  <c r="AC62" i="65"/>
  <c r="AP62" i="65" s="1"/>
  <c r="BC62" i="65" s="1"/>
  <c r="BP62" i="65" s="1"/>
  <c r="AC51" i="65"/>
  <c r="AP51" i="65" s="1"/>
  <c r="BC51" i="65" s="1"/>
  <c r="BP51" i="65" s="1"/>
  <c r="CC51" i="65" s="1"/>
  <c r="CP51" i="65" s="1"/>
  <c r="AC39" i="65"/>
  <c r="AP39" i="65" s="1"/>
  <c r="BC39" i="65" s="1"/>
  <c r="BP39" i="65" s="1"/>
  <c r="CC39" i="65" s="1"/>
  <c r="CP39" i="65" s="1"/>
  <c r="AP26" i="65"/>
  <c r="BC26" i="65" s="1"/>
  <c r="BP26" i="65" s="1"/>
  <c r="CC26" i="65" s="1"/>
  <c r="CP26" i="65" s="1"/>
  <c r="AC123" i="65"/>
  <c r="AP123" i="65" s="1"/>
  <c r="BC123" i="65" s="1"/>
  <c r="BP123" i="65" s="1"/>
  <c r="CC123" i="65" s="1"/>
  <c r="CP123" i="65" s="1"/>
  <c r="AC109" i="65"/>
  <c r="AP109" i="65" s="1"/>
  <c r="BC109" i="65" s="1"/>
  <c r="BP109" i="65" s="1"/>
  <c r="CC109" i="65" s="1"/>
  <c r="CP109" i="65" s="1"/>
  <c r="AC94" i="65"/>
  <c r="AP94" i="65" s="1"/>
  <c r="BC94" i="65" s="1"/>
  <c r="BP94" i="65" s="1"/>
  <c r="CC94" i="65" s="1"/>
  <c r="CP94" i="65" s="1"/>
  <c r="AC86" i="65"/>
  <c r="AP86" i="65" s="1"/>
  <c r="BC86" i="65" s="1"/>
  <c r="BP86" i="65" s="1"/>
  <c r="CC86" i="65" s="1"/>
  <c r="CP86" i="65" s="1"/>
  <c r="AC75" i="65"/>
  <c r="AP75" i="65" s="1"/>
  <c r="BC75" i="65" s="1"/>
  <c r="BP75" i="65" s="1"/>
  <c r="CC75" i="65" s="1"/>
  <c r="CP75" i="65" s="1"/>
  <c r="AC61" i="65"/>
  <c r="AP61" i="65" s="1"/>
  <c r="BC61" i="65" s="1"/>
  <c r="BP61" i="65" s="1"/>
  <c r="CC61" i="65" s="1"/>
  <c r="CP61" i="65" s="1"/>
  <c r="AC50" i="65"/>
  <c r="AP50" i="65" s="1"/>
  <c r="BC50" i="65" s="1"/>
  <c r="BP50" i="65" s="1"/>
  <c r="CC50" i="65" s="1"/>
  <c r="CP50" i="65" s="1"/>
  <c r="AC38" i="65"/>
  <c r="AP38" i="65" s="1"/>
  <c r="BC38" i="65" s="1"/>
  <c r="BP38" i="65" s="1"/>
  <c r="CC38" i="65" s="1"/>
  <c r="CP38" i="65" s="1"/>
  <c r="AP27" i="65"/>
  <c r="BC27" i="65" s="1"/>
  <c r="BP27" i="65" s="1"/>
  <c r="CC27" i="65" s="1"/>
  <c r="CP27" i="65" s="1"/>
  <c r="AC122" i="65"/>
  <c r="AP122" i="65" s="1"/>
  <c r="BC122" i="65" s="1"/>
  <c r="BP122" i="65" s="1"/>
  <c r="CC122" i="65" s="1"/>
  <c r="CP122" i="65" s="1"/>
  <c r="AC107" i="65"/>
  <c r="AP107" i="65" s="1"/>
  <c r="BC107" i="65" s="1"/>
  <c r="BP107" i="65" s="1"/>
  <c r="CC107" i="65" s="1"/>
  <c r="CP107" i="65" s="1"/>
  <c r="AC99" i="65"/>
  <c r="AP99" i="65" s="1"/>
  <c r="BC99" i="65" s="1"/>
  <c r="BP99" i="65" s="1"/>
  <c r="CC99" i="65" s="1"/>
  <c r="CP99" i="65" s="1"/>
  <c r="AC85" i="65"/>
  <c r="AP85" i="65" s="1"/>
  <c r="BC85" i="65" s="1"/>
  <c r="BP85" i="65" s="1"/>
  <c r="CC85" i="65" s="1"/>
  <c r="CP85" i="65" s="1"/>
  <c r="AC74" i="65"/>
  <c r="AP74" i="65" s="1"/>
  <c r="BC74" i="65" s="1"/>
  <c r="BP74" i="65" s="1"/>
  <c r="CC74" i="65" s="1"/>
  <c r="CP74" i="65" s="1"/>
  <c r="AC60" i="65"/>
  <c r="AP60" i="65" s="1"/>
  <c r="BC60" i="65" s="1"/>
  <c r="BP60" i="65" s="1"/>
  <c r="CC60" i="65" s="1"/>
  <c r="CP60" i="65" s="1"/>
  <c r="AC49" i="65"/>
  <c r="AP49" i="65" s="1"/>
  <c r="BC49" i="65" s="1"/>
  <c r="BP49" i="65" s="1"/>
  <c r="CC49" i="65" s="1"/>
  <c r="CP49" i="65" s="1"/>
  <c r="AC37" i="65"/>
  <c r="AP37" i="65" s="1"/>
  <c r="BC37" i="65" s="1"/>
  <c r="BP37" i="65" s="1"/>
  <c r="CC37" i="65" s="1"/>
  <c r="CP37" i="65" s="1"/>
  <c r="AC121" i="65"/>
  <c r="AP121" i="65" s="1"/>
  <c r="BC121" i="65" s="1"/>
  <c r="BP121" i="65" s="1"/>
  <c r="CC121" i="65" s="1"/>
  <c r="CP121" i="65" s="1"/>
  <c r="AC106" i="65"/>
  <c r="AP106" i="65" s="1"/>
  <c r="BC106" i="65" s="1"/>
  <c r="BP106" i="65" s="1"/>
  <c r="CC106" i="65" s="1"/>
  <c r="CP106" i="65" s="1"/>
  <c r="AC97" i="65"/>
  <c r="AP97" i="65" s="1"/>
  <c r="BC97" i="65" s="1"/>
  <c r="BP97" i="65" s="1"/>
  <c r="CC97" i="65" s="1"/>
  <c r="CP97" i="65" s="1"/>
  <c r="AC84" i="65"/>
  <c r="AP84" i="65" s="1"/>
  <c r="BC84" i="65" s="1"/>
  <c r="BP84" i="65" s="1"/>
  <c r="CC84" i="65" s="1"/>
  <c r="CP84" i="65" s="1"/>
  <c r="AC73" i="65"/>
  <c r="AP73" i="65" s="1"/>
  <c r="BC73" i="65" s="1"/>
  <c r="BP73" i="65" s="1"/>
  <c r="CC73" i="65" s="1"/>
  <c r="CP73" i="65" s="1"/>
  <c r="AC59" i="65"/>
  <c r="AP59" i="65" s="1"/>
  <c r="BC59" i="65" s="1"/>
  <c r="BP59" i="65" s="1"/>
  <c r="CC59" i="65" s="1"/>
  <c r="CP59" i="65" s="1"/>
  <c r="AC48" i="65"/>
  <c r="AP48" i="65" s="1"/>
  <c r="BC48" i="65" s="1"/>
  <c r="BP48" i="65" s="1"/>
  <c r="CC48" i="65" s="1"/>
  <c r="CP48" i="65" s="1"/>
  <c r="AC36" i="65"/>
  <c r="AP36" i="65" s="1"/>
  <c r="BC36" i="65" s="1"/>
  <c r="BP36" i="65" s="1"/>
  <c r="CC36" i="65" s="1"/>
  <c r="CP36" i="65" s="1"/>
  <c r="AC132" i="65"/>
  <c r="AP132" i="65" s="1"/>
  <c r="BC132" i="65" s="1"/>
  <c r="BP132" i="65" s="1"/>
  <c r="CC132" i="65" s="1"/>
  <c r="CP132" i="65" s="1"/>
  <c r="AC120" i="65"/>
  <c r="AP120" i="65" s="1"/>
  <c r="BC120" i="65" s="1"/>
  <c r="BP120" i="65" s="1"/>
  <c r="CC120" i="65" s="1"/>
  <c r="CP120" i="65" s="1"/>
  <c r="AC105" i="65"/>
  <c r="AP105" i="65" s="1"/>
  <c r="BC105" i="65" s="1"/>
  <c r="BP105" i="65" s="1"/>
  <c r="CC105" i="65" s="1"/>
  <c r="CP105" i="65" s="1"/>
  <c r="AC95" i="65"/>
  <c r="AP95" i="65" s="1"/>
  <c r="BC95" i="65" s="1"/>
  <c r="BP95" i="65" s="1"/>
  <c r="CC95" i="65" s="1"/>
  <c r="CP95" i="65" s="1"/>
  <c r="AC83" i="65"/>
  <c r="AP83" i="65" s="1"/>
  <c r="BC83" i="65" s="1"/>
  <c r="BP83" i="65" s="1"/>
  <c r="CC83" i="65" s="1"/>
  <c r="CP83" i="65" s="1"/>
  <c r="AC72" i="65"/>
  <c r="AP72" i="65" s="1"/>
  <c r="BC72" i="65" s="1"/>
  <c r="BP72" i="65" s="1"/>
  <c r="CC72" i="65" s="1"/>
  <c r="CP72" i="65" s="1"/>
  <c r="AC58" i="65"/>
  <c r="AP58" i="65" s="1"/>
  <c r="BC58" i="65" s="1"/>
  <c r="BP58" i="65" s="1"/>
  <c r="CC58" i="65" s="1"/>
  <c r="CP58" i="65" s="1"/>
  <c r="AC47" i="65"/>
  <c r="AP47" i="65" s="1"/>
  <c r="BC47" i="65" s="1"/>
  <c r="BP47" i="65" s="1"/>
  <c r="CC47" i="65" s="1"/>
  <c r="CP47" i="65" s="1"/>
  <c r="AC55" i="65"/>
  <c r="AP55" i="65" s="1"/>
  <c r="BC55" i="65" s="1"/>
  <c r="BP55" i="65" s="1"/>
  <c r="CC55" i="65" s="1"/>
  <c r="CP55" i="65" s="1"/>
  <c r="AC34" i="65"/>
  <c r="AP34" i="65" s="1"/>
  <c r="BC34" i="65" s="1"/>
  <c r="BP34" i="65" s="1"/>
  <c r="CC34" i="65" s="1"/>
  <c r="CP34" i="65" s="1"/>
  <c r="AC131" i="65"/>
  <c r="AP131" i="65" s="1"/>
  <c r="BC131" i="65" s="1"/>
  <c r="BP131" i="65" s="1"/>
  <c r="CC131" i="65" s="1"/>
  <c r="CP131" i="65" s="1"/>
  <c r="AC119" i="65"/>
  <c r="AP119" i="65" s="1"/>
  <c r="BC119" i="65" s="1"/>
  <c r="BP119" i="65" s="1"/>
  <c r="CC119" i="65" s="1"/>
  <c r="CP119" i="65" s="1"/>
  <c r="AC104" i="65"/>
  <c r="AP104" i="65" s="1"/>
  <c r="BC104" i="65" s="1"/>
  <c r="BP104" i="65" s="1"/>
  <c r="CC104" i="65" s="1"/>
  <c r="CP104" i="65" s="1"/>
  <c r="AC96" i="65"/>
  <c r="AP96" i="65" s="1"/>
  <c r="BC96" i="65" s="1"/>
  <c r="BP96" i="65" s="1"/>
  <c r="CC96" i="65" s="1"/>
  <c r="CP96" i="65" s="1"/>
  <c r="AC82" i="65"/>
  <c r="AP82" i="65" s="1"/>
  <c r="BC82" i="65" s="1"/>
  <c r="BP82" i="65" s="1"/>
  <c r="CC82" i="65" s="1"/>
  <c r="CP82" i="65" s="1"/>
  <c r="AC70" i="65"/>
  <c r="AP70" i="65" s="1"/>
  <c r="BC70" i="65" s="1"/>
  <c r="BP70" i="65" s="1"/>
  <c r="CC70" i="65" s="1"/>
  <c r="CP70" i="65" s="1"/>
  <c r="AC69" i="65"/>
  <c r="AP69" i="65" s="1"/>
  <c r="BC69" i="65" s="1"/>
  <c r="BP69" i="65" s="1"/>
  <c r="CC69" i="65" s="1"/>
  <c r="CP69" i="65" s="1"/>
  <c r="AC46" i="65"/>
  <c r="AP46" i="65" s="1"/>
  <c r="BC46" i="65" s="1"/>
  <c r="BP46" i="65" s="1"/>
  <c r="CC46" i="65" s="1"/>
  <c r="CP46" i="65" s="1"/>
  <c r="AP19" i="65"/>
  <c r="BC19" i="65" s="1"/>
  <c r="BP19" i="65" s="1"/>
  <c r="CC19" i="65" s="1"/>
  <c r="CP19" i="65" s="1"/>
  <c r="AC130" i="65"/>
  <c r="AP130" i="65" s="1"/>
  <c r="BC130" i="65" s="1"/>
  <c r="BP130" i="65" s="1"/>
  <c r="CC130" i="65" s="1"/>
  <c r="CP130" i="65" s="1"/>
  <c r="AC118" i="65"/>
  <c r="AP118" i="65" s="1"/>
  <c r="BC118" i="65" s="1"/>
  <c r="BP118" i="65" s="1"/>
  <c r="CC118" i="65" s="1"/>
  <c r="CP118" i="65" s="1"/>
  <c r="AC103" i="65"/>
  <c r="AP103" i="65" s="1"/>
  <c r="BC103" i="65" s="1"/>
  <c r="BP103" i="65" s="1"/>
  <c r="CC103" i="65" s="1"/>
  <c r="CP103" i="65" s="1"/>
  <c r="AC93" i="65"/>
  <c r="AP93" i="65" s="1"/>
  <c r="BC93" i="65" s="1"/>
  <c r="BP93" i="65" s="1"/>
  <c r="CC93" i="65" s="1"/>
  <c r="CP93" i="65" s="1"/>
  <c r="AC98" i="65"/>
  <c r="AP98" i="65" s="1"/>
  <c r="BC98" i="65" s="1"/>
  <c r="BP98" i="65" s="1"/>
  <c r="CC98" i="65" s="1"/>
  <c r="CP98" i="65" s="1"/>
  <c r="AC68" i="65"/>
  <c r="AP68" i="65" s="1"/>
  <c r="BC68" i="65" s="1"/>
  <c r="BP68" i="65" s="1"/>
  <c r="CC68" i="65" s="1"/>
  <c r="CP68" i="65" s="1"/>
  <c r="AC71" i="65"/>
  <c r="AP71" i="65" s="1"/>
  <c r="BC71" i="65" s="1"/>
  <c r="BP71" i="65" s="1"/>
  <c r="CC71" i="65" s="1"/>
  <c r="CP71" i="65" s="1"/>
  <c r="AC45" i="65"/>
  <c r="AP45" i="65" s="1"/>
  <c r="BC45" i="65" s="1"/>
  <c r="BP45" i="65" s="1"/>
  <c r="CC45" i="65" s="1"/>
  <c r="CP45" i="65" s="1"/>
  <c r="AP20" i="65"/>
  <c r="BC20" i="65" s="1"/>
  <c r="BP20" i="65" s="1"/>
  <c r="CC20" i="65" s="1"/>
  <c r="CP20" i="65" s="1"/>
  <c r="AC127" i="65"/>
  <c r="AP127" i="65" s="1"/>
  <c r="BC127" i="65" s="1"/>
  <c r="BP127" i="65" s="1"/>
  <c r="CC127" i="65" s="1"/>
  <c r="CP127" i="65" s="1"/>
  <c r="AC115" i="65"/>
  <c r="AP115" i="65" s="1"/>
  <c r="BC115" i="65" s="1"/>
  <c r="BP115" i="65" s="1"/>
  <c r="CC115" i="65" s="1"/>
  <c r="CP115" i="65" s="1"/>
  <c r="AC100" i="65"/>
  <c r="AP100" i="65" s="1"/>
  <c r="BC100" i="65" s="1"/>
  <c r="BP100" i="65" s="1"/>
  <c r="CC100" i="65" s="1"/>
  <c r="CP100" i="65" s="1"/>
  <c r="AC90" i="65"/>
  <c r="AP90" i="65" s="1"/>
  <c r="BC90" i="65" s="1"/>
  <c r="BP90" i="65" s="1"/>
  <c r="CC90" i="65" s="1"/>
  <c r="CP90" i="65" s="1"/>
  <c r="AC79" i="65"/>
  <c r="AP79" i="65" s="1"/>
  <c r="BC79" i="65" s="1"/>
  <c r="BP79" i="65" s="1"/>
  <c r="CC79" i="65" s="1"/>
  <c r="CP79" i="65" s="1"/>
  <c r="AC65" i="65"/>
  <c r="AP65" i="65" s="1"/>
  <c r="BC65" i="65" s="1"/>
  <c r="BP65" i="65" s="1"/>
  <c r="CC65" i="65" s="1"/>
  <c r="CP65" i="65" s="1"/>
  <c r="AC53" i="65"/>
  <c r="AP53" i="65" s="1"/>
  <c r="BC53" i="65" s="1"/>
  <c r="BP53" i="65" s="1"/>
  <c r="CC53" i="65" s="1"/>
  <c r="CP53" i="65" s="1"/>
  <c r="AC42" i="65"/>
  <c r="AP42" i="65" s="1"/>
  <c r="BC42" i="65" s="1"/>
  <c r="BP42" i="65" s="1"/>
  <c r="CC42" i="65" s="1"/>
  <c r="CP42" i="65" s="1"/>
  <c r="AP23" i="65"/>
  <c r="BC23" i="65" s="1"/>
  <c r="BP23" i="65" s="1"/>
  <c r="CC23" i="65" s="1"/>
  <c r="CP23" i="65" s="1"/>
  <c r="AC92" i="65"/>
  <c r="AP92" i="65" s="1"/>
  <c r="BC92" i="65" s="1"/>
  <c r="BP92" i="65" s="1"/>
  <c r="CC92" i="65" s="1"/>
  <c r="CP92" i="65" s="1"/>
  <c r="AC32" i="65"/>
  <c r="AP32" i="65" s="1"/>
  <c r="BC32" i="65" s="1"/>
  <c r="BP32" i="65" s="1"/>
  <c r="CC32" i="65" s="1"/>
  <c r="CP32" i="65" s="1"/>
  <c r="AC91" i="65"/>
  <c r="AP91" i="65" s="1"/>
  <c r="BC91" i="65" s="1"/>
  <c r="BP91" i="65" s="1"/>
  <c r="CC91" i="65" s="1"/>
  <c r="CP91" i="65" s="1"/>
  <c r="AC33" i="65"/>
  <c r="AP33" i="65" s="1"/>
  <c r="BC33" i="65" s="1"/>
  <c r="BP33" i="65" s="1"/>
  <c r="CC33" i="65" s="1"/>
  <c r="CP33" i="65" s="1"/>
  <c r="AC81" i="65"/>
  <c r="AP81" i="65" s="1"/>
  <c r="BC81" i="65" s="1"/>
  <c r="BP81" i="65" s="1"/>
  <c r="CC81" i="65" s="1"/>
  <c r="CP81" i="65" s="1"/>
  <c r="AC80" i="65"/>
  <c r="AP80" i="65" s="1"/>
  <c r="BC80" i="65" s="1"/>
  <c r="BP80" i="65" s="1"/>
  <c r="CC80" i="65" s="1"/>
  <c r="CP80" i="65" s="1"/>
  <c r="AC67" i="65"/>
  <c r="AP67" i="65" s="1"/>
  <c r="BC67" i="65" s="1"/>
  <c r="BP67" i="65" s="1"/>
  <c r="CC67" i="65" s="1"/>
  <c r="CP67" i="65" s="1"/>
  <c r="AC43" i="65"/>
  <c r="AP43" i="65" s="1"/>
  <c r="BC43" i="65" s="1"/>
  <c r="BP43" i="65" s="1"/>
  <c r="CC43" i="65" s="1"/>
  <c r="CP43" i="65" s="1"/>
  <c r="AC66" i="65"/>
  <c r="AP66" i="65" s="1"/>
  <c r="BC66" i="65" s="1"/>
  <c r="BP66" i="65" s="1"/>
  <c r="CC66" i="65" s="1"/>
  <c r="CP66" i="65" s="1"/>
  <c r="AC116" i="65"/>
  <c r="AP116" i="65" s="1"/>
  <c r="BC116" i="65" s="1"/>
  <c r="BP116" i="65" s="1"/>
  <c r="CC116" i="65" s="1"/>
  <c r="CP116" i="65" s="1"/>
  <c r="AP21" i="65"/>
  <c r="BC21" i="65" s="1"/>
  <c r="BP21" i="65" s="1"/>
  <c r="CC21" i="65" s="1"/>
  <c r="CP21" i="65" s="1"/>
  <c r="AC129" i="65"/>
  <c r="AP129" i="65" s="1"/>
  <c r="BC129" i="65" s="1"/>
  <c r="BP129" i="65" s="1"/>
  <c r="CC129" i="65" s="1"/>
  <c r="CP129" i="65" s="1"/>
  <c r="AC56" i="65"/>
  <c r="AP56" i="65" s="1"/>
  <c r="BC56" i="65" s="1"/>
  <c r="BP56" i="65" s="1"/>
  <c r="CC56" i="65" s="1"/>
  <c r="CP56" i="65" s="1"/>
  <c r="AC102" i="65"/>
  <c r="AP102" i="65" s="1"/>
  <c r="BC102" i="65" s="1"/>
  <c r="BP102" i="65" s="1"/>
  <c r="CC102" i="65" s="1"/>
  <c r="CP102" i="65" s="1"/>
  <c r="AC128" i="65"/>
  <c r="AP128" i="65" s="1"/>
  <c r="BC128" i="65" s="1"/>
  <c r="BP128" i="65" s="1"/>
  <c r="CC128" i="65" s="1"/>
  <c r="CP128" i="65" s="1"/>
  <c r="AC54" i="65"/>
  <c r="AP54" i="65" s="1"/>
  <c r="BC54" i="65" s="1"/>
  <c r="BP54" i="65" s="1"/>
  <c r="CC54" i="65" s="1"/>
  <c r="CP54" i="65" s="1"/>
  <c r="AC117" i="65"/>
  <c r="AP117" i="65" s="1"/>
  <c r="BC117" i="65" s="1"/>
  <c r="BP117" i="65" s="1"/>
  <c r="CC117" i="65" s="1"/>
  <c r="CP117" i="65" s="1"/>
  <c r="AC44" i="65"/>
  <c r="AP44" i="65" s="1"/>
  <c r="BC44" i="65" s="1"/>
  <c r="BP44" i="65" s="1"/>
  <c r="CC44" i="65" s="1"/>
  <c r="CP44" i="65" s="1"/>
  <c r="AP28" i="65"/>
  <c r="BC28" i="65" s="1"/>
  <c r="BP28" i="65" s="1"/>
  <c r="CC28" i="65" s="1"/>
  <c r="CP28" i="65" s="1"/>
  <c r="AP29" i="65"/>
  <c r="BC29" i="65" s="1"/>
  <c r="BP29" i="65" s="1"/>
  <c r="CC29" i="65" s="1"/>
  <c r="CP29" i="65" s="1"/>
  <c r="AC30" i="65"/>
  <c r="AP30" i="65" s="1"/>
  <c r="BC30" i="65" s="1"/>
  <c r="BP30" i="65" s="1"/>
  <c r="CC30" i="65" s="1"/>
  <c r="CP30" i="65" s="1"/>
  <c r="AC101" i="65"/>
  <c r="AP101" i="65" s="1"/>
  <c r="BC101" i="65" s="1"/>
  <c r="BP101" i="65" s="1"/>
  <c r="CC101" i="65" s="1"/>
  <c r="CP101" i="65" s="1"/>
  <c r="AP22" i="65"/>
  <c r="BC22" i="65" s="1"/>
  <c r="BP22" i="65" s="1"/>
  <c r="CC22" i="65" s="1"/>
  <c r="CP22" i="65" s="1"/>
  <c r="AC31" i="65"/>
  <c r="AP31" i="65" s="1"/>
  <c r="BC31" i="65" s="1"/>
  <c r="BP31" i="65" s="1"/>
  <c r="CC31" i="65" s="1"/>
  <c r="CP31" i="65" s="1"/>
  <c r="AS15" i="30"/>
  <c r="AR15" i="30"/>
  <c r="N27" i="34"/>
  <c r="J27" i="34" s="1"/>
  <c r="W20" i="53" s="1"/>
  <c r="AX14" i="30"/>
  <c r="AU14" i="30"/>
  <c r="AV14" i="30" s="1"/>
  <c r="J58" i="36"/>
  <c r="J55" i="36"/>
  <c r="AZ12" i="30"/>
  <c r="AT12" i="30"/>
  <c r="AT15" i="30"/>
  <c r="AX15" i="30" s="1"/>
  <c r="AR13" i="30"/>
  <c r="J56" i="36"/>
  <c r="J53" i="36"/>
  <c r="AC17" i="30"/>
  <c r="Z17" i="30" s="1"/>
  <c r="AA17" i="30" s="1"/>
  <c r="I12" i="40"/>
  <c r="AB12" i="40" s="1"/>
  <c r="N21" i="40"/>
  <c r="N7" i="40"/>
  <c r="N10" i="40"/>
  <c r="N8" i="40"/>
  <c r="N9" i="40"/>
  <c r="N6" i="40"/>
  <c r="AV16" i="30"/>
  <c r="J77" i="36"/>
  <c r="J72" i="36"/>
  <c r="J74" i="36"/>
  <c r="J78" i="36"/>
  <c r="J80" i="36"/>
  <c r="J94" i="36"/>
  <c r="AH20" i="30"/>
  <c r="AJ18" i="30"/>
  <c r="AC18" i="30" s="1"/>
  <c r="Z18" i="30" s="1"/>
  <c r="AA18" i="30" s="1"/>
  <c r="X19" i="41"/>
  <c r="X17" i="41"/>
  <c r="X18" i="41"/>
  <c r="J8" i="41"/>
  <c r="J9" i="41"/>
  <c r="X16" i="41"/>
  <c r="J38" i="36"/>
  <c r="H69" i="36"/>
  <c r="AH19" i="30"/>
  <c r="AI19" i="30" s="1"/>
  <c r="K22" i="40"/>
  <c r="I19" i="40"/>
  <c r="AB19" i="40" s="1"/>
  <c r="K19" i="40"/>
  <c r="K18" i="40"/>
  <c r="AD18" i="40" s="1"/>
  <c r="K21" i="40"/>
  <c r="I22" i="40"/>
  <c r="AB22" i="40" s="1"/>
  <c r="I21" i="40"/>
  <c r="I20" i="40"/>
  <c r="AB20" i="40" s="1"/>
  <c r="K20" i="40"/>
  <c r="J93" i="36"/>
  <c r="X61" i="36"/>
  <c r="H50" i="36"/>
  <c r="N22" i="40"/>
  <c r="H101" i="36"/>
  <c r="H89" i="36"/>
  <c r="J100" i="36" l="1"/>
  <c r="E15" i="65"/>
  <c r="B28" i="38" s="1"/>
  <c r="W28" i="38" s="1"/>
  <c r="I15" i="65"/>
  <c r="C72" i="37" s="1"/>
  <c r="AA72" i="37" s="1"/>
  <c r="F15" i="65"/>
  <c r="C28" i="38" s="1"/>
  <c r="G29" i="38" s="1"/>
  <c r="X29" i="38" s="1"/>
  <c r="D15" i="65"/>
  <c r="C28" i="33" s="1"/>
  <c r="G29" i="33" s="1"/>
  <c r="W29" i="33" s="1"/>
  <c r="O15" i="65"/>
  <c r="B61" i="41" s="1"/>
  <c r="G62" i="41" s="1"/>
  <c r="N15" i="65"/>
  <c r="C127" i="36" s="1"/>
  <c r="W127" i="36" s="1"/>
  <c r="J15" i="65"/>
  <c r="D72" i="37" s="1"/>
  <c r="M15" i="65"/>
  <c r="B127" i="36" s="1"/>
  <c r="C135" i="36" s="1"/>
  <c r="W135" i="36" s="1"/>
  <c r="P15" i="65"/>
  <c r="C61" i="41" s="1"/>
  <c r="W61" i="41" s="1"/>
  <c r="C15" i="65"/>
  <c r="B28" i="33" s="1"/>
  <c r="V28" i="33" s="1"/>
  <c r="L15" i="65"/>
  <c r="D72" i="40" s="1"/>
  <c r="K15" i="65"/>
  <c r="C72" i="40" s="1"/>
  <c r="AA72" i="40" s="1"/>
  <c r="G15" i="65"/>
  <c r="B28" i="39" s="1"/>
  <c r="J29" i="39" s="1"/>
  <c r="H15" i="65"/>
  <c r="C28" i="39" s="1"/>
  <c r="G29" i="39" s="1"/>
  <c r="X29" i="39" s="1"/>
  <c r="X41" i="36"/>
  <c r="H41" i="36"/>
  <c r="CC41" i="65"/>
  <c r="CP41" i="65" s="1"/>
  <c r="G14" i="33"/>
  <c r="W12" i="33"/>
  <c r="C107" i="36"/>
  <c r="W107" i="36" s="1"/>
  <c r="X44" i="36"/>
  <c r="G55" i="36"/>
  <c r="X43" i="36"/>
  <c r="G54" i="36"/>
  <c r="H54" i="36" s="1"/>
  <c r="G52" i="36"/>
  <c r="H52" i="36" s="1"/>
  <c r="X42" i="36"/>
  <c r="G53" i="36"/>
  <c r="G51" i="36"/>
  <c r="X51" i="36" s="1"/>
  <c r="X12" i="39"/>
  <c r="G14" i="39"/>
  <c r="H12" i="39"/>
  <c r="J12" i="39" s="1"/>
  <c r="G14" i="38"/>
  <c r="X12" i="38"/>
  <c r="C109" i="36"/>
  <c r="W109" i="36" s="1"/>
  <c r="C111" i="36"/>
  <c r="W111" i="36" s="1"/>
  <c r="J99" i="36"/>
  <c r="W24" i="39"/>
  <c r="G52" i="41"/>
  <c r="G54" i="41"/>
  <c r="G53" i="41"/>
  <c r="G51" i="41"/>
  <c r="H25" i="33"/>
  <c r="G25" i="33"/>
  <c r="W25" i="33" s="1"/>
  <c r="J25" i="38"/>
  <c r="G25" i="38"/>
  <c r="X25" i="38" s="1"/>
  <c r="G25" i="39"/>
  <c r="X25" i="39" s="1"/>
  <c r="G105" i="36"/>
  <c r="G114" i="36"/>
  <c r="G113" i="36"/>
  <c r="G112" i="36"/>
  <c r="G111" i="36"/>
  <c r="CC62" i="65"/>
  <c r="CP62" i="65" s="1"/>
  <c r="H24" i="33"/>
  <c r="J103" i="36"/>
  <c r="J96" i="36"/>
  <c r="X80" i="36"/>
  <c r="H29" i="38"/>
  <c r="L21" i="40"/>
  <c r="AB21" i="40"/>
  <c r="K28" i="40"/>
  <c r="AD28" i="40" s="1"/>
  <c r="AD22" i="40"/>
  <c r="X68" i="36"/>
  <c r="X67" i="36"/>
  <c r="K25" i="40"/>
  <c r="AD25" i="40" s="1"/>
  <c r="AD19" i="40"/>
  <c r="K27" i="40"/>
  <c r="AD27" i="40" s="1"/>
  <c r="AD21" i="40"/>
  <c r="K26" i="40"/>
  <c r="AD26" i="40" s="1"/>
  <c r="AD20" i="40"/>
  <c r="X70" i="36"/>
  <c r="J29" i="38"/>
  <c r="N11" i="40"/>
  <c r="H14" i="38"/>
  <c r="J14" i="38" s="1"/>
  <c r="AZ15" i="30"/>
  <c r="J60" i="36"/>
  <c r="AU15" i="30"/>
  <c r="N45" i="37" s="1"/>
  <c r="I18" i="40"/>
  <c r="N19" i="40"/>
  <c r="N20" i="40"/>
  <c r="K12" i="40"/>
  <c r="X23" i="41"/>
  <c r="X22" i="41"/>
  <c r="X24" i="41"/>
  <c r="N37" i="40"/>
  <c r="AS17" i="30"/>
  <c r="AX12" i="30"/>
  <c r="AU12" i="30"/>
  <c r="AV12" i="30" s="1"/>
  <c r="K24" i="40" s="1"/>
  <c r="AD24" i="40" s="1"/>
  <c r="H16" i="41"/>
  <c r="J16" i="41" s="1"/>
  <c r="J20" i="41" s="1"/>
  <c r="N38" i="40"/>
  <c r="AZ13" i="30"/>
  <c r="AT13" i="30"/>
  <c r="AR17" i="30"/>
  <c r="J10" i="41"/>
  <c r="J82" i="36"/>
  <c r="AY18" i="30"/>
  <c r="J105" i="36" s="1"/>
  <c r="AI20" i="30"/>
  <c r="AJ20" i="30" s="1"/>
  <c r="N15" i="40"/>
  <c r="N16" i="40"/>
  <c r="N12" i="40"/>
  <c r="N13" i="40"/>
  <c r="N14" i="40"/>
  <c r="AV15" i="30"/>
  <c r="J98" i="36"/>
  <c r="J97" i="36"/>
  <c r="J102" i="36"/>
  <c r="J95" i="36"/>
  <c r="J101" i="36"/>
  <c r="AJ19" i="30"/>
  <c r="AY19" i="30" s="1"/>
  <c r="N44" i="37"/>
  <c r="N46" i="37"/>
  <c r="N43" i="37"/>
  <c r="I12" i="37"/>
  <c r="K12" i="37"/>
  <c r="AR18" i="30"/>
  <c r="AS18" i="30"/>
  <c r="N16" i="37"/>
  <c r="N13" i="37"/>
  <c r="N14" i="37"/>
  <c r="N15" i="37"/>
  <c r="X91" i="36"/>
  <c r="H80" i="36"/>
  <c r="L19" i="40"/>
  <c r="I25" i="40"/>
  <c r="K19" i="37"/>
  <c r="I19" i="37"/>
  <c r="I28" i="40"/>
  <c r="L22" i="40"/>
  <c r="I27" i="40"/>
  <c r="AB27" i="40" s="1"/>
  <c r="L20" i="40"/>
  <c r="I26" i="40"/>
  <c r="N21" i="37"/>
  <c r="N19" i="37"/>
  <c r="N22" i="37"/>
  <c r="N20" i="37"/>
  <c r="N49" i="37"/>
  <c r="N51" i="37"/>
  <c r="N50" i="37"/>
  <c r="N52" i="37"/>
  <c r="X72" i="36"/>
  <c r="H61" i="36"/>
  <c r="H112" i="36"/>
  <c r="H100" i="36"/>
  <c r="H29" i="33" l="1"/>
  <c r="G63" i="41"/>
  <c r="G64" i="41"/>
  <c r="G61" i="41"/>
  <c r="C129" i="36"/>
  <c r="W129" i="36" s="1"/>
  <c r="H28" i="33"/>
  <c r="C131" i="36"/>
  <c r="W131" i="36" s="1"/>
  <c r="C133" i="36"/>
  <c r="W133" i="36" s="1"/>
  <c r="H29" i="39"/>
  <c r="W28" i="39"/>
  <c r="G16" i="33"/>
  <c r="W14" i="33"/>
  <c r="G16" i="38"/>
  <c r="X14" i="38"/>
  <c r="G16" i="39"/>
  <c r="X14" i="39"/>
  <c r="H14" i="39"/>
  <c r="J14" i="39" s="1"/>
  <c r="X53" i="36"/>
  <c r="G62" i="36"/>
  <c r="X62" i="36" s="1"/>
  <c r="G64" i="36"/>
  <c r="X52" i="36"/>
  <c r="G63" i="36"/>
  <c r="H63" i="36" s="1"/>
  <c r="X54" i="36"/>
  <c r="G65" i="36"/>
  <c r="H65" i="36" s="1"/>
  <c r="X55" i="36"/>
  <c r="G66" i="36"/>
  <c r="C14" i="65"/>
  <c r="B26" i="33" s="1"/>
  <c r="V26" i="33" s="1"/>
  <c r="V4" i="33" s="1"/>
  <c r="C54" i="67" s="1"/>
  <c r="L14" i="65"/>
  <c r="D66" i="40" s="1"/>
  <c r="N14" i="65"/>
  <c r="C116" i="36" s="1"/>
  <c r="W116" i="36" s="1"/>
  <c r="M14" i="65"/>
  <c r="B116" i="36" s="1"/>
  <c r="C118" i="36" s="1"/>
  <c r="K14" i="65"/>
  <c r="C66" i="40" s="1"/>
  <c r="AA66" i="40" s="1"/>
  <c r="AA4" i="40" s="1"/>
  <c r="C64" i="67" s="1"/>
  <c r="J14" i="65"/>
  <c r="D66" i="37" s="1"/>
  <c r="I14" i="65"/>
  <c r="C66" i="37" s="1"/>
  <c r="AA66" i="37" s="1"/>
  <c r="AA4" i="37" s="1"/>
  <c r="C60" i="67" s="1"/>
  <c r="O14" i="65"/>
  <c r="B56" i="41" s="1"/>
  <c r="D14" i="65"/>
  <c r="C26" i="33" s="1"/>
  <c r="H14" i="65"/>
  <c r="C26" i="39" s="1"/>
  <c r="G14" i="65"/>
  <c r="B26" i="39" s="1"/>
  <c r="J27" i="39" s="1"/>
  <c r="F14" i="65"/>
  <c r="C26" i="38" s="1"/>
  <c r="E14" i="65"/>
  <c r="B26" i="38" s="1"/>
  <c r="W26" i="38" s="1"/>
  <c r="W4" i="38" s="1"/>
  <c r="C56" i="67" s="1"/>
  <c r="P14" i="65"/>
  <c r="C56" i="41" s="1"/>
  <c r="W56" i="41" s="1"/>
  <c r="W4" i="41" s="1"/>
  <c r="C70" i="67" s="1"/>
  <c r="X79" i="36"/>
  <c r="L26" i="40"/>
  <c r="AB26" i="40"/>
  <c r="H21" i="41"/>
  <c r="J21" i="41" s="1"/>
  <c r="J25" i="41" s="1"/>
  <c r="X21" i="41"/>
  <c r="L28" i="40"/>
  <c r="AB28" i="40"/>
  <c r="L19" i="37"/>
  <c r="AB19" i="37"/>
  <c r="K18" i="37"/>
  <c r="AD18" i="37" s="1"/>
  <c r="AD12" i="37"/>
  <c r="L12" i="40"/>
  <c r="AD12" i="40"/>
  <c r="K25" i="37"/>
  <c r="AD25" i="37" s="1"/>
  <c r="AD19" i="37"/>
  <c r="I18" i="37"/>
  <c r="AB18" i="37" s="1"/>
  <c r="AB12" i="37"/>
  <c r="L25" i="40"/>
  <c r="AB25" i="40"/>
  <c r="X81" i="36"/>
  <c r="L18" i="40"/>
  <c r="N18" i="40" s="1"/>
  <c r="O23" i="40" s="1"/>
  <c r="AB18" i="40"/>
  <c r="X78" i="36"/>
  <c r="N26" i="34"/>
  <c r="J26" i="34" s="1"/>
  <c r="V20" i="53" s="1"/>
  <c r="AT17" i="30"/>
  <c r="AX17" i="30" s="1"/>
  <c r="AT18" i="30"/>
  <c r="AU18" i="30" s="1"/>
  <c r="AV18" i="30" s="1"/>
  <c r="H16" i="38"/>
  <c r="J16" i="38" s="1"/>
  <c r="N28" i="34"/>
  <c r="J28" i="34" s="1"/>
  <c r="AA20" i="53" s="1"/>
  <c r="I24" i="40"/>
  <c r="N39" i="40"/>
  <c r="N40" i="40"/>
  <c r="AY20" i="30"/>
  <c r="AX13" i="30"/>
  <c r="AU13" i="30"/>
  <c r="AV13" i="30" s="1"/>
  <c r="N39" i="37"/>
  <c r="N38" i="37"/>
  <c r="N37" i="37"/>
  <c r="N40" i="37"/>
  <c r="I24" i="37"/>
  <c r="AB24" i="37" s="1"/>
  <c r="AZ17" i="30"/>
  <c r="AC20" i="30"/>
  <c r="AC19" i="30"/>
  <c r="Z19" i="30" s="1"/>
  <c r="AA19" i="30" s="1"/>
  <c r="J109" i="36"/>
  <c r="J114" i="36"/>
  <c r="J107" i="36"/>
  <c r="N28" i="40"/>
  <c r="N27" i="40"/>
  <c r="N26" i="40"/>
  <c r="N24" i="40"/>
  <c r="N25" i="40"/>
  <c r="J111" i="36"/>
  <c r="O17" i="40"/>
  <c r="J104" i="36"/>
  <c r="L12" i="37"/>
  <c r="N12" i="37" s="1"/>
  <c r="O17" i="37" s="1"/>
  <c r="J106" i="36"/>
  <c r="C25" i="35"/>
  <c r="G25" i="35" s="1"/>
  <c r="AZ18" i="30"/>
  <c r="H91" i="36"/>
  <c r="X102" i="36"/>
  <c r="K31" i="40"/>
  <c r="I31" i="40"/>
  <c r="K31" i="37"/>
  <c r="I25" i="37"/>
  <c r="K34" i="40"/>
  <c r="I34" i="40"/>
  <c r="AB34" i="40" s="1"/>
  <c r="I32" i="40"/>
  <c r="AB32" i="40" s="1"/>
  <c r="K33" i="40"/>
  <c r="I33" i="40"/>
  <c r="AB33" i="40" s="1"/>
  <c r="L27" i="40"/>
  <c r="K32" i="40"/>
  <c r="N50" i="40"/>
  <c r="N49" i="40"/>
  <c r="N52" i="40"/>
  <c r="N51" i="40"/>
  <c r="H72" i="36"/>
  <c r="X83" i="36"/>
  <c r="H111" i="36"/>
  <c r="H123" i="36"/>
  <c r="J116" i="36" l="1"/>
  <c r="G18" i="33"/>
  <c r="W16" i="33"/>
  <c r="L18" i="37"/>
  <c r="N18" i="37" s="1"/>
  <c r="O23" i="37" s="1"/>
  <c r="AX18" i="30"/>
  <c r="X65" i="36"/>
  <c r="G76" i="36"/>
  <c r="H76" i="36" s="1"/>
  <c r="X64" i="36"/>
  <c r="G75" i="36"/>
  <c r="G73" i="36"/>
  <c r="X73" i="36" s="1"/>
  <c r="X63" i="36"/>
  <c r="G74" i="36"/>
  <c r="C124" i="36"/>
  <c r="J125" i="36" s="1"/>
  <c r="G18" i="39"/>
  <c r="X16" i="39"/>
  <c r="H16" i="39"/>
  <c r="J16" i="39" s="1"/>
  <c r="H27" i="38"/>
  <c r="X66" i="36"/>
  <c r="G77" i="36"/>
  <c r="G18" i="38"/>
  <c r="H18" i="38" s="1"/>
  <c r="J18" i="38" s="1"/>
  <c r="X16" i="38"/>
  <c r="C122" i="36"/>
  <c r="J123" i="36" s="1"/>
  <c r="C120" i="36"/>
  <c r="W120" i="36" s="1"/>
  <c r="J27" i="38"/>
  <c r="G27" i="38"/>
  <c r="X27" i="38" s="1"/>
  <c r="H27" i="33"/>
  <c r="G27" i="33"/>
  <c r="W27" i="33" s="1"/>
  <c r="H27" i="39"/>
  <c r="G27" i="39"/>
  <c r="X27" i="39" s="1"/>
  <c r="G59" i="41"/>
  <c r="G58" i="41"/>
  <c r="G57" i="41"/>
  <c r="G56" i="41"/>
  <c r="G116" i="36"/>
  <c r="G127" i="36" s="1"/>
  <c r="G125" i="36"/>
  <c r="G136" i="36" s="1"/>
  <c r="G124" i="36"/>
  <c r="G135" i="36" s="1"/>
  <c r="G123" i="36"/>
  <c r="G134" i="36" s="1"/>
  <c r="G122" i="36"/>
  <c r="G133" i="36" s="1"/>
  <c r="H26" i="33"/>
  <c r="W26" i="39"/>
  <c r="W4" i="39" s="1"/>
  <c r="C58" i="67" s="1"/>
  <c r="AU17" i="30"/>
  <c r="N55" i="37" s="1"/>
  <c r="X89" i="36"/>
  <c r="X92" i="36"/>
  <c r="X90" i="36"/>
  <c r="X29" i="41"/>
  <c r="H26" i="41"/>
  <c r="J26" i="41" s="1"/>
  <c r="J30" i="41" s="1"/>
  <c r="X26" i="41"/>
  <c r="K37" i="37"/>
  <c r="AD31" i="37"/>
  <c r="X27" i="41"/>
  <c r="J118" i="36"/>
  <c r="W118" i="36"/>
  <c r="L31" i="40"/>
  <c r="AB31" i="40"/>
  <c r="K39" i="40"/>
  <c r="AD33" i="40"/>
  <c r="L25" i="37"/>
  <c r="AB25" i="37"/>
  <c r="K37" i="40"/>
  <c r="AD31" i="40"/>
  <c r="L24" i="40"/>
  <c r="AB24" i="40"/>
  <c r="K40" i="40"/>
  <c r="AD34" i="40"/>
  <c r="K38" i="40"/>
  <c r="AD32" i="40"/>
  <c r="X28" i="41"/>
  <c r="J136" i="36"/>
  <c r="H31" i="41"/>
  <c r="J31" i="41" s="1"/>
  <c r="J35" i="41" s="1"/>
  <c r="AV17" i="30"/>
  <c r="N55" i="40" s="1"/>
  <c r="N56" i="37"/>
  <c r="N25" i="37"/>
  <c r="N27" i="37"/>
  <c r="N28" i="37"/>
  <c r="N26" i="37"/>
  <c r="N57" i="37"/>
  <c r="N58" i="37"/>
  <c r="K24" i="37"/>
  <c r="J110" i="36"/>
  <c r="AR19" i="30"/>
  <c r="J113" i="36"/>
  <c r="J108" i="36"/>
  <c r="J112" i="36"/>
  <c r="AS19" i="30"/>
  <c r="AT19" i="30" s="1"/>
  <c r="AX19" i="30" s="1"/>
  <c r="Z20" i="30"/>
  <c r="AR20" i="30"/>
  <c r="AS20" i="30"/>
  <c r="N43" i="40"/>
  <c r="N46" i="40"/>
  <c r="N44" i="40"/>
  <c r="N45" i="40"/>
  <c r="O29" i="40"/>
  <c r="J117" i="36"/>
  <c r="H102" i="36"/>
  <c r="X113" i="36"/>
  <c r="J119" i="36"/>
  <c r="K62" i="40"/>
  <c r="AD62" i="40" s="1"/>
  <c r="K61" i="40"/>
  <c r="AD61" i="40" s="1"/>
  <c r="I37" i="40"/>
  <c r="AB37" i="40" s="1"/>
  <c r="K67" i="40"/>
  <c r="K68" i="40"/>
  <c r="K63" i="40"/>
  <c r="K64" i="40"/>
  <c r="I30" i="37"/>
  <c r="AB30" i="37" s="1"/>
  <c r="I31" i="37"/>
  <c r="AB31" i="37" s="1"/>
  <c r="I39" i="40"/>
  <c r="AB39" i="40" s="1"/>
  <c r="L33" i="40"/>
  <c r="I40" i="40"/>
  <c r="AB40" i="40" s="1"/>
  <c r="L34" i="40"/>
  <c r="L32" i="40"/>
  <c r="I36" i="40"/>
  <c r="AB36" i="40" s="1"/>
  <c r="I38" i="40"/>
  <c r="AB38" i="40" s="1"/>
  <c r="J130" i="36"/>
  <c r="J129" i="36"/>
  <c r="J127" i="36"/>
  <c r="J128" i="36"/>
  <c r="J134" i="36"/>
  <c r="J133" i="36"/>
  <c r="J132" i="36"/>
  <c r="J131" i="36"/>
  <c r="H83" i="36"/>
  <c r="X94" i="36"/>
  <c r="H36" i="41"/>
  <c r="J36" i="41" s="1"/>
  <c r="J40" i="41" s="1"/>
  <c r="H122" i="36"/>
  <c r="X74" i="36" l="1"/>
  <c r="H74" i="36"/>
  <c r="J122" i="36"/>
  <c r="W122" i="36"/>
  <c r="J124" i="36"/>
  <c r="J120" i="36"/>
  <c r="J121" i="36"/>
  <c r="W124" i="36"/>
  <c r="G20" i="33"/>
  <c r="W18" i="33"/>
  <c r="G20" i="39"/>
  <c r="X18" i="39"/>
  <c r="H18" i="39"/>
  <c r="J18" i="39" s="1"/>
  <c r="X75" i="36"/>
  <c r="G86" i="36"/>
  <c r="G84" i="36"/>
  <c r="X84" i="36" s="1"/>
  <c r="G20" i="38"/>
  <c r="X18" i="38"/>
  <c r="X77" i="36"/>
  <c r="G88" i="36"/>
  <c r="X76" i="36"/>
  <c r="G87" i="36"/>
  <c r="H87" i="36" s="1"/>
  <c r="G85" i="36"/>
  <c r="X101" i="36"/>
  <c r="X103" i="36"/>
  <c r="X100" i="36"/>
  <c r="K46" i="40"/>
  <c r="AD40" i="40"/>
  <c r="X31" i="41"/>
  <c r="X32" i="41"/>
  <c r="H133" i="36"/>
  <c r="K70" i="40"/>
  <c r="AD64" i="40"/>
  <c r="K45" i="40"/>
  <c r="AD39" i="40"/>
  <c r="K69" i="40"/>
  <c r="AD63" i="40"/>
  <c r="X33" i="41"/>
  <c r="K43" i="37"/>
  <c r="AD37" i="37"/>
  <c r="K74" i="40"/>
  <c r="AD74" i="40" s="1"/>
  <c r="AD68" i="40"/>
  <c r="K44" i="40"/>
  <c r="AD38" i="40"/>
  <c r="W4" i="36"/>
  <c r="C68" i="67" s="1"/>
  <c r="X34" i="41"/>
  <c r="K73" i="40"/>
  <c r="AD73" i="40" s="1"/>
  <c r="AD67" i="40"/>
  <c r="L24" i="37"/>
  <c r="N24" i="37" s="1"/>
  <c r="O29" i="37" s="1"/>
  <c r="AD24" i="37"/>
  <c r="K43" i="40"/>
  <c r="AD37" i="40"/>
  <c r="H20" i="38"/>
  <c r="J20" i="38" s="1"/>
  <c r="J115" i="36"/>
  <c r="J135" i="36"/>
  <c r="J137" i="36" s="1"/>
  <c r="I30" i="40"/>
  <c r="AB30" i="40" s="1"/>
  <c r="K30" i="40"/>
  <c r="N34" i="40"/>
  <c r="N31" i="40"/>
  <c r="N32" i="40"/>
  <c r="N30" i="40"/>
  <c r="N33" i="40"/>
  <c r="N34" i="37"/>
  <c r="N31" i="37"/>
  <c r="N32" i="37"/>
  <c r="N33" i="37"/>
  <c r="K30" i="37"/>
  <c r="AZ19" i="30"/>
  <c r="AZ20" i="30"/>
  <c r="AT20" i="30"/>
  <c r="AX20" i="30" s="1"/>
  <c r="N57" i="40"/>
  <c r="N56" i="40"/>
  <c r="N58" i="40"/>
  <c r="AA20" i="30"/>
  <c r="AU19" i="30"/>
  <c r="AV19" i="30" s="1"/>
  <c r="N62" i="37"/>
  <c r="N63" i="37"/>
  <c r="N61" i="37"/>
  <c r="N64" i="37"/>
  <c r="H113" i="36"/>
  <c r="X124" i="36"/>
  <c r="L39" i="40"/>
  <c r="I45" i="40"/>
  <c r="AB45" i="40" s="1"/>
  <c r="I36" i="37"/>
  <c r="AB36" i="37" s="1"/>
  <c r="L38" i="40"/>
  <c r="I44" i="40"/>
  <c r="AB44" i="40" s="1"/>
  <c r="L40" i="40"/>
  <c r="I46" i="40"/>
  <c r="AB46" i="40" s="1"/>
  <c r="L36" i="40"/>
  <c r="N36" i="40" s="1"/>
  <c r="I42" i="40"/>
  <c r="AB42" i="40" s="1"/>
  <c r="L31" i="37"/>
  <c r="I37" i="37"/>
  <c r="AB37" i="37" s="1"/>
  <c r="L37" i="40"/>
  <c r="I43" i="40"/>
  <c r="AB43" i="40" s="1"/>
  <c r="N61" i="40"/>
  <c r="N62" i="40"/>
  <c r="N63" i="40"/>
  <c r="N64" i="40"/>
  <c r="X105" i="36"/>
  <c r="H94" i="36"/>
  <c r="H41" i="41"/>
  <c r="J41" i="41" s="1"/>
  <c r="J45" i="41" s="1"/>
  <c r="J126" i="36" l="1"/>
  <c r="X85" i="36"/>
  <c r="H85" i="36"/>
  <c r="W20" i="33"/>
  <c r="G22" i="33"/>
  <c r="X87" i="36"/>
  <c r="G96" i="36"/>
  <c r="H96" i="36" s="1"/>
  <c r="G98" i="36"/>
  <c r="H98" i="36" s="1"/>
  <c r="X88" i="36"/>
  <c r="G99" i="36"/>
  <c r="G22" i="38"/>
  <c r="X20" i="38"/>
  <c r="X86" i="36"/>
  <c r="G97" i="36"/>
  <c r="G95" i="36"/>
  <c r="G22" i="39"/>
  <c r="X20" i="39"/>
  <c r="H20" i="39"/>
  <c r="J20" i="39" s="1"/>
  <c r="AU20" i="30"/>
  <c r="X36" i="41"/>
  <c r="X111" i="36"/>
  <c r="X114" i="36"/>
  <c r="X112" i="36"/>
  <c r="K76" i="40"/>
  <c r="AD76" i="40" s="1"/>
  <c r="AD70" i="40"/>
  <c r="K36" i="40"/>
  <c r="AD30" i="40"/>
  <c r="X39" i="41"/>
  <c r="K49" i="37"/>
  <c r="AD43" i="37"/>
  <c r="X37" i="41"/>
  <c r="H134" i="36"/>
  <c r="X38" i="41"/>
  <c r="K36" i="37"/>
  <c r="L36" i="37" s="1"/>
  <c r="N36" i="37" s="1"/>
  <c r="AD30" i="37"/>
  <c r="K75" i="40"/>
  <c r="AD75" i="40" s="1"/>
  <c r="AD69" i="40"/>
  <c r="K49" i="40"/>
  <c r="AD43" i="40"/>
  <c r="K50" i="40"/>
  <c r="AD44" i="40"/>
  <c r="K51" i="40"/>
  <c r="AD45" i="40"/>
  <c r="K52" i="40"/>
  <c r="AD46" i="40"/>
  <c r="L30" i="40"/>
  <c r="H22" i="38"/>
  <c r="J22" i="38" s="1"/>
  <c r="O41" i="40"/>
  <c r="L30" i="37"/>
  <c r="N30" i="37" s="1"/>
  <c r="O35" i="37" s="1"/>
  <c r="O35" i="40"/>
  <c r="AV20" i="30"/>
  <c r="N75" i="37"/>
  <c r="K66" i="40"/>
  <c r="AD66" i="40" s="1"/>
  <c r="J138" i="36"/>
  <c r="H124" i="36"/>
  <c r="L37" i="37"/>
  <c r="I43" i="37"/>
  <c r="AB43" i="37" s="1"/>
  <c r="L46" i="40"/>
  <c r="I52" i="40"/>
  <c r="AB52" i="40" s="1"/>
  <c r="I42" i="37"/>
  <c r="AB42" i="37" s="1"/>
  <c r="L43" i="40"/>
  <c r="I49" i="40"/>
  <c r="AB49" i="40" s="1"/>
  <c r="L42" i="40"/>
  <c r="N42" i="40" s="1"/>
  <c r="I48" i="40"/>
  <c r="AB48" i="40" s="1"/>
  <c r="L44" i="40"/>
  <c r="I50" i="40"/>
  <c r="AB50" i="40" s="1"/>
  <c r="L45" i="40"/>
  <c r="I51" i="40"/>
  <c r="AB51" i="40" s="1"/>
  <c r="H46" i="41"/>
  <c r="J46" i="41" s="1"/>
  <c r="J50" i="41" s="1"/>
  <c r="X116" i="36"/>
  <c r="H105" i="36"/>
  <c r="W22" i="33" l="1"/>
  <c r="G24" i="33"/>
  <c r="G24" i="39"/>
  <c r="X22" i="39"/>
  <c r="H22" i="39"/>
  <c r="J22" i="39" s="1"/>
  <c r="X95" i="36"/>
  <c r="G106" i="36"/>
  <c r="X106" i="36" s="1"/>
  <c r="X97" i="36"/>
  <c r="G108" i="36"/>
  <c r="G24" i="38"/>
  <c r="H24" i="38" s="1"/>
  <c r="J24" i="38" s="1"/>
  <c r="X22" i="38"/>
  <c r="X99" i="36"/>
  <c r="G110" i="36"/>
  <c r="X98" i="36"/>
  <c r="G109" i="36"/>
  <c r="H109" i="36" s="1"/>
  <c r="X96" i="36"/>
  <c r="G107" i="36"/>
  <c r="H107" i="36" s="1"/>
  <c r="X43" i="41"/>
  <c r="X134" i="36"/>
  <c r="X123" i="36"/>
  <c r="X42" i="41"/>
  <c r="X125" i="36"/>
  <c r="X136" i="36"/>
  <c r="X122" i="36"/>
  <c r="X133" i="36"/>
  <c r="X41" i="41"/>
  <c r="X44" i="41"/>
  <c r="K57" i="40"/>
  <c r="AD57" i="40" s="1"/>
  <c r="AD51" i="40"/>
  <c r="K56" i="40"/>
  <c r="AD56" i="40" s="1"/>
  <c r="AD50" i="40"/>
  <c r="K55" i="40"/>
  <c r="AD55" i="40" s="1"/>
  <c r="AD49" i="40"/>
  <c r="K55" i="37"/>
  <c r="AD49" i="37"/>
  <c r="K42" i="37"/>
  <c r="L42" i="37" s="1"/>
  <c r="N42" i="37" s="1"/>
  <c r="AD36" i="37"/>
  <c r="K42" i="40"/>
  <c r="AD36" i="40"/>
  <c r="H135" i="36"/>
  <c r="X135" i="36"/>
  <c r="K58" i="40"/>
  <c r="AD58" i="40" s="1"/>
  <c r="AD52" i="40"/>
  <c r="W33" i="43"/>
  <c r="J27" i="66"/>
  <c r="O47" i="40"/>
  <c r="N74" i="37"/>
  <c r="N76" i="37"/>
  <c r="N73" i="37"/>
  <c r="N70" i="40"/>
  <c r="N69" i="40"/>
  <c r="N67" i="40"/>
  <c r="N68" i="40"/>
  <c r="N74" i="40"/>
  <c r="O41" i="37"/>
  <c r="N69" i="37"/>
  <c r="N68" i="37"/>
  <c r="N70" i="37"/>
  <c r="N67" i="37"/>
  <c r="C33" i="45"/>
  <c r="C33" i="35"/>
  <c r="G33" i="35" s="1"/>
  <c r="L50" i="40"/>
  <c r="I56" i="40"/>
  <c r="AB56" i="40" s="1"/>
  <c r="L52" i="40"/>
  <c r="I58" i="40"/>
  <c r="AB58" i="40" s="1"/>
  <c r="L49" i="40"/>
  <c r="I55" i="40"/>
  <c r="AB55" i="40" s="1"/>
  <c r="L51" i="40"/>
  <c r="I57" i="40"/>
  <c r="AB57" i="40" s="1"/>
  <c r="L48" i="40"/>
  <c r="N48" i="40" s="1"/>
  <c r="I54" i="40"/>
  <c r="AB54" i="40" s="1"/>
  <c r="I48" i="37"/>
  <c r="AB48" i="37" s="1"/>
  <c r="L43" i="37"/>
  <c r="I49" i="37"/>
  <c r="AB49" i="37" s="1"/>
  <c r="H116" i="36"/>
  <c r="H51" i="41"/>
  <c r="J51" i="41" s="1"/>
  <c r="J55" i="41" s="1"/>
  <c r="W24" i="33" l="1"/>
  <c r="G26" i="33"/>
  <c r="G26" i="38"/>
  <c r="X24" i="38"/>
  <c r="X110" i="36"/>
  <c r="G121" i="36"/>
  <c r="X108" i="36"/>
  <c r="G119" i="36"/>
  <c r="G117" i="36"/>
  <c r="X107" i="36"/>
  <c r="G118" i="36"/>
  <c r="H118" i="36" s="1"/>
  <c r="X109" i="36"/>
  <c r="G120" i="36"/>
  <c r="H120" i="36" s="1"/>
  <c r="G26" i="39"/>
  <c r="X24" i="39"/>
  <c r="H24" i="39"/>
  <c r="J24" i="39" s="1"/>
  <c r="X46" i="41"/>
  <c r="X47" i="41"/>
  <c r="X49" i="41"/>
  <c r="X48" i="41"/>
  <c r="K48" i="40"/>
  <c r="AD42" i="40"/>
  <c r="H64" i="41"/>
  <c r="J64" i="41" s="1"/>
  <c r="K48" i="37"/>
  <c r="L48" i="37" s="1"/>
  <c r="N48" i="37" s="1"/>
  <c r="AD42" i="37"/>
  <c r="H62" i="41"/>
  <c r="J62" i="41" s="1"/>
  <c r="H127" i="36"/>
  <c r="X127" i="36"/>
  <c r="H63" i="41"/>
  <c r="J63" i="41" s="1"/>
  <c r="K61" i="37"/>
  <c r="AD55" i="37"/>
  <c r="W21" i="53"/>
  <c r="H26" i="38"/>
  <c r="J26" i="38" s="1"/>
  <c r="K72" i="40"/>
  <c r="AD72" i="40" s="1"/>
  <c r="O53" i="40"/>
  <c r="N75" i="40"/>
  <c r="N73" i="40"/>
  <c r="N76" i="40"/>
  <c r="O47" i="37"/>
  <c r="C31" i="46"/>
  <c r="G32" i="46"/>
  <c r="C44" i="47" s="1"/>
  <c r="G45" i="47" s="1"/>
  <c r="G33" i="45"/>
  <c r="L57" i="40"/>
  <c r="I63" i="40"/>
  <c r="AB63" i="40" s="1"/>
  <c r="L58" i="40"/>
  <c r="I64" i="40"/>
  <c r="AB64" i="40" s="1"/>
  <c r="I54" i="37"/>
  <c r="AB54" i="37" s="1"/>
  <c r="L49" i="37"/>
  <c r="I55" i="37"/>
  <c r="AB55" i="37" s="1"/>
  <c r="L54" i="40"/>
  <c r="N54" i="40" s="1"/>
  <c r="I60" i="40"/>
  <c r="AB60" i="40" s="1"/>
  <c r="L55" i="40"/>
  <c r="I61" i="40"/>
  <c r="AB61" i="40" s="1"/>
  <c r="L56" i="40"/>
  <c r="I62" i="40"/>
  <c r="AB62" i="40" s="1"/>
  <c r="H56" i="41"/>
  <c r="J56" i="41" s="1"/>
  <c r="J60" i="41" s="1"/>
  <c r="J6" i="33"/>
  <c r="N22" i="34" s="1"/>
  <c r="G28" i="33" l="1"/>
  <c r="W28" i="33" s="1"/>
  <c r="W26" i="33"/>
  <c r="W4" i="33" s="1"/>
  <c r="C55" i="67" s="1"/>
  <c r="G28" i="39"/>
  <c r="X26" i="39"/>
  <c r="H26" i="39"/>
  <c r="J26" i="39" s="1"/>
  <c r="X118" i="36"/>
  <c r="G129" i="36"/>
  <c r="X117" i="36"/>
  <c r="G128" i="36"/>
  <c r="X128" i="36" s="1"/>
  <c r="X119" i="36"/>
  <c r="G130" i="36"/>
  <c r="X130" i="36" s="1"/>
  <c r="X121" i="36"/>
  <c r="G132" i="36"/>
  <c r="X132" i="36" s="1"/>
  <c r="X120" i="36"/>
  <c r="G131" i="36"/>
  <c r="G28" i="38"/>
  <c r="X28" i="38" s="1"/>
  <c r="X26" i="38"/>
  <c r="X53" i="41"/>
  <c r="X54" i="41"/>
  <c r="X52" i="41"/>
  <c r="X51" i="41"/>
  <c r="K54" i="37"/>
  <c r="L54" i="37" s="1"/>
  <c r="N54" i="37" s="1"/>
  <c r="AD48" i="37"/>
  <c r="K67" i="37"/>
  <c r="AD61" i="37"/>
  <c r="H61" i="41"/>
  <c r="J61" i="41" s="1"/>
  <c r="J65" i="41" s="1"/>
  <c r="J66" i="41" s="1"/>
  <c r="J28" i="66" s="1"/>
  <c r="K54" i="40"/>
  <c r="AD48" i="40"/>
  <c r="O59" i="40"/>
  <c r="O53" i="37"/>
  <c r="I60" i="37"/>
  <c r="AB60" i="37" s="1"/>
  <c r="L61" i="40"/>
  <c r="I67" i="40"/>
  <c r="AB67" i="40" s="1"/>
  <c r="L55" i="37"/>
  <c r="I61" i="37"/>
  <c r="AB61" i="37" s="1"/>
  <c r="L63" i="40"/>
  <c r="I69" i="40"/>
  <c r="AB69" i="40" s="1"/>
  <c r="L62" i="40"/>
  <c r="I68" i="40"/>
  <c r="AB68" i="40" s="1"/>
  <c r="L60" i="40"/>
  <c r="N60" i="40" s="1"/>
  <c r="I66" i="40"/>
  <c r="AB66" i="40" s="1"/>
  <c r="L64" i="40"/>
  <c r="I70" i="40"/>
  <c r="AB70" i="40" s="1"/>
  <c r="X129" i="36" l="1"/>
  <c r="X4" i="36" s="1"/>
  <c r="C69" i="67" s="1"/>
  <c r="H129" i="36"/>
  <c r="X131" i="36"/>
  <c r="H131" i="36"/>
  <c r="X4" i="38"/>
  <c r="C57" i="67" s="1"/>
  <c r="H28" i="38"/>
  <c r="J28" i="38" s="1"/>
  <c r="J30" i="38" s="1"/>
  <c r="C25" i="45" s="1"/>
  <c r="C23" i="46" s="1"/>
  <c r="X28" i="39"/>
  <c r="X4" i="39" s="1"/>
  <c r="C59" i="67" s="1"/>
  <c r="H28" i="39"/>
  <c r="J28" i="39" s="1"/>
  <c r="J30" i="39" s="1"/>
  <c r="X56" i="41"/>
  <c r="X61" i="41"/>
  <c r="X62" i="41"/>
  <c r="X57" i="41"/>
  <c r="J8" i="33"/>
  <c r="X59" i="41"/>
  <c r="X64" i="41"/>
  <c r="X63" i="41"/>
  <c r="X58" i="41"/>
  <c r="K60" i="40"/>
  <c r="AD60" i="40" s="1"/>
  <c r="AD54" i="40"/>
  <c r="K73" i="37"/>
  <c r="AD73" i="37" s="1"/>
  <c r="AD67" i="37"/>
  <c r="K60" i="37"/>
  <c r="AD54" i="37"/>
  <c r="O65" i="40"/>
  <c r="O59" i="37"/>
  <c r="T21" i="53"/>
  <c r="J22" i="34"/>
  <c r="R20" i="53" s="1"/>
  <c r="C31" i="35"/>
  <c r="G31" i="35" s="1"/>
  <c r="C27" i="35"/>
  <c r="G27" i="35" s="1"/>
  <c r="L66" i="40"/>
  <c r="N66" i="40" s="1"/>
  <c r="I72" i="40"/>
  <c r="L69" i="40"/>
  <c r="I75" i="40"/>
  <c r="L67" i="40"/>
  <c r="I73" i="40"/>
  <c r="L70" i="40"/>
  <c r="I76" i="40"/>
  <c r="L68" i="40"/>
  <c r="I74" i="40"/>
  <c r="L61" i="37"/>
  <c r="I67" i="37"/>
  <c r="AB67" i="37" s="1"/>
  <c r="I66" i="37"/>
  <c r="AB66" i="37" s="1"/>
  <c r="W35" i="43"/>
  <c r="C35" i="45"/>
  <c r="J23" i="66" l="1"/>
  <c r="W25" i="43"/>
  <c r="AD60" i="37"/>
  <c r="K66" i="37"/>
  <c r="AD4" i="40"/>
  <c r="C67" i="67" s="1"/>
  <c r="J24" i="66"/>
  <c r="C27" i="45"/>
  <c r="W27" i="43"/>
  <c r="L60" i="37"/>
  <c r="N60" i="37" s="1"/>
  <c r="O65" i="37" s="1"/>
  <c r="J10" i="33"/>
  <c r="X4" i="41"/>
  <c r="C71" i="67" s="1"/>
  <c r="S21" i="53"/>
  <c r="G25" i="45"/>
  <c r="G24" i="46"/>
  <c r="C28" i="47" s="1"/>
  <c r="G29" i="47" s="1"/>
  <c r="L72" i="40"/>
  <c r="N72" i="40" s="1"/>
  <c r="O77" i="40" s="1"/>
  <c r="AB72" i="40"/>
  <c r="L74" i="40"/>
  <c r="AB74" i="40"/>
  <c r="L76" i="40"/>
  <c r="AB76" i="40"/>
  <c r="L73" i="40"/>
  <c r="AB73" i="40"/>
  <c r="L75" i="40"/>
  <c r="AB75" i="40"/>
  <c r="O71" i="40"/>
  <c r="AA21" i="53"/>
  <c r="C35" i="35"/>
  <c r="G35" i="35" s="1"/>
  <c r="L66" i="37"/>
  <c r="N66" i="37" s="1"/>
  <c r="I72" i="37"/>
  <c r="L67" i="37"/>
  <c r="I73" i="37"/>
  <c r="C33" i="46"/>
  <c r="G34" i="46"/>
  <c r="C48" i="47" s="1"/>
  <c r="G49" i="47" s="1"/>
  <c r="G35" i="45"/>
  <c r="J12" i="33"/>
  <c r="K72" i="37" l="1"/>
  <c r="AD72" i="37" s="1"/>
  <c r="AD66" i="37"/>
  <c r="AD4" i="37" s="1"/>
  <c r="C63" i="67" s="1"/>
  <c r="G26" i="46"/>
  <c r="C32" i="47" s="1"/>
  <c r="G33" i="47" s="1"/>
  <c r="C25" i="46"/>
  <c r="G27" i="45"/>
  <c r="AB4" i="40"/>
  <c r="C65" i="67" s="1"/>
  <c r="L72" i="37"/>
  <c r="N72" i="37" s="1"/>
  <c r="O77" i="37" s="1"/>
  <c r="AB72" i="37"/>
  <c r="L73" i="37"/>
  <c r="AB73" i="37"/>
  <c r="AB4" i="37" s="1"/>
  <c r="C61" i="67" s="1"/>
  <c r="O71" i="37"/>
  <c r="J14" i="33"/>
  <c r="E92" i="68" l="1" a="1"/>
  <c r="E92" i="68" s="1"/>
  <c r="C7" i="68" a="1"/>
  <c r="C7" i="68" s="1"/>
  <c r="E19" i="68" a="1"/>
  <c r="E19" i="68" s="1"/>
  <c r="C8" i="68" a="1"/>
  <c r="C8" i="68" s="1"/>
  <c r="E6" i="68" a="1"/>
  <c r="E6" i="68" s="1"/>
  <c r="B79" i="68" a="1"/>
  <c r="B79" i="68" s="1"/>
  <c r="E77" i="68" a="1"/>
  <c r="E77" i="68" s="1"/>
  <c r="C38" i="68" a="1"/>
  <c r="C38" i="68" s="1"/>
  <c r="B26" i="68" a="1"/>
  <c r="B26" i="68" s="1"/>
  <c r="C25" i="68" a="1"/>
  <c r="C25" i="68" s="1"/>
  <c r="E8" i="68" a="1"/>
  <c r="E8" i="68" s="1"/>
  <c r="B88" i="68" a="1"/>
  <c r="B88" i="68" s="1"/>
  <c r="E56" i="68" a="1"/>
  <c r="E56" i="68" s="1"/>
  <c r="E25" i="68" a="1"/>
  <c r="E25" i="68" s="1"/>
  <c r="C82" i="68" a="1"/>
  <c r="C82" i="68" s="1"/>
  <c r="E24" i="68" a="1"/>
  <c r="E24" i="68" s="1"/>
  <c r="C84" i="68" a="1"/>
  <c r="C84" i="68" s="1"/>
  <c r="E52" i="68" a="1"/>
  <c r="E52" i="68" s="1"/>
  <c r="E86" i="68" a="1"/>
  <c r="E86" i="68" s="1"/>
  <c r="C40" i="68" a="1"/>
  <c r="C40" i="68" s="1"/>
  <c r="E64" i="68" a="1"/>
  <c r="E64" i="68" s="1"/>
  <c r="E34" i="68" a="1"/>
  <c r="E34" i="68" s="1"/>
  <c r="B16" i="68" a="1"/>
  <c r="B16" i="68" s="1"/>
  <c r="C77" i="68" a="1"/>
  <c r="C77" i="68" s="1"/>
  <c r="B28" i="68" a="1"/>
  <c r="B28" i="68" s="1"/>
  <c r="C26" i="68" a="1"/>
  <c r="C26" i="68" s="1"/>
  <c r="C55" i="68" a="1"/>
  <c r="C55" i="68" s="1"/>
  <c r="E29" i="68" a="1"/>
  <c r="E29" i="68" s="1"/>
  <c r="E62" i="68" a="1"/>
  <c r="E62" i="68" s="1"/>
  <c r="E30" i="68" a="1"/>
  <c r="E30" i="68" s="1"/>
  <c r="B12" i="68" a="1"/>
  <c r="B12" i="68" s="1"/>
  <c r="C88" i="68" a="1"/>
  <c r="C88" i="68" s="1"/>
  <c r="E93" i="68" a="1"/>
  <c r="E93" i="68" s="1"/>
  <c r="B44" i="68" a="1"/>
  <c r="B44" i="68" s="1"/>
  <c r="C70" i="68" a="1"/>
  <c r="C70" i="68" s="1"/>
  <c r="B6" i="68" a="1"/>
  <c r="B6" i="68" s="1"/>
  <c r="C57" i="68" a="1"/>
  <c r="C57" i="68" s="1"/>
  <c r="B8" i="68" a="1"/>
  <c r="B8" i="68" s="1"/>
  <c r="B23" i="68" a="1"/>
  <c r="B23" i="68" s="1"/>
  <c r="B56" i="68" a="1"/>
  <c r="B56" i="68" s="1"/>
  <c r="C33" i="68" a="1"/>
  <c r="C33" i="68" s="1"/>
  <c r="E16" i="68" a="1"/>
  <c r="E16" i="68" s="1"/>
  <c r="E28" i="68" a="1"/>
  <c r="E28" i="68" s="1"/>
  <c r="C45" i="68" a="1"/>
  <c r="C45" i="68" s="1"/>
  <c r="B65" i="68" a="1"/>
  <c r="B65" i="68" s="1"/>
  <c r="E50" i="68" a="1"/>
  <c r="E50" i="68" s="1"/>
  <c r="E42" i="68" a="1"/>
  <c r="E42" i="68" s="1"/>
  <c r="C27" i="68" a="1"/>
  <c r="C27" i="68" s="1"/>
  <c r="E14" i="68" a="1"/>
  <c r="E14" i="68" s="1"/>
  <c r="B51" i="68" a="1"/>
  <c r="B51" i="68" s="1"/>
  <c r="C79" i="68" a="1"/>
  <c r="C79" i="68" s="1"/>
  <c r="C50" i="68" a="1"/>
  <c r="C50" i="68" s="1"/>
  <c r="C42" i="68" a="1"/>
  <c r="C42" i="68" s="1"/>
  <c r="B34" i="68" a="1"/>
  <c r="B34" i="68" s="1"/>
  <c r="C15" i="68" a="1"/>
  <c r="C15" i="68" s="1"/>
  <c r="B82" i="68" a="1"/>
  <c r="B82" i="68" s="1"/>
  <c r="B43" i="68" a="1"/>
  <c r="B43" i="68" s="1"/>
  <c r="E58" i="68" a="1"/>
  <c r="E58" i="68" s="1"/>
  <c r="B70" i="68" a="1"/>
  <c r="B70" i="68" s="1"/>
  <c r="E87" i="68" a="1"/>
  <c r="E87" i="68" s="1"/>
  <c r="C22" i="68" a="1"/>
  <c r="C22" i="68" s="1"/>
  <c r="C11" i="68" a="1"/>
  <c r="C11" i="68" s="1"/>
  <c r="E46" i="68" a="1"/>
  <c r="E46" i="68" s="1"/>
  <c r="E69" i="68" a="1"/>
  <c r="E69" i="68" s="1"/>
  <c r="B54" i="68" a="1"/>
  <c r="B54" i="68" s="1"/>
  <c r="E66" i="68" a="1"/>
  <c r="E66" i="68" s="1"/>
  <c r="B55" i="68" a="1"/>
  <c r="B55" i="68" s="1"/>
  <c r="B64" i="68" a="1"/>
  <c r="B64" i="68" s="1"/>
  <c r="C67" i="68" a="1"/>
  <c r="C67" i="68" s="1"/>
  <c r="B36" i="68" a="1"/>
  <c r="B36" i="68" s="1"/>
  <c r="E26" i="68" a="1"/>
  <c r="E26" i="68" s="1"/>
  <c r="E55" i="68" a="1"/>
  <c r="E55" i="68" s="1"/>
  <c r="E71" i="68" a="1"/>
  <c r="E71" i="68" s="1"/>
  <c r="B63" i="68" a="1"/>
  <c r="B63" i="68" s="1"/>
  <c r="C61" i="68" a="1"/>
  <c r="C61" i="68" s="1"/>
  <c r="C14" i="68" a="1"/>
  <c r="C14" i="68" s="1"/>
  <c r="E13" i="68" a="1"/>
  <c r="E13" i="68" s="1"/>
  <c r="C28" i="68" a="1"/>
  <c r="C28" i="68" s="1"/>
  <c r="E61" i="68" a="1"/>
  <c r="E61" i="68" s="1"/>
  <c r="E74" i="68" a="1"/>
  <c r="E74" i="68" s="1"/>
  <c r="C75" i="68" a="1"/>
  <c r="C75" i="68" s="1"/>
  <c r="C47" i="68" a="1"/>
  <c r="C47" i="68" s="1"/>
  <c r="C93" i="68" a="1"/>
  <c r="C93" i="68" s="1"/>
  <c r="E57" i="68" a="1"/>
  <c r="E57" i="68" s="1"/>
  <c r="E49" i="68" a="1"/>
  <c r="E49" i="68" s="1"/>
  <c r="E33" i="68" a="1"/>
  <c r="E33" i="68" s="1"/>
  <c r="E18" i="68" a="1"/>
  <c r="E18" i="68" s="1"/>
  <c r="B7" i="68" a="1"/>
  <c r="B7" i="68" s="1"/>
  <c r="C35" i="68" a="1"/>
  <c r="C35" i="68" s="1"/>
  <c r="E75" i="68" a="1"/>
  <c r="E75" i="68" s="1"/>
  <c r="B84" i="68" a="1"/>
  <c r="B84" i="68" s="1"/>
  <c r="B47" i="68" a="1"/>
  <c r="B47" i="68" s="1"/>
  <c r="E7" i="68" a="1"/>
  <c r="E7" i="68" s="1"/>
  <c r="B33" i="68" a="1"/>
  <c r="B33" i="68" s="1"/>
  <c r="C37" i="68" a="1"/>
  <c r="C37" i="68" s="1"/>
  <c r="E78" i="68" a="1"/>
  <c r="E78" i="68" s="1"/>
  <c r="E35" i="68" a="1"/>
  <c r="E35" i="68" s="1"/>
  <c r="B74" i="68" a="1"/>
  <c r="B74" i="68" s="1"/>
  <c r="C81" i="68" a="1"/>
  <c r="C81" i="68" s="1"/>
  <c r="C58" i="68" a="1"/>
  <c r="C58" i="68" s="1"/>
  <c r="C63" i="68" a="1"/>
  <c r="C63" i="68" s="1"/>
  <c r="E10" i="68" a="1"/>
  <c r="E10" i="68" s="1"/>
  <c r="C72" i="68" a="1"/>
  <c r="C72" i="68" s="1"/>
  <c r="C80" i="68" a="1"/>
  <c r="C80" i="68" s="1"/>
  <c r="B68" i="68" a="1"/>
  <c r="B68" i="68" s="1"/>
  <c r="E40" i="68" a="1"/>
  <c r="E40" i="68" s="1"/>
  <c r="B40" i="68" a="1"/>
  <c r="B40" i="68" s="1"/>
  <c r="E21" i="68" a="1"/>
  <c r="E21" i="68" s="1"/>
  <c r="C78" i="68" a="1"/>
  <c r="C78" i="68" s="1"/>
  <c r="E59" i="68" a="1"/>
  <c r="E59" i="68" s="1"/>
  <c r="E27" i="68" a="1"/>
  <c r="E27" i="68" s="1"/>
  <c r="E39" i="68" a="1"/>
  <c r="E39" i="68" s="1"/>
  <c r="E84" i="68" a="1"/>
  <c r="E84" i="68" s="1"/>
  <c r="B18" i="68" a="1"/>
  <c r="B18" i="68" s="1"/>
  <c r="E67" i="68" a="1"/>
  <c r="E67" i="68" s="1"/>
  <c r="C39" i="68" a="1"/>
  <c r="C39" i="68" s="1"/>
  <c r="C6" i="68" a="1"/>
  <c r="C6" i="68" s="1"/>
  <c r="B60" i="68" a="1"/>
  <c r="B60" i="68" s="1"/>
  <c r="B17" i="68" a="1"/>
  <c r="B17" i="68" s="1"/>
  <c r="C91" i="68" a="1"/>
  <c r="C91" i="68" s="1"/>
  <c r="B27" i="68" a="1"/>
  <c r="B27" i="68" s="1"/>
  <c r="C12" i="68" a="1"/>
  <c r="C12" i="68" s="1"/>
  <c r="B75" i="68" a="1"/>
  <c r="B75" i="68" s="1"/>
  <c r="B41" i="68" a="1"/>
  <c r="B41" i="68" s="1"/>
  <c r="B69" i="68" a="1"/>
  <c r="B69" i="68" s="1"/>
  <c r="E76" i="68" a="1"/>
  <c r="E76" i="68" s="1"/>
  <c r="B14" i="68" a="1"/>
  <c r="B14" i="68" s="1"/>
  <c r="B71" i="68" a="1"/>
  <c r="B71" i="68" s="1"/>
  <c r="C66" i="68" a="1"/>
  <c r="C66" i="68" s="1"/>
  <c r="B50" i="68" a="1"/>
  <c r="B50" i="68" s="1"/>
  <c r="C74" i="68" a="1"/>
  <c r="C74" i="68" s="1"/>
  <c r="B52" i="68" a="1"/>
  <c r="B52" i="68" s="1"/>
  <c r="C9" i="68" a="1"/>
  <c r="C9" i="68" s="1"/>
  <c r="E36" i="68" a="1"/>
  <c r="E36" i="68" s="1"/>
  <c r="B92" i="68" a="1"/>
  <c r="B92" i="68" s="1"/>
  <c r="C52" i="68" a="1"/>
  <c r="C52" i="68" s="1"/>
  <c r="B42" i="68" a="1"/>
  <c r="B42" i="68" s="1"/>
  <c r="E32" i="68" a="1"/>
  <c r="E32" i="68" s="1"/>
  <c r="B49" i="68" a="1"/>
  <c r="B49" i="68" s="1"/>
  <c r="B24" i="68" a="1"/>
  <c r="B24" i="68" s="1"/>
  <c r="C31" i="68" a="1"/>
  <c r="C31" i="68" s="1"/>
  <c r="C51" i="68" a="1"/>
  <c r="C51" i="68" s="1"/>
  <c r="C49" i="68" a="1"/>
  <c r="C49" i="68" s="1"/>
  <c r="E45" i="68" a="1"/>
  <c r="E45" i="68" s="1"/>
  <c r="C71" i="68" a="1"/>
  <c r="C71" i="68" s="1"/>
  <c r="B80" i="68" a="1"/>
  <c r="B80" i="68" s="1"/>
  <c r="B20" i="68" a="1"/>
  <c r="B20" i="68" s="1"/>
  <c r="E60" i="68" a="1"/>
  <c r="E60" i="68" s="1"/>
  <c r="C32" i="68" a="1"/>
  <c r="C32" i="68" s="1"/>
  <c r="E94" i="68" a="1"/>
  <c r="E94" i="68" s="1"/>
  <c r="B78" i="68" a="1"/>
  <c r="B78" i="68" s="1"/>
  <c r="B35" i="68" a="1"/>
  <c r="B35" i="68" s="1"/>
  <c r="B73" i="68" a="1"/>
  <c r="B73" i="68" s="1"/>
  <c r="E11" i="68" a="1"/>
  <c r="E11" i="68" s="1"/>
  <c r="B87" i="68" a="1"/>
  <c r="B87" i="68" s="1"/>
  <c r="B22" i="68" a="1"/>
  <c r="B22" i="68" s="1"/>
  <c r="B77" i="68" a="1"/>
  <c r="B77" i="68" s="1"/>
  <c r="C34" i="68" a="1"/>
  <c r="C34" i="68" s="1"/>
  <c r="C21" i="68" a="1"/>
  <c r="C21" i="68" s="1"/>
  <c r="C48" i="68" a="1"/>
  <c r="C48" i="68" s="1"/>
  <c r="B19" i="68" a="1"/>
  <c r="B19" i="68" s="1"/>
  <c r="E80" i="68" a="1"/>
  <c r="E80" i="68" s="1"/>
  <c r="B66" i="68" a="1"/>
  <c r="B66" i="68" s="1"/>
  <c r="B72" i="68" a="1"/>
  <c r="B72" i="68" s="1"/>
  <c r="C29" i="68" a="1"/>
  <c r="C29" i="68" s="1"/>
  <c r="B81" i="68" a="1"/>
  <c r="B81" i="68" s="1"/>
  <c r="E70" i="68" a="1"/>
  <c r="E70" i="68" s="1"/>
  <c r="E51" i="68" a="1"/>
  <c r="E51" i="68" s="1"/>
  <c r="C92" i="68" a="1"/>
  <c r="C92" i="68" s="1"/>
  <c r="C89" i="68" a="1"/>
  <c r="C89" i="68" s="1"/>
  <c r="B29" i="68" a="1"/>
  <c r="B29" i="68" s="1"/>
  <c r="E22" i="68" a="1"/>
  <c r="E22" i="68" s="1"/>
  <c r="E9" i="68" a="1"/>
  <c r="E9" i="68" s="1"/>
  <c r="C64" i="68" a="1"/>
  <c r="C64" i="68" s="1"/>
  <c r="E23" i="68" a="1"/>
  <c r="E23" i="68" s="1"/>
  <c r="E68" i="68" a="1"/>
  <c r="E68" i="68" s="1"/>
  <c r="E41" i="68" a="1"/>
  <c r="E41" i="68" s="1"/>
  <c r="B46" i="68" a="1"/>
  <c r="B46" i="68" s="1"/>
  <c r="B91" i="68" a="1"/>
  <c r="B91" i="68" s="1"/>
  <c r="B45" i="68" a="1"/>
  <c r="B45" i="68" s="1"/>
  <c r="C60" i="68" a="1"/>
  <c r="C60" i="68" s="1"/>
  <c r="C44" i="68" a="1"/>
  <c r="C44" i="68" s="1"/>
  <c r="B53" i="68" a="1"/>
  <c r="B53" i="68" s="1"/>
  <c r="B13" i="68" a="1"/>
  <c r="B13" i="68" s="1"/>
  <c r="C41" i="68" a="1"/>
  <c r="C41" i="68" s="1"/>
  <c r="B39" i="68" a="1"/>
  <c r="B39" i="68" s="1"/>
  <c r="B9" i="68" a="1"/>
  <c r="B9" i="68" s="1"/>
  <c r="C56" i="68" a="1"/>
  <c r="C56" i="68" s="1"/>
  <c r="C53" i="68" a="1"/>
  <c r="C53" i="68" s="1"/>
  <c r="E12" i="68" a="1"/>
  <c r="E12" i="68" s="1"/>
  <c r="E81" i="68" a="1"/>
  <c r="E81" i="68" s="1"/>
  <c r="B90" i="68" a="1"/>
  <c r="B90" i="68" s="1"/>
  <c r="B61" i="68" a="1"/>
  <c r="B61" i="68" s="1"/>
  <c r="C59" i="68" a="1"/>
  <c r="C59" i="68" s="1"/>
  <c r="E54" i="68" a="1"/>
  <c r="E54" i="68" s="1"/>
  <c r="C90" i="68" a="1"/>
  <c r="C90" i="68" s="1"/>
  <c r="C76" i="68" a="1"/>
  <c r="C76" i="68" s="1"/>
  <c r="E91" i="68" a="1"/>
  <c r="E91" i="68" s="1"/>
  <c r="C86" i="68" a="1"/>
  <c r="C86" i="68" s="1"/>
  <c r="C19" i="68" a="1"/>
  <c r="C19" i="68" s="1"/>
  <c r="E89" i="68" a="1"/>
  <c r="E89" i="68" s="1"/>
  <c r="B37" i="68" a="1"/>
  <c r="B37" i="68" s="1"/>
  <c r="E44" i="68" a="1"/>
  <c r="E44" i="68" s="1"/>
  <c r="E85" i="68" a="1"/>
  <c r="E85" i="68" s="1"/>
  <c r="B67" i="68" a="1"/>
  <c r="B67" i="68" s="1"/>
  <c r="C17" i="68" a="1"/>
  <c r="C17" i="68" s="1"/>
  <c r="C18" i="68" a="1"/>
  <c r="C18" i="68" s="1"/>
  <c r="C10" i="68" a="1"/>
  <c r="C10" i="68" s="1"/>
  <c r="B86" i="68" a="1"/>
  <c r="B86" i="68" s="1"/>
  <c r="C43" i="68" a="1"/>
  <c r="C43" i="68" s="1"/>
  <c r="E72" i="68" a="1"/>
  <c r="E72" i="68" s="1"/>
  <c r="E65" i="68" a="1"/>
  <c r="E65" i="68" s="1"/>
  <c r="E90" i="68" a="1"/>
  <c r="E90" i="68" s="1"/>
  <c r="B62" i="68" a="1"/>
  <c r="B62" i="68" s="1"/>
  <c r="C23" i="68" a="1"/>
  <c r="C23" i="68" s="1"/>
  <c r="C20" i="68" a="1"/>
  <c r="C20" i="68" s="1"/>
  <c r="B48" i="68" a="1"/>
  <c r="B48" i="68" s="1"/>
  <c r="E20" i="68" a="1"/>
  <c r="E20" i="68" s="1"/>
  <c r="B10" i="68" a="1"/>
  <c r="B10" i="68" s="1"/>
  <c r="B89" i="68" a="1"/>
  <c r="B89" i="68" s="1"/>
  <c r="B58" i="68" a="1"/>
  <c r="B58" i="68" s="1"/>
  <c r="B85" i="68" a="1"/>
  <c r="B85" i="68" s="1"/>
  <c r="E38" i="68" a="1"/>
  <c r="E38" i="68" s="1"/>
  <c r="B83" i="68" a="1"/>
  <c r="B83" i="68" s="1"/>
  <c r="C36" i="68" a="1"/>
  <c r="C36" i="68" s="1"/>
  <c r="E82" i="68" a="1"/>
  <c r="E82" i="68" s="1"/>
  <c r="E53" i="68" a="1"/>
  <c r="E53" i="68" s="1"/>
  <c r="B30" i="68" a="1"/>
  <c r="B30" i="68" s="1"/>
  <c r="B94" i="68" a="1"/>
  <c r="B94" i="68" s="1"/>
  <c r="C65" i="68" a="1"/>
  <c r="C65" i="68" s="1"/>
  <c r="E63" i="68" a="1"/>
  <c r="E63" i="68" s="1"/>
  <c r="B38" i="68" a="1"/>
  <c r="B38" i="68" s="1"/>
  <c r="B21" i="68" a="1"/>
  <c r="B21" i="68" s="1"/>
  <c r="B15" i="68" a="1"/>
  <c r="B15" i="68" s="1"/>
  <c r="E43" i="68" a="1"/>
  <c r="E43" i="68" s="1"/>
  <c r="E88" i="68" a="1"/>
  <c r="E88" i="68" s="1"/>
  <c r="B76" i="68" a="1"/>
  <c r="B76" i="68" s="1"/>
  <c r="C73" i="68" a="1"/>
  <c r="C73" i="68" s="1"/>
  <c r="C87" i="68" a="1"/>
  <c r="C87" i="68" s="1"/>
  <c r="E73" i="68" a="1"/>
  <c r="E73" i="68" s="1"/>
  <c r="B11" i="68" a="1"/>
  <c r="B11" i="68" s="1"/>
  <c r="C16" i="68" a="1"/>
  <c r="C16" i="68" s="1"/>
  <c r="B59" i="68" a="1"/>
  <c r="B59" i="68" s="1"/>
  <c r="E48" i="68" a="1"/>
  <c r="E48" i="68" s="1"/>
  <c r="B32" i="68" a="1"/>
  <c r="B32" i="68" s="1"/>
  <c r="C46" i="68" a="1"/>
  <c r="C46" i="68" s="1"/>
  <c r="C54" i="68" a="1"/>
  <c r="C54" i="68" s="1"/>
  <c r="C68" i="68" a="1"/>
  <c r="C68" i="68" s="1"/>
  <c r="B31" i="68" a="1"/>
  <c r="B31" i="68" s="1"/>
  <c r="E15" i="68" a="1"/>
  <c r="E15" i="68" s="1"/>
  <c r="C62" i="68" a="1"/>
  <c r="C62" i="68" s="1"/>
  <c r="B57" i="68" a="1"/>
  <c r="B57" i="68" s="1"/>
  <c r="E17" i="68" a="1"/>
  <c r="E17" i="68" s="1"/>
  <c r="C13" i="68" a="1"/>
  <c r="C13" i="68" s="1"/>
  <c r="C83" i="68" a="1"/>
  <c r="C83" i="68" s="1"/>
  <c r="E47" i="68" a="1"/>
  <c r="E47" i="68" s="1"/>
  <c r="E83" i="68" a="1"/>
  <c r="E83" i="68" s="1"/>
  <c r="B25" i="68" a="1"/>
  <c r="B25" i="68" s="1"/>
  <c r="C30" i="68" a="1"/>
  <c r="C30" i="68" s="1"/>
  <c r="C85" i="68" a="1"/>
  <c r="C85" i="68" s="1"/>
  <c r="C94" i="68" a="1"/>
  <c r="C94" i="68" s="1"/>
  <c r="E31" i="68" a="1"/>
  <c r="E31" i="68" s="1"/>
  <c r="B93" i="68" a="1"/>
  <c r="B93" i="68" s="1"/>
  <c r="E79" i="68" a="1"/>
  <c r="E79" i="68" s="1"/>
  <c r="C24" i="68" a="1"/>
  <c r="C24" i="68" s="1"/>
  <c r="C69" i="68" a="1"/>
  <c r="C69" i="68" s="1"/>
  <c r="E37" i="68" a="1"/>
  <c r="E37" i="68" s="1"/>
  <c r="C23" i="35"/>
  <c r="J16" i="33" l="1"/>
  <c r="B2" i="68"/>
  <c r="B3" i="68"/>
  <c r="G23" i="35"/>
  <c r="J18" i="33"/>
  <c r="J20" i="33" l="1"/>
  <c r="J22" i="33" l="1"/>
  <c r="J24" i="33" l="1"/>
  <c r="J26" i="33" l="1"/>
  <c r="J28" i="33"/>
  <c r="B6" i="40"/>
  <c r="B6" i="37"/>
  <c r="N11" i="37" s="1"/>
  <c r="N25" i="34" l="1"/>
  <c r="J30" i="33"/>
  <c r="J22" i="66" s="1"/>
  <c r="B18" i="40"/>
  <c r="N23" i="40" s="1"/>
  <c r="B18" i="37"/>
  <c r="N23" i="37" s="1"/>
  <c r="B12" i="37"/>
  <c r="N17" i="37" s="1"/>
  <c r="B12" i="40"/>
  <c r="N17" i="40" s="1"/>
  <c r="J25" i="34" l="1"/>
  <c r="U20" i="53" s="1"/>
  <c r="N30" i="34"/>
  <c r="C23" i="45"/>
  <c r="W23" i="43"/>
  <c r="B24" i="40"/>
  <c r="N29" i="40" s="1"/>
  <c r="B24" i="37"/>
  <c r="N29" i="37" s="1"/>
  <c r="C29" i="35" l="1"/>
  <c r="J30" i="34"/>
  <c r="G18" i="34" s="1"/>
  <c r="R21" i="53"/>
  <c r="G22" i="46"/>
  <c r="C24" i="47" s="1"/>
  <c r="C21" i="46"/>
  <c r="G23" i="45"/>
  <c r="B30" i="40"/>
  <c r="N35" i="40" s="1"/>
  <c r="B30" i="37"/>
  <c r="N35" i="37" s="1"/>
  <c r="G29" i="35" l="1"/>
  <c r="G39" i="35" s="1"/>
  <c r="E19" i="35" s="1"/>
  <c r="C39" i="35"/>
  <c r="G25" i="47"/>
  <c r="B36" i="37"/>
  <c r="N41" i="37" s="1"/>
  <c r="B36" i="40"/>
  <c r="N41" i="40" s="1"/>
  <c r="B42" i="40" l="1"/>
  <c r="N47" i="40" s="1"/>
  <c r="B42" i="37"/>
  <c r="N47" i="37" s="1"/>
  <c r="B48" i="40" l="1"/>
  <c r="N53" i="40" s="1"/>
  <c r="B48" i="37"/>
  <c r="N53" i="37" s="1"/>
  <c r="B54" i="37" l="1"/>
  <c r="N59" i="37" s="1"/>
  <c r="B54" i="40"/>
  <c r="N59" i="40" s="1"/>
  <c r="B60" i="37" l="1"/>
  <c r="N65" i="37" s="1"/>
  <c r="B60" i="40"/>
  <c r="N65" i="40" s="1"/>
  <c r="B66" i="40" l="1"/>
  <c r="N71" i="40" s="1"/>
  <c r="B66" i="37"/>
  <c r="N71" i="37" s="1"/>
  <c r="B72" i="40" l="1"/>
  <c r="N77" i="40" s="1"/>
  <c r="N78" i="40" s="1"/>
  <c r="J26" i="66" s="1"/>
  <c r="B72" i="37"/>
  <c r="N77" i="37" s="1"/>
  <c r="N78" i="37" s="1"/>
  <c r="J25" i="66" s="1"/>
  <c r="J30" i="66" l="1"/>
  <c r="G18" i="66" s="1"/>
  <c r="W29" i="43"/>
  <c r="C29" i="45"/>
  <c r="W31" i="43"/>
  <c r="C31" i="45"/>
  <c r="V21" i="53" l="1"/>
  <c r="C27" i="46"/>
  <c r="G29" i="45"/>
  <c r="G28" i="46"/>
  <c r="C36" i="47" s="1"/>
  <c r="C39" i="45"/>
  <c r="G31" i="45"/>
  <c r="C29" i="46"/>
  <c r="G30" i="46"/>
  <c r="C40" i="47" s="1"/>
  <c r="G41" i="47" s="1"/>
  <c r="U21" i="53"/>
  <c r="W39" i="43"/>
  <c r="B18" i="43" s="1"/>
  <c r="G39" i="45" l="1"/>
  <c r="E19" i="45"/>
  <c r="G38" i="46"/>
  <c r="C23" i="48" s="1"/>
  <c r="D23" i="48" s="1"/>
  <c r="C19" i="53" s="1"/>
  <c r="C37" i="46"/>
  <c r="G37" i="47"/>
  <c r="C56" i="47"/>
  <c r="G57" i="47" s="1"/>
  <c r="E19" i="4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髙木　章友</author>
  </authors>
  <commentList>
    <comment ref="Q2" authorId="0" shapeId="0" xr:uid="{81C52A11-2BF0-4A28-98AE-7A43A7BF54A2}">
      <text>
        <r>
          <rPr>
            <b/>
            <sz val="9"/>
            <color indexed="81"/>
            <rFont val="MS P ゴシック"/>
            <family val="3"/>
            <charset val="128"/>
          </rPr>
          <t>1未満の時は調理員</t>
        </r>
      </text>
    </comment>
    <comment ref="F3" authorId="0" shapeId="0" xr:uid="{3AFD8413-3A32-46C4-A7DB-0C78667215A3}">
      <text>
        <r>
          <rPr>
            <sz val="9"/>
            <color indexed="81"/>
            <rFont val="MS P ゴシック"/>
            <family val="3"/>
            <charset val="128"/>
          </rPr>
          <t xml:space="preserve">1未満の端数がある場合は、加配数にプラスして正規職員を１人加算対象にできる。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髙木　章友</author>
  </authors>
  <commentList>
    <comment ref="H5" authorId="0" shapeId="0" xr:uid="{D1E43B7D-CE7B-48C2-8044-FF9D347E7515}">
      <text>
        <r>
          <rPr>
            <sz val="8"/>
            <color indexed="81"/>
            <rFont val="MS P ゴシック"/>
            <family val="3"/>
            <charset val="128"/>
          </rPr>
          <t>一番左の欄の「職種」に関連する資格以外の資格については、Ｅｘｃｅｌの便宜上入力不要です。
例）職種が「保育士」の場合、「看護師」資格を有していても、この欄への記載は不要です。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渋谷　賢太</author>
  </authors>
  <commentList>
    <comment ref="F5" authorId="0" shapeId="0" xr:uid="{E0EA71CD-CC2C-4516-A3D0-BAA28576FE6B}">
      <text>
        <r>
          <rPr>
            <b/>
            <sz val="11"/>
            <color indexed="9"/>
            <rFont val="MS P ゴシック"/>
            <family val="3"/>
            <charset val="128"/>
          </rPr>
          <t>このセルも入力が必要です。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髙木　章友</author>
  </authors>
  <commentList>
    <comment ref="B5" authorId="0" shapeId="0" xr:uid="{A0E9E116-B222-48CC-9764-43024029EE6F}">
      <text>
        <r>
          <rPr>
            <sz val="10"/>
            <color indexed="81"/>
            <rFont val="ＭＳ Ｐゴシック"/>
            <family val="3"/>
            <charset val="128"/>
          </rPr>
          <t>栄養管理加算が「配置」の場合は、給付費で同一対象経費が支給されるため、月額約70,000円を差し引いて、「調理員等配置改善」の補助額を支給いたします。</t>
        </r>
      </text>
    </comment>
    <comment ref="J5" authorId="0" shapeId="0" xr:uid="{DC7E1148-89A7-4718-B435-90AB7CF26C54}">
      <text>
        <r>
          <rPr>
            <sz val="10"/>
            <color indexed="81"/>
            <rFont val="MS P ゴシック"/>
            <family val="3"/>
            <charset val="128"/>
          </rPr>
          <t>月単位での定期利用の場合は「勤務日数」を「1」とし、「交通費単価」欄に「月当たりの金額」を入力してください。
雇用契約内容証明書の「交通費」の欄は1か月単位の金額である旨を明記ください</t>
        </r>
        <r>
          <rPr>
            <sz val="9"/>
            <color indexed="81"/>
            <rFont val="MS P ゴシック"/>
            <family val="3"/>
            <charset val="128"/>
          </rPr>
          <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髙木　章友</author>
  </authors>
  <commentList>
    <comment ref="B5" authorId="0" shapeId="0" xr:uid="{1BFDE655-B4E2-4944-BB1A-C429D4A11534}">
      <text>
        <r>
          <rPr>
            <sz val="10"/>
            <color indexed="81"/>
            <rFont val="ＭＳ Ｐゴシック"/>
            <family val="3"/>
            <charset val="128"/>
          </rPr>
          <t>栄養管理加算が「配置」の場合は、給付費で同一対象経費が支給されるため、月額約70,000円を差し引いて、「調理員等配置改善」の補助額を支給いたします。</t>
        </r>
      </text>
    </comment>
    <comment ref="J5" authorId="0" shapeId="0" xr:uid="{6AB1DC97-CEBF-4A33-A354-2A0DCCF67A9F}">
      <text>
        <r>
          <rPr>
            <sz val="10"/>
            <color indexed="81"/>
            <rFont val="MS P ゴシック"/>
            <family val="3"/>
            <charset val="128"/>
          </rPr>
          <t>月単位での定期利用の場合は「勤務日数」を「1」とし、「交通費単価」欄に「月当たりの金額」を入力してください。
雇用契約内容証明書の「交通費」の欄は1か月単位の金額である旨を明記ください</t>
        </r>
        <r>
          <rPr>
            <sz val="9"/>
            <color indexed="81"/>
            <rFont val="MS P ゴシック"/>
            <family val="3"/>
            <charset val="128"/>
          </rPr>
          <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渋谷　賢太</author>
  </authors>
  <commentList>
    <comment ref="U23" authorId="0" shapeId="0" xr:uid="{35182C95-5399-4285-AAF8-1CF111164059}">
      <text>
        <r>
          <rPr>
            <b/>
            <sz val="14"/>
            <color indexed="81"/>
            <rFont val="MS P ゴシック"/>
            <family val="3"/>
            <charset val="128"/>
          </rPr>
          <t>渋谷　賢太:</t>
        </r>
        <r>
          <rPr>
            <sz val="14"/>
            <color indexed="81"/>
            <rFont val="MS P ゴシック"/>
            <family val="3"/>
            <charset val="128"/>
          </rPr>
          <t xml:space="preserve">
「請求額＋既交付額」が「交付決定額」を上回る場合は「✕」が表示</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tc={B40928C9-D74B-4B89-9A04-D68C5E1F1F06}</author>
  </authors>
  <commentList>
    <comment ref="C52" authorId="0" shapeId="0" xr:uid="{B40928C9-D74B-4B89-9A04-D68C5E1F1F0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当初、第二期、実績で参照先を変えること。</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<sst xmlns="http://schemas.openxmlformats.org/spreadsheetml/2006/main" count="9683" uniqueCount="1706">
  <si>
    <t>配置基準改善事業補助金の算定に係る運営状況確認シート</t>
    <rPh sb="0" eb="2">
      <t>ハイチ</t>
    </rPh>
    <rPh sb="2" eb="4">
      <t>キジュン</t>
    </rPh>
    <rPh sb="4" eb="6">
      <t>カイゼン</t>
    </rPh>
    <rPh sb="6" eb="8">
      <t>ジギョウ</t>
    </rPh>
    <rPh sb="8" eb="11">
      <t>ホジョキン</t>
    </rPh>
    <rPh sb="12" eb="14">
      <t>サンテイ</t>
    </rPh>
    <rPh sb="15" eb="16">
      <t>カカ</t>
    </rPh>
    <rPh sb="17" eb="19">
      <t>ウンエイ</t>
    </rPh>
    <rPh sb="19" eb="21">
      <t>ジョウキョウ</t>
    </rPh>
    <rPh sb="21" eb="23">
      <t>カクニン</t>
    </rPh>
    <phoneticPr fontId="1"/>
  </si>
  <si>
    <t>和暦→西暦の変換表</t>
    <rPh sb="0" eb="2">
      <t>ワレキ</t>
    </rPh>
    <rPh sb="3" eb="5">
      <t>セイレキ</t>
    </rPh>
    <rPh sb="6" eb="8">
      <t>ヘンカン</t>
    </rPh>
    <rPh sb="8" eb="9">
      <t>ヒョウ</t>
    </rPh>
    <phoneticPr fontId="1"/>
  </si>
  <si>
    <t>和暦</t>
    <rPh sb="0" eb="2">
      <t>ワレキ</t>
    </rPh>
    <phoneticPr fontId="1"/>
  </si>
  <si>
    <t>西暦</t>
    <rPh sb="0" eb="2">
      <t>セイレキ</t>
    </rPh>
    <phoneticPr fontId="1"/>
  </si>
  <si>
    <t>令和</t>
    <rPh sb="0" eb="2">
      <t>レイワ</t>
    </rPh>
    <phoneticPr fontId="1"/>
  </si>
  <si>
    <t>児童の定員</t>
    <rPh sb="0" eb="2">
      <t>ジドウ</t>
    </rPh>
    <rPh sb="3" eb="5">
      <t>テイイン</t>
    </rPh>
    <phoneticPr fontId="1"/>
  </si>
  <si>
    <t>作成担当者</t>
    <rPh sb="0" eb="2">
      <t>サクセイ</t>
    </rPh>
    <rPh sb="2" eb="5">
      <t>タントウシャ</t>
    </rPh>
    <phoneticPr fontId="1"/>
  </si>
  <si>
    <t>氏名</t>
    <rPh sb="0" eb="2">
      <t>シメイ</t>
    </rPh>
    <phoneticPr fontId="1"/>
  </si>
  <si>
    <t>年度</t>
    <rPh sb="0" eb="2">
      <t>ネンド</t>
    </rPh>
    <phoneticPr fontId="1"/>
  </si>
  <si>
    <t>連絡先</t>
    <rPh sb="0" eb="3">
      <t>レンラクサキ</t>
    </rPh>
    <phoneticPr fontId="1"/>
  </si>
  <si>
    <t>処遇改善加算Ⅰの平均勤続年数</t>
    <rPh sb="0" eb="2">
      <t>ショグウ</t>
    </rPh>
    <rPh sb="2" eb="4">
      <t>カイゼン</t>
    </rPh>
    <rPh sb="4" eb="6">
      <t>カサン</t>
    </rPh>
    <rPh sb="8" eb="10">
      <t>ヘイキン</t>
    </rPh>
    <rPh sb="10" eb="12">
      <t>キンゾク</t>
    </rPh>
    <rPh sb="12" eb="14">
      <t>ネンスウ</t>
    </rPh>
    <phoneticPr fontId="1"/>
  </si>
  <si>
    <t>有</t>
    <rPh sb="0" eb="1">
      <t>アリ</t>
    </rPh>
    <phoneticPr fontId="1"/>
  </si>
  <si>
    <t>一般型</t>
    <rPh sb="0" eb="3">
      <t>イッパンガタ</t>
    </rPh>
    <phoneticPr fontId="1"/>
  </si>
  <si>
    <t>無</t>
    <rPh sb="0" eb="1">
      <t>ナシ</t>
    </rPh>
    <phoneticPr fontId="1"/>
  </si>
  <si>
    <t>余裕活用型</t>
    <rPh sb="0" eb="2">
      <t>ヨユウ</t>
    </rPh>
    <rPh sb="2" eb="4">
      <t>カツヨウ</t>
    </rPh>
    <rPh sb="4" eb="5">
      <t>ガタ</t>
    </rPh>
    <phoneticPr fontId="1"/>
  </si>
  <si>
    <t>保育標準時間児童の受け入れ</t>
    <rPh sb="0" eb="2">
      <t>ホイク</t>
    </rPh>
    <rPh sb="2" eb="4">
      <t>ヒョウジュン</t>
    </rPh>
    <rPh sb="4" eb="6">
      <t>ジカン</t>
    </rPh>
    <rPh sb="6" eb="8">
      <t>ジドウ</t>
    </rPh>
    <rPh sb="9" eb="10">
      <t>ウ</t>
    </rPh>
    <rPh sb="11" eb="12">
      <t>イ</t>
    </rPh>
    <phoneticPr fontId="1"/>
  </si>
  <si>
    <t>一時預かり事業について</t>
    <rPh sb="0" eb="2">
      <t>イチジ</t>
    </rPh>
    <rPh sb="2" eb="3">
      <t>アズ</t>
    </rPh>
    <rPh sb="5" eb="7">
      <t>ジギョウ</t>
    </rPh>
    <phoneticPr fontId="1"/>
  </si>
  <si>
    <t>増員</t>
    <rPh sb="0" eb="2">
      <t>ゾウイン</t>
    </rPh>
    <phoneticPr fontId="1"/>
  </si>
  <si>
    <t>実施の有無</t>
    <rPh sb="0" eb="2">
      <t>ジッシ</t>
    </rPh>
    <rPh sb="3" eb="5">
      <t>ウム</t>
    </rPh>
    <phoneticPr fontId="1"/>
  </si>
  <si>
    <t>賃金改善</t>
    <rPh sb="0" eb="2">
      <t>チンギン</t>
    </rPh>
    <rPh sb="2" eb="4">
      <t>カイゼン</t>
    </rPh>
    <phoneticPr fontId="1"/>
  </si>
  <si>
    <t>実施形態</t>
    <rPh sb="0" eb="2">
      <t>ジッシ</t>
    </rPh>
    <rPh sb="2" eb="4">
      <t>ケイタイ</t>
    </rPh>
    <phoneticPr fontId="1"/>
  </si>
  <si>
    <t>1人加配の適用（一般型の場合のみ）</t>
    <rPh sb="1" eb="2">
      <t>ニン</t>
    </rPh>
    <rPh sb="2" eb="4">
      <t>カハイ</t>
    </rPh>
    <rPh sb="5" eb="7">
      <t>テキヨウ</t>
    </rPh>
    <rPh sb="8" eb="11">
      <t>イッパンガタ</t>
    </rPh>
    <rPh sb="12" eb="14">
      <t>バアイ</t>
    </rPh>
    <phoneticPr fontId="1"/>
  </si>
  <si>
    <t>要配慮保育について（職員）</t>
    <rPh sb="0" eb="1">
      <t>ヨウ</t>
    </rPh>
    <rPh sb="1" eb="3">
      <t>ハイリョ</t>
    </rPh>
    <rPh sb="3" eb="5">
      <t>ホイク</t>
    </rPh>
    <rPh sb="10" eb="12">
      <t>ショクイン</t>
    </rPh>
    <phoneticPr fontId="1"/>
  </si>
  <si>
    <t>市による保育士加配人数（合計）</t>
    <rPh sb="0" eb="1">
      <t>シ</t>
    </rPh>
    <rPh sb="4" eb="7">
      <t>ホイクシ</t>
    </rPh>
    <rPh sb="7" eb="9">
      <t>カハイ</t>
    </rPh>
    <rPh sb="9" eb="11">
      <t>ニンズウ</t>
    </rPh>
    <rPh sb="12" eb="14">
      <t>ゴウケイ</t>
    </rPh>
    <phoneticPr fontId="1"/>
  </si>
  <si>
    <t>うち、保育士配置数</t>
    <rPh sb="3" eb="6">
      <t>ホイクシ</t>
    </rPh>
    <rPh sb="6" eb="8">
      <t>ハイチ</t>
    </rPh>
    <rPh sb="8" eb="9">
      <t>スウ</t>
    </rPh>
    <phoneticPr fontId="1"/>
  </si>
  <si>
    <t>うち、医療的ケアに係る看護師等</t>
    <rPh sb="3" eb="6">
      <t>イリョウテキ</t>
    </rPh>
    <rPh sb="9" eb="10">
      <t>カカ</t>
    </rPh>
    <rPh sb="11" eb="14">
      <t>カンゴシ</t>
    </rPh>
    <rPh sb="14" eb="15">
      <t>トウ</t>
    </rPh>
    <phoneticPr fontId="1"/>
  </si>
  <si>
    <t>医療的ケアを要する児童数</t>
    <rPh sb="0" eb="3">
      <t>イリョウテキ</t>
    </rPh>
    <rPh sb="6" eb="7">
      <t>ヨウ</t>
    </rPh>
    <rPh sb="9" eb="11">
      <t>ジドウ</t>
    </rPh>
    <rPh sb="11" eb="12">
      <t>スウ</t>
    </rPh>
    <phoneticPr fontId="1"/>
  </si>
  <si>
    <t>支援センターの実施の有無</t>
    <rPh sb="0" eb="2">
      <t>シエン</t>
    </rPh>
    <rPh sb="7" eb="9">
      <t>ジッシ</t>
    </rPh>
    <rPh sb="10" eb="12">
      <t>ウム</t>
    </rPh>
    <phoneticPr fontId="1"/>
  </si>
  <si>
    <t>３歳児配置改善加算の適用</t>
    <rPh sb="1" eb="3">
      <t>サイジ</t>
    </rPh>
    <rPh sb="3" eb="5">
      <t>ハイチ</t>
    </rPh>
    <rPh sb="5" eb="7">
      <t>カイゼン</t>
    </rPh>
    <rPh sb="7" eb="9">
      <t>カサン</t>
    </rPh>
    <rPh sb="10" eb="12">
      <t>テキヨウ</t>
    </rPh>
    <phoneticPr fontId="1"/>
  </si>
  <si>
    <t>平成</t>
    <rPh sb="0" eb="2">
      <t>ヘイセイ</t>
    </rPh>
    <phoneticPr fontId="1"/>
  </si>
  <si>
    <t>民間保育施設職員定数及び職員現況調書</t>
    <rPh sb="0" eb="2">
      <t>ミンカン</t>
    </rPh>
    <rPh sb="2" eb="4">
      <t>ホイク</t>
    </rPh>
    <rPh sb="4" eb="6">
      <t>シセツ</t>
    </rPh>
    <rPh sb="6" eb="8">
      <t>ショクイン</t>
    </rPh>
    <rPh sb="8" eb="10">
      <t>テイスウ</t>
    </rPh>
    <rPh sb="10" eb="11">
      <t>オヨ</t>
    </rPh>
    <rPh sb="12" eb="14">
      <t>ショクイン</t>
    </rPh>
    <rPh sb="14" eb="16">
      <t>ゲンキョウ</t>
    </rPh>
    <rPh sb="16" eb="18">
      <t>チョウショ</t>
    </rPh>
    <phoneticPr fontId="6"/>
  </si>
  <si>
    <t>園名</t>
    <rPh sb="0" eb="1">
      <t>エン</t>
    </rPh>
    <rPh sb="1" eb="2">
      <t>メイ</t>
    </rPh>
    <phoneticPr fontId="6"/>
  </si>
  <si>
    <t>氏名</t>
    <rPh sb="0" eb="2">
      <t>シメイ</t>
    </rPh>
    <phoneticPr fontId="6"/>
  </si>
  <si>
    <t>年齢（歳）</t>
    <rPh sb="0" eb="2">
      <t>ネンレイ</t>
    </rPh>
    <rPh sb="3" eb="4">
      <t>サイ</t>
    </rPh>
    <phoneticPr fontId="6"/>
  </si>
  <si>
    <t>保有する資格について</t>
    <rPh sb="0" eb="2">
      <t>ホユウ</t>
    </rPh>
    <rPh sb="4" eb="6">
      <t>シカク</t>
    </rPh>
    <phoneticPr fontId="6"/>
  </si>
  <si>
    <t>採用等</t>
    <rPh sb="0" eb="2">
      <t>サイヨウ</t>
    </rPh>
    <rPh sb="2" eb="3">
      <t>トウ</t>
    </rPh>
    <phoneticPr fontId="6"/>
  </si>
  <si>
    <t>退職等</t>
    <rPh sb="0" eb="2">
      <t>タイショク</t>
    </rPh>
    <rPh sb="2" eb="3">
      <t>トウ</t>
    </rPh>
    <phoneticPr fontId="6"/>
  </si>
  <si>
    <t>主に従事
する業務</t>
    <rPh sb="0" eb="1">
      <t>オモ</t>
    </rPh>
    <rPh sb="2" eb="4">
      <t>ジュウジ</t>
    </rPh>
    <rPh sb="7" eb="9">
      <t>ギョウム</t>
    </rPh>
    <phoneticPr fontId="6"/>
  </si>
  <si>
    <t>雇用形態
（補助金）</t>
    <rPh sb="0" eb="2">
      <t>コヨウ</t>
    </rPh>
    <rPh sb="2" eb="4">
      <t>ケイタイ</t>
    </rPh>
    <rPh sb="6" eb="9">
      <t>ホジョキン</t>
    </rPh>
    <phoneticPr fontId="1"/>
  </si>
  <si>
    <t>要件緩和</t>
    <rPh sb="0" eb="2">
      <t>ヨウケン</t>
    </rPh>
    <rPh sb="2" eb="4">
      <t>カンワ</t>
    </rPh>
    <phoneticPr fontId="1"/>
  </si>
  <si>
    <t>幼稚園教諭</t>
    <rPh sb="0" eb="5">
      <t>ヨウチエンキョウユ</t>
    </rPh>
    <phoneticPr fontId="1"/>
  </si>
  <si>
    <t>小学校教諭</t>
    <rPh sb="0" eb="3">
      <t>ショウガッコウ</t>
    </rPh>
    <rPh sb="3" eb="5">
      <t>キョウユ</t>
    </rPh>
    <phoneticPr fontId="1"/>
  </si>
  <si>
    <t>養護教諭</t>
    <rPh sb="0" eb="2">
      <t>ヨウゴ</t>
    </rPh>
    <rPh sb="2" eb="4">
      <t>キョウユ</t>
    </rPh>
    <phoneticPr fontId="1"/>
  </si>
  <si>
    <t>保健師</t>
    <rPh sb="0" eb="3">
      <t>ホケンシ</t>
    </rPh>
    <phoneticPr fontId="1"/>
  </si>
  <si>
    <t>看護師</t>
    <rPh sb="0" eb="3">
      <t>カンゴシ</t>
    </rPh>
    <phoneticPr fontId="1"/>
  </si>
  <si>
    <t>准看護師</t>
    <rPh sb="0" eb="4">
      <t>ジュンカンゴシ</t>
    </rPh>
    <phoneticPr fontId="1"/>
  </si>
  <si>
    <t>(管理)栄養士</t>
    <rPh sb="1" eb="3">
      <t>カンリ</t>
    </rPh>
    <rPh sb="4" eb="7">
      <t>エイヨウシ</t>
    </rPh>
    <phoneticPr fontId="1"/>
  </si>
  <si>
    <t>調理師</t>
    <rPh sb="0" eb="3">
      <t>チョウリシ</t>
    </rPh>
    <phoneticPr fontId="1"/>
  </si>
  <si>
    <t>年月日</t>
    <rPh sb="0" eb="3">
      <t>ネンガッピ</t>
    </rPh>
    <phoneticPr fontId="1"/>
  </si>
  <si>
    <t>事由</t>
    <rPh sb="0" eb="2">
      <t>ジユウ</t>
    </rPh>
    <phoneticPr fontId="1"/>
  </si>
  <si>
    <t>資格あり</t>
    <rPh sb="0" eb="2">
      <t>シカク</t>
    </rPh>
    <phoneticPr fontId="1"/>
  </si>
  <si>
    <t>資格なし</t>
    <rPh sb="0" eb="2">
      <t>シカク</t>
    </rPh>
    <phoneticPr fontId="1"/>
  </si>
  <si>
    <t>該当</t>
    <rPh sb="0" eb="2">
      <t>ガイトウ</t>
    </rPh>
    <phoneticPr fontId="1"/>
  </si>
  <si>
    <t>国費要件</t>
    <rPh sb="0" eb="2">
      <t>コクヒ</t>
    </rPh>
    <rPh sb="2" eb="4">
      <t>ヨウケン</t>
    </rPh>
    <phoneticPr fontId="1"/>
  </si>
  <si>
    <t>採用</t>
    <rPh sb="0" eb="2">
      <t>サイヨウ</t>
    </rPh>
    <phoneticPr fontId="1"/>
  </si>
  <si>
    <t>園長</t>
    <rPh sb="0" eb="2">
      <t>エンチョウ</t>
    </rPh>
    <phoneticPr fontId="1"/>
  </si>
  <si>
    <t>副園長</t>
    <rPh sb="0" eb="3">
      <t>フクエンチョウ</t>
    </rPh>
    <phoneticPr fontId="1"/>
  </si>
  <si>
    <t>3歳未満</t>
    <rPh sb="1" eb="4">
      <t>サイミマン</t>
    </rPh>
    <phoneticPr fontId="1"/>
  </si>
  <si>
    <t>基本分</t>
    <rPh sb="0" eb="2">
      <t>キホン</t>
    </rPh>
    <rPh sb="2" eb="3">
      <t>ブン</t>
    </rPh>
    <phoneticPr fontId="1"/>
  </si>
  <si>
    <t>退職</t>
    <rPh sb="0" eb="2">
      <t>タイショク</t>
    </rPh>
    <phoneticPr fontId="1"/>
  </si>
  <si>
    <t>要配慮保育</t>
    <rPh sb="0" eb="1">
      <t>ヨウ</t>
    </rPh>
    <rPh sb="1" eb="3">
      <t>ハイリョ</t>
    </rPh>
    <rPh sb="3" eb="5">
      <t>ホイク</t>
    </rPh>
    <phoneticPr fontId="1"/>
  </si>
  <si>
    <t>給食室（調理）</t>
    <rPh sb="0" eb="3">
      <t>キュウショクシツ</t>
    </rPh>
    <rPh sb="4" eb="6">
      <t>チョウリ</t>
    </rPh>
    <phoneticPr fontId="1"/>
  </si>
  <si>
    <t>計</t>
    <rPh sb="0" eb="1">
      <t>ケイ</t>
    </rPh>
    <phoneticPr fontId="6"/>
  </si>
  <si>
    <t>系列園から異動</t>
    <rPh sb="0" eb="2">
      <t>ケイレツ</t>
    </rPh>
    <rPh sb="2" eb="3">
      <t>エン</t>
    </rPh>
    <rPh sb="5" eb="7">
      <t>イドウ</t>
    </rPh>
    <phoneticPr fontId="1"/>
  </si>
  <si>
    <t>系列園へ異動</t>
    <rPh sb="0" eb="2">
      <t>ケイレツ</t>
    </rPh>
    <rPh sb="2" eb="3">
      <t>エン</t>
    </rPh>
    <rPh sb="4" eb="6">
      <t>イドウ</t>
    </rPh>
    <phoneticPr fontId="1"/>
  </si>
  <si>
    <t>担当業務変更</t>
    <rPh sb="0" eb="2">
      <t>タントウ</t>
    </rPh>
    <rPh sb="2" eb="4">
      <t>ギョウム</t>
    </rPh>
    <rPh sb="4" eb="6">
      <t>ヘンコウ</t>
    </rPh>
    <phoneticPr fontId="1"/>
  </si>
  <si>
    <t>産・育休復帰</t>
    <rPh sb="0" eb="1">
      <t>サン</t>
    </rPh>
    <rPh sb="2" eb="4">
      <t>イクキュウ</t>
    </rPh>
    <rPh sb="4" eb="6">
      <t>フッキ</t>
    </rPh>
    <phoneticPr fontId="1"/>
  </si>
  <si>
    <t>産・育休取得</t>
    <rPh sb="0" eb="1">
      <t>サン</t>
    </rPh>
    <rPh sb="2" eb="4">
      <t>イクキュウ</t>
    </rPh>
    <rPh sb="4" eb="6">
      <t>シュトク</t>
    </rPh>
    <phoneticPr fontId="1"/>
  </si>
  <si>
    <t>a</t>
    <phoneticPr fontId="1"/>
  </si>
  <si>
    <t>病気・療養等休暇復帰</t>
    <rPh sb="0" eb="2">
      <t>ビョウキ</t>
    </rPh>
    <rPh sb="3" eb="5">
      <t>リョウヨウ</t>
    </rPh>
    <rPh sb="5" eb="6">
      <t>トウ</t>
    </rPh>
    <rPh sb="6" eb="8">
      <t>キュウカ</t>
    </rPh>
    <rPh sb="8" eb="10">
      <t>フッキ</t>
    </rPh>
    <phoneticPr fontId="1"/>
  </si>
  <si>
    <t>病気・療養等休暇取得</t>
    <rPh sb="0" eb="2">
      <t>ビョウキ</t>
    </rPh>
    <rPh sb="3" eb="5">
      <t>リョウヨウ</t>
    </rPh>
    <rPh sb="5" eb="6">
      <t>トウ</t>
    </rPh>
    <rPh sb="6" eb="8">
      <t>キュウカ</t>
    </rPh>
    <rPh sb="8" eb="10">
      <t>シュトク</t>
    </rPh>
    <phoneticPr fontId="1"/>
  </si>
  <si>
    <t>b</t>
    <phoneticPr fontId="1"/>
  </si>
  <si>
    <t>資格取得</t>
    <rPh sb="0" eb="2">
      <t>シカク</t>
    </rPh>
    <rPh sb="2" eb="4">
      <t>シュトク</t>
    </rPh>
    <phoneticPr fontId="1"/>
  </si>
  <si>
    <t>その他</t>
    <rPh sb="2" eb="3">
      <t>タ</t>
    </rPh>
    <phoneticPr fontId="1"/>
  </si>
  <si>
    <t>医療的ケア</t>
    <rPh sb="0" eb="3">
      <t>イリョウテキ</t>
    </rPh>
    <phoneticPr fontId="1"/>
  </si>
  <si>
    <t>c</t>
    <phoneticPr fontId="1"/>
  </si>
  <si>
    <t>d</t>
    <phoneticPr fontId="1"/>
  </si>
  <si>
    <t>e</t>
    <phoneticPr fontId="1"/>
  </si>
  <si>
    <t>f</t>
    <phoneticPr fontId="1"/>
  </si>
  <si>
    <t>g</t>
    <phoneticPr fontId="1"/>
  </si>
  <si>
    <t>h</t>
    <phoneticPr fontId="1"/>
  </si>
  <si>
    <t>１・２歳児</t>
    <rPh sb="3" eb="4">
      <t>サイ</t>
    </rPh>
    <rPh sb="4" eb="5">
      <t>ジ</t>
    </rPh>
    <phoneticPr fontId="1"/>
  </si>
  <si>
    <t>産休明け</t>
    <rPh sb="0" eb="2">
      <t>サンキュウ</t>
    </rPh>
    <rPh sb="2" eb="3">
      <t>ア</t>
    </rPh>
    <phoneticPr fontId="1"/>
  </si>
  <si>
    <t>勤務時間数入力シート</t>
    <rPh sb="0" eb="2">
      <t>キンム</t>
    </rPh>
    <rPh sb="2" eb="4">
      <t>ジカン</t>
    </rPh>
    <rPh sb="4" eb="5">
      <t>スウ</t>
    </rPh>
    <rPh sb="5" eb="7">
      <t>ニュウリョク</t>
    </rPh>
    <phoneticPr fontId="1"/>
  </si>
  <si>
    <t>給付費カウント</t>
    <rPh sb="0" eb="2">
      <t>キュウフ</t>
    </rPh>
    <rPh sb="2" eb="3">
      <t>ヒ</t>
    </rPh>
    <phoneticPr fontId="1"/>
  </si>
  <si>
    <t>職員名</t>
    <rPh sb="0" eb="2">
      <t>ショクイン</t>
    </rPh>
    <rPh sb="2" eb="3">
      <t>メイ</t>
    </rPh>
    <phoneticPr fontId="6"/>
  </si>
  <si>
    <t>作業列</t>
    <rPh sb="0" eb="2">
      <t>サギョウ</t>
    </rPh>
    <rPh sb="2" eb="3">
      <t>レツ</t>
    </rPh>
    <phoneticPr fontId="1"/>
  </si>
  <si>
    <t>→　就業規則に定める月の「常勤時間数」</t>
    <rPh sb="2" eb="4">
      <t>シュウギョウ</t>
    </rPh>
    <rPh sb="4" eb="6">
      <t>キソク</t>
    </rPh>
    <rPh sb="7" eb="8">
      <t>サダ</t>
    </rPh>
    <rPh sb="10" eb="11">
      <t>ツキ</t>
    </rPh>
    <rPh sb="13" eb="15">
      <t>ジョウキン</t>
    </rPh>
    <rPh sb="15" eb="18">
      <t>ジカンスウ</t>
    </rPh>
    <phoneticPr fontId="1"/>
  </si>
  <si>
    <t>↓　労働契約上の就業時間（１カ月あたり）</t>
    <rPh sb="2" eb="4">
      <t>ロウドウ</t>
    </rPh>
    <rPh sb="4" eb="6">
      <t>ケイヤク</t>
    </rPh>
    <rPh sb="6" eb="7">
      <t>ジョウ</t>
    </rPh>
    <rPh sb="8" eb="10">
      <t>シュウギョウ</t>
    </rPh>
    <rPh sb="10" eb="12">
      <t>ジカン</t>
    </rPh>
    <rPh sb="15" eb="16">
      <t>ゲツ</t>
    </rPh>
    <phoneticPr fontId="1"/>
  </si>
  <si>
    <t>千葉市施設型給付対象施設保育士等配置基準改善費算出内訳書（２）</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</si>
  <si>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（１）各月別入所児童数及び保育士定数（国基準）</t>
    <rPh sb="3" eb="4">
      <t>カク</t>
    </rPh>
    <rPh sb="4" eb="6">
      <t>ツキベツ</t>
    </rPh>
    <rPh sb="6" eb="8">
      <t>ニュウショ</t>
    </rPh>
    <rPh sb="8" eb="10">
      <t>ジドウ</t>
    </rPh>
    <rPh sb="10" eb="11">
      <t>スウ</t>
    </rPh>
    <rPh sb="11" eb="12">
      <t>オヨ</t>
    </rPh>
    <rPh sb="13" eb="16">
      <t>ホイクシ</t>
    </rPh>
    <rPh sb="16" eb="18">
      <t>テイスウ</t>
    </rPh>
    <rPh sb="19" eb="20">
      <t>クニ</t>
    </rPh>
    <rPh sb="20" eb="22">
      <t>キジュン</t>
    </rPh>
    <phoneticPr fontId="15"/>
  </si>
  <si>
    <t>施設名</t>
    <rPh sb="0" eb="2">
      <t>シセツ</t>
    </rPh>
    <rPh sb="2" eb="3">
      <t>メイ</t>
    </rPh>
    <phoneticPr fontId="15"/>
  </si>
  <si>
    <t>（児童定員）</t>
    <rPh sb="1" eb="3">
      <t>ジドウ</t>
    </rPh>
    <rPh sb="3" eb="5">
      <t>テイイン</t>
    </rPh>
    <phoneticPr fontId="15"/>
  </si>
  <si>
    <t>児童数計</t>
    <rPh sb="0" eb="2">
      <t>ジドウ</t>
    </rPh>
    <rPh sb="2" eb="3">
      <t>スウ</t>
    </rPh>
    <rPh sb="3" eb="4">
      <t>ケイ</t>
    </rPh>
    <phoneticPr fontId="15"/>
  </si>
  <si>
    <t>0歳</t>
    <rPh sb="1" eb="2">
      <t>サイ</t>
    </rPh>
    <phoneticPr fontId="15"/>
  </si>
  <si>
    <t>1歳</t>
    <rPh sb="1" eb="2">
      <t>サイ</t>
    </rPh>
    <phoneticPr fontId="15"/>
  </si>
  <si>
    <t>０歳児</t>
    <rPh sb="1" eb="3">
      <t>サイジ</t>
    </rPh>
    <phoneticPr fontId="15"/>
  </si>
  <si>
    <t>３歳児</t>
    <rPh sb="1" eb="2">
      <t>サイ</t>
    </rPh>
    <rPh sb="2" eb="3">
      <t>ジ</t>
    </rPh>
    <phoneticPr fontId="15"/>
  </si>
  <si>
    <t>４・５歳児</t>
    <rPh sb="3" eb="5">
      <t>サイジ</t>
    </rPh>
    <phoneticPr fontId="15"/>
  </si>
  <si>
    <t>÷３</t>
    <phoneticPr fontId="15"/>
  </si>
  <si>
    <t>÷６</t>
    <phoneticPr fontId="15"/>
  </si>
  <si>
    <t>÷１５</t>
    <phoneticPr fontId="15"/>
  </si>
  <si>
    <t>÷２０</t>
    <phoneticPr fontId="15"/>
  </si>
  <si>
    <t>÷３０</t>
    <phoneticPr fontId="15"/>
  </si>
  <si>
    <t>4月</t>
    <rPh sb="1" eb="2">
      <t>ガツ</t>
    </rPh>
    <phoneticPr fontId="1"/>
  </si>
  <si>
    <t>5月</t>
  </si>
  <si>
    <t>6月</t>
  </si>
  <si>
    <t>7月</t>
  </si>
  <si>
    <t>8月</t>
  </si>
  <si>
    <t>9月</t>
  </si>
  <si>
    <t>10月</t>
  </si>
  <si>
    <t>11月</t>
  </si>
  <si>
    <t>12月</t>
  </si>
  <si>
    <t>1月</t>
  </si>
  <si>
    <t>2月</t>
  </si>
  <si>
    <t>3月</t>
  </si>
  <si>
    <t>(2)　月別配置内訳書　（A)保育士配置</t>
    <rPh sb="4" eb="6">
      <t>ツキベツ</t>
    </rPh>
    <rPh sb="6" eb="8">
      <t>ハイチ</t>
    </rPh>
    <rPh sb="8" eb="11">
      <t>ウチワケショ</t>
    </rPh>
    <rPh sb="15" eb="18">
      <t>ホイクシ</t>
    </rPh>
    <rPh sb="18" eb="20">
      <t>ハイチ</t>
    </rPh>
    <phoneticPr fontId="15"/>
  </si>
  <si>
    <t>園名  　</t>
    <rPh sb="0" eb="1">
      <t>エン</t>
    </rPh>
    <rPh sb="1" eb="2">
      <t>メイ</t>
    </rPh>
    <phoneticPr fontId="15"/>
  </si>
  <si>
    <t>←①シートの施設名に入力すると自動入力されます。</t>
    <rPh sb="6" eb="8">
      <t>シセツ</t>
    </rPh>
    <rPh sb="8" eb="9">
      <t>メイ</t>
    </rPh>
    <rPh sb="10" eb="12">
      <t>ニュウリョク</t>
    </rPh>
    <rPh sb="15" eb="17">
      <t>ジドウ</t>
    </rPh>
    <rPh sb="17" eb="19">
      <t>ニュウリョク</t>
    </rPh>
    <phoneticPr fontId="1"/>
  </si>
  <si>
    <t>月</t>
    <rPh sb="0" eb="1">
      <t>ツキ</t>
    </rPh>
    <phoneticPr fontId="15"/>
  </si>
  <si>
    <r>
      <t>職員定数　</t>
    </r>
    <r>
      <rPr>
        <sz val="14"/>
        <rFont val="ＭＳ Ｐゴシック"/>
        <family val="3"/>
        <charset val="128"/>
      </rPr>
      <t>Ａ</t>
    </r>
    <rPh sb="0" eb="2">
      <t>ショクイン</t>
    </rPh>
    <rPh sb="2" eb="4">
      <t>テイスウ</t>
    </rPh>
    <phoneticPr fontId="15"/>
  </si>
  <si>
    <t>就業規則で定める月の常勤時間数</t>
    <rPh sb="0" eb="2">
      <t>シュウギョウ</t>
    </rPh>
    <rPh sb="2" eb="4">
      <t>キソク</t>
    </rPh>
    <rPh sb="5" eb="6">
      <t>サダ</t>
    </rPh>
    <rPh sb="8" eb="9">
      <t>ツキ</t>
    </rPh>
    <rPh sb="10" eb="12">
      <t>ジョウキン</t>
    </rPh>
    <rPh sb="12" eb="14">
      <t>ジカン</t>
    </rPh>
    <rPh sb="14" eb="15">
      <t>スウ</t>
    </rPh>
    <phoneticPr fontId="15"/>
  </si>
  <si>
    <t>加配数</t>
    <rPh sb="0" eb="1">
      <t>カ</t>
    </rPh>
    <rPh sb="1" eb="2">
      <t>ハイ</t>
    </rPh>
    <rPh sb="2" eb="3">
      <t>スウ</t>
    </rPh>
    <phoneticPr fontId="15"/>
  </si>
  <si>
    <t>B表</t>
    <rPh sb="1" eb="2">
      <t>ヒョウ</t>
    </rPh>
    <phoneticPr fontId="1"/>
  </si>
  <si>
    <t>C表</t>
    <rPh sb="1" eb="2">
      <t>ヒョウ</t>
    </rPh>
    <phoneticPr fontId="1"/>
  </si>
  <si>
    <t>E</t>
    <phoneticPr fontId="15"/>
  </si>
  <si>
    <t>雇用人数</t>
    <rPh sb="0" eb="2">
      <t>コヨウ</t>
    </rPh>
    <rPh sb="2" eb="4">
      <t>ニンズウ</t>
    </rPh>
    <phoneticPr fontId="15"/>
  </si>
  <si>
    <t>一時預かり</t>
    <rPh sb="0" eb="2">
      <t>イチジ</t>
    </rPh>
    <rPh sb="2" eb="3">
      <t>アズ</t>
    </rPh>
    <phoneticPr fontId="15"/>
  </si>
  <si>
    <t>チーム保育推進加算</t>
    <rPh sb="3" eb="5">
      <t>ホイク</t>
    </rPh>
    <rPh sb="5" eb="7">
      <t>スイシン</t>
    </rPh>
    <rPh sb="7" eb="9">
      <t>カサン</t>
    </rPh>
    <phoneticPr fontId="15"/>
  </si>
  <si>
    <t>支援センター</t>
    <rPh sb="0" eb="2">
      <t>シエン</t>
    </rPh>
    <phoneticPr fontId="15"/>
  </si>
  <si>
    <t>その他</t>
    <phoneticPr fontId="15"/>
  </si>
  <si>
    <t>通常保育</t>
    <rPh sb="0" eb="2">
      <t>ツウジョウ</t>
    </rPh>
    <rPh sb="2" eb="4">
      <t>ホイク</t>
    </rPh>
    <phoneticPr fontId="15"/>
  </si>
  <si>
    <t>要件緩和の算定可能数</t>
    <phoneticPr fontId="1"/>
  </si>
  <si>
    <t>保健師・看護師・准看護師の算定可能数</t>
    <rPh sb="0" eb="3">
      <t>ホケンシ</t>
    </rPh>
    <rPh sb="4" eb="7">
      <t>カンゴシ</t>
    </rPh>
    <rPh sb="8" eb="12">
      <t>ジュンカンゴシ</t>
    </rPh>
    <phoneticPr fontId="1"/>
  </si>
  <si>
    <t xml:space="preserve">配置の状況  </t>
    <rPh sb="0" eb="2">
      <t>ハイチ</t>
    </rPh>
    <rPh sb="3" eb="5">
      <t>ジョウキョウ</t>
    </rPh>
    <phoneticPr fontId="15"/>
  </si>
  <si>
    <t>正規職員</t>
    <rPh sb="0" eb="2">
      <t>セイキ</t>
    </rPh>
    <rPh sb="2" eb="4">
      <t>ショクイン</t>
    </rPh>
    <phoneticPr fontId="15"/>
  </si>
  <si>
    <t>常勤的非常勤</t>
    <rPh sb="0" eb="3">
      <t>ジョウキンテキ</t>
    </rPh>
    <rPh sb="3" eb="6">
      <t>ヒジョウキン</t>
    </rPh>
    <phoneticPr fontId="15"/>
  </si>
  <si>
    <t>短時間非常勤の時間数計（※２）</t>
    <rPh sb="0" eb="3">
      <t>タンジカン</t>
    </rPh>
    <rPh sb="3" eb="6">
      <t>ヒジョウキン</t>
    </rPh>
    <rPh sb="7" eb="10">
      <t>ジカンスウ</t>
    </rPh>
    <rPh sb="10" eb="11">
      <t>ケイ</t>
    </rPh>
    <phoneticPr fontId="15"/>
  </si>
  <si>
    <t>常勤の者</t>
    <rPh sb="0" eb="2">
      <t>ジョウキン</t>
    </rPh>
    <rPh sb="3" eb="4">
      <t>モノ</t>
    </rPh>
    <phoneticPr fontId="1"/>
  </si>
  <si>
    <t>非常勤の者（時間数）</t>
    <rPh sb="0" eb="3">
      <t>ヒジョウキン</t>
    </rPh>
    <rPh sb="4" eb="5">
      <t>モノ</t>
    </rPh>
    <rPh sb="6" eb="9">
      <t>ジカンスウ</t>
    </rPh>
    <phoneticPr fontId="15"/>
  </si>
  <si>
    <t>（所長設置加算該当保育園のみ）</t>
    <rPh sb="1" eb="3">
      <t>ショチョウ</t>
    </rPh>
    <rPh sb="3" eb="5">
      <t>セッチ</t>
    </rPh>
    <rPh sb="5" eb="7">
      <t>カサン</t>
    </rPh>
    <rPh sb="7" eb="9">
      <t>ガイトウ</t>
    </rPh>
    <rPh sb="9" eb="12">
      <t>ホイクエン</t>
    </rPh>
    <phoneticPr fontId="15"/>
  </si>
  <si>
    <t>常勤的非常勤・嘱託常勤</t>
    <rPh sb="0" eb="3">
      <t>ジョウキンテキ</t>
    </rPh>
    <rPh sb="3" eb="6">
      <t>ヒジョウキン</t>
    </rPh>
    <rPh sb="7" eb="9">
      <t>ショクタク</t>
    </rPh>
    <rPh sb="9" eb="11">
      <t>ジョウキン</t>
    </rPh>
    <phoneticPr fontId="15"/>
  </si>
  <si>
    <t>短時間非常勤等
の時間数</t>
    <rPh sb="0" eb="3">
      <t>タンジカン</t>
    </rPh>
    <rPh sb="3" eb="6">
      <t>ヒジョウキン</t>
    </rPh>
    <rPh sb="6" eb="7">
      <t>トウ</t>
    </rPh>
    <rPh sb="9" eb="12">
      <t>ジカンスウ</t>
    </rPh>
    <phoneticPr fontId="15"/>
  </si>
  <si>
    <t>短時間非常勤（常勤換算）</t>
    <rPh sb="0" eb="3">
      <t>タンジカン</t>
    </rPh>
    <rPh sb="3" eb="6">
      <t>ヒジョウキン</t>
    </rPh>
    <rPh sb="7" eb="9">
      <t>ジョウキン</t>
    </rPh>
    <rPh sb="9" eb="11">
      <t>カンサン</t>
    </rPh>
    <phoneticPr fontId="15"/>
  </si>
  <si>
    <r>
      <t>計　　　</t>
    </r>
    <r>
      <rPr>
        <sz val="14"/>
        <rFont val="ＭＳ Ｐゴシック"/>
        <family val="3"/>
        <charset val="128"/>
      </rPr>
      <t>Ｂ</t>
    </r>
    <rPh sb="0" eb="1">
      <t>ケイ</t>
    </rPh>
    <phoneticPr fontId="15"/>
  </si>
  <si>
    <t>定数の充足状況
（不足数）</t>
    <rPh sb="0" eb="2">
      <t>テイスウ</t>
    </rPh>
    <rPh sb="3" eb="5">
      <t>ジュウソク</t>
    </rPh>
    <rPh sb="5" eb="7">
      <t>ジョウキョウ</t>
    </rPh>
    <rPh sb="9" eb="11">
      <t>フソク</t>
    </rPh>
    <rPh sb="11" eb="12">
      <t>スウ</t>
    </rPh>
    <phoneticPr fontId="1"/>
  </si>
  <si>
    <t>補助金対象者数
（支給可否）</t>
    <rPh sb="0" eb="2">
      <t>ホジョ</t>
    </rPh>
    <rPh sb="2" eb="3">
      <t>キン</t>
    </rPh>
    <rPh sb="3" eb="5">
      <t>タイショウ</t>
    </rPh>
    <rPh sb="5" eb="6">
      <t>シャ</t>
    </rPh>
    <rPh sb="6" eb="7">
      <t>スウ</t>
    </rPh>
    <rPh sb="9" eb="11">
      <t>シキュウ</t>
    </rPh>
    <rPh sb="11" eb="13">
      <t>カヒ</t>
    </rPh>
    <phoneticPr fontId="1"/>
  </si>
  <si>
    <t>（※１）</t>
  </si>
  <si>
    <t>Ｃ</t>
    <phoneticPr fontId="15"/>
  </si>
  <si>
    <t>定数参入可能数</t>
    <rPh sb="0" eb="2">
      <t>テイスウ</t>
    </rPh>
    <rPh sb="2" eb="4">
      <t>サンニュウ</t>
    </rPh>
    <rPh sb="4" eb="6">
      <t>カノウ</t>
    </rPh>
    <rPh sb="6" eb="7">
      <t>スウ</t>
    </rPh>
    <phoneticPr fontId="15"/>
  </si>
  <si>
    <t>加配数</t>
    <rPh sb="0" eb="2">
      <t>カハイ</t>
    </rPh>
    <rPh sb="2" eb="3">
      <t>スウ</t>
    </rPh>
    <phoneticPr fontId="1"/>
  </si>
  <si>
    <t>ａ</t>
    <phoneticPr fontId="15"/>
  </si>
  <si>
    <t>ｂ</t>
    <phoneticPr fontId="15"/>
  </si>
  <si>
    <t>ｃ</t>
    <phoneticPr fontId="15"/>
  </si>
  <si>
    <t>d</t>
  </si>
  <si>
    <t>e</t>
  </si>
  <si>
    <t>★</t>
    <phoneticPr fontId="15"/>
  </si>
  <si>
    <t>f</t>
  </si>
  <si>
    <t>h</t>
  </si>
  <si>
    <t>i</t>
  </si>
  <si>
    <t>j</t>
  </si>
  <si>
    <t>q</t>
  </si>
  <si>
    <t>r</t>
  </si>
  <si>
    <t>s</t>
  </si>
  <si>
    <t>t</t>
  </si>
  <si>
    <t>u</t>
  </si>
  <si>
    <t>v</t>
  </si>
  <si>
    <t>w</t>
  </si>
  <si>
    <t>x</t>
  </si>
  <si>
    <t>y</t>
  </si>
  <si>
    <t>ｚ</t>
    <phoneticPr fontId="15"/>
  </si>
  <si>
    <t>aa</t>
    <phoneticPr fontId="15"/>
  </si>
  <si>
    <t>ab</t>
    <phoneticPr fontId="1"/>
  </si>
  <si>
    <t>（B-A)</t>
    <phoneticPr fontId="1"/>
  </si>
  <si>
    <t>※１</t>
    <phoneticPr fontId="15"/>
  </si>
  <si>
    <t>　　Ａは「各月別入所児童数及び保育士定数」のＡと同じです。</t>
    <phoneticPr fontId="15"/>
  </si>
  <si>
    <t>※２</t>
    <phoneticPr fontId="15"/>
  </si>
  <si>
    <t>※３</t>
    <phoneticPr fontId="15"/>
  </si>
  <si>
    <t>　　一番右の「補助金対象者数」の人数が「１」以上のときに基本分等の補助金該当となります。</t>
    <rPh sb="2" eb="4">
      <t>イチバン</t>
    </rPh>
    <rPh sb="4" eb="5">
      <t>ミギ</t>
    </rPh>
    <rPh sb="7" eb="10">
      <t>ホジョキン</t>
    </rPh>
    <rPh sb="10" eb="12">
      <t>タイショウ</t>
    </rPh>
    <rPh sb="12" eb="13">
      <t>シャ</t>
    </rPh>
    <rPh sb="13" eb="14">
      <t>スウ</t>
    </rPh>
    <rPh sb="16" eb="18">
      <t>ニンズウ</t>
    </rPh>
    <rPh sb="22" eb="24">
      <t>イジョウ</t>
    </rPh>
    <rPh sb="28" eb="30">
      <t>キホン</t>
    </rPh>
    <rPh sb="30" eb="31">
      <t>ブン</t>
    </rPh>
    <rPh sb="31" eb="32">
      <t>トウ</t>
    </rPh>
    <rPh sb="33" eb="36">
      <t>ホジョキン</t>
    </rPh>
    <rPh sb="36" eb="38">
      <t>ガイトウ</t>
    </rPh>
    <phoneticPr fontId="15"/>
  </si>
  <si>
    <t>(2)　月別配置内訳書　（B)要件緩和職員配置</t>
    <rPh sb="4" eb="6">
      <t>ツキベツ</t>
    </rPh>
    <rPh sb="6" eb="8">
      <t>ハイチ</t>
    </rPh>
    <rPh sb="8" eb="11">
      <t>ウチワケショ</t>
    </rPh>
    <rPh sb="15" eb="17">
      <t>ヨウケン</t>
    </rPh>
    <rPh sb="17" eb="19">
      <t>カンワ</t>
    </rPh>
    <rPh sb="19" eb="21">
      <t>ショクイン</t>
    </rPh>
    <rPh sb="21" eb="23">
      <t>ハイチ</t>
    </rPh>
    <phoneticPr fontId="15"/>
  </si>
  <si>
    <t>要件緩和対象職員</t>
    <rPh sb="0" eb="2">
      <t>ヨウケン</t>
    </rPh>
    <rPh sb="2" eb="4">
      <t>カンワ</t>
    </rPh>
    <rPh sb="4" eb="6">
      <t>タイショウ</t>
    </rPh>
    <rPh sb="6" eb="8">
      <t>ショクイン</t>
    </rPh>
    <phoneticPr fontId="15"/>
  </si>
  <si>
    <t>配置状況</t>
    <rPh sb="0" eb="2">
      <t>ハイチ</t>
    </rPh>
    <rPh sb="2" eb="4">
      <t>ジョウキョウ</t>
    </rPh>
    <phoneticPr fontId="1"/>
  </si>
  <si>
    <t>計Bの内訳</t>
    <rPh sb="0" eb="1">
      <t>ケイ</t>
    </rPh>
    <rPh sb="3" eb="5">
      <t>ウチワケ</t>
    </rPh>
    <phoneticPr fontId="1"/>
  </si>
  <si>
    <t>幼稚園教諭・小学校教諭・養護教諭</t>
    <rPh sb="0" eb="3">
      <t>ヨウチエン</t>
    </rPh>
    <rPh sb="3" eb="5">
      <t>キョウユ</t>
    </rPh>
    <rPh sb="6" eb="9">
      <t>ショウガッコウ</t>
    </rPh>
    <rPh sb="9" eb="11">
      <t>キョウユ</t>
    </rPh>
    <rPh sb="12" eb="14">
      <t>ヨウゴ</t>
    </rPh>
    <rPh sb="14" eb="16">
      <t>キョウユ</t>
    </rPh>
    <phoneticPr fontId="15"/>
  </si>
  <si>
    <t>その他市長が認める者</t>
    <rPh sb="2" eb="3">
      <t>タ</t>
    </rPh>
    <rPh sb="3" eb="5">
      <t>シチョウ</t>
    </rPh>
    <rPh sb="6" eb="7">
      <t>ミト</t>
    </rPh>
    <rPh sb="9" eb="10">
      <t>モノ</t>
    </rPh>
    <phoneticPr fontId="1"/>
  </si>
  <si>
    <t>（A表へ転記）</t>
    <rPh sb="2" eb="3">
      <t>ヒョウ</t>
    </rPh>
    <rPh sb="4" eb="6">
      <t>テンキ</t>
    </rPh>
    <phoneticPr fontId="1"/>
  </si>
  <si>
    <t>正規職員</t>
    <rPh sb="0" eb="2">
      <t>セイキ</t>
    </rPh>
    <rPh sb="2" eb="4">
      <t>ショクイン</t>
    </rPh>
    <phoneticPr fontId="1"/>
  </si>
  <si>
    <t>常勤的非常勤</t>
    <rPh sb="0" eb="3">
      <t>ジョウキンテキ</t>
    </rPh>
    <rPh sb="3" eb="6">
      <t>ヒジョウキン</t>
    </rPh>
    <phoneticPr fontId="1"/>
  </si>
  <si>
    <t>短時間の時間数計</t>
    <rPh sb="0" eb="3">
      <t>タンジカン</t>
    </rPh>
    <rPh sb="4" eb="7">
      <t>ジカンスウ</t>
    </rPh>
    <rPh sb="7" eb="8">
      <t>ケイ</t>
    </rPh>
    <phoneticPr fontId="1"/>
  </si>
  <si>
    <t>i</t>
    <phoneticPr fontId="15"/>
  </si>
  <si>
    <t>j</t>
    <phoneticPr fontId="1"/>
  </si>
  <si>
    <t>k</t>
    <phoneticPr fontId="15"/>
  </si>
  <si>
    <t>l</t>
    <phoneticPr fontId="15"/>
  </si>
  <si>
    <t>m</t>
    <phoneticPr fontId="15"/>
  </si>
  <si>
    <t>q</t>
    <phoneticPr fontId="15"/>
  </si>
  <si>
    <t>r</t>
    <phoneticPr fontId="15"/>
  </si>
  <si>
    <t>s</t>
    <phoneticPr fontId="15"/>
  </si>
  <si>
    <t>t</t>
    <phoneticPr fontId="1"/>
  </si>
  <si>
    <t>u</t>
    <phoneticPr fontId="1"/>
  </si>
  <si>
    <t>v</t>
    <phoneticPr fontId="1"/>
  </si>
  <si>
    <t>w</t>
    <phoneticPr fontId="15"/>
  </si>
  <si>
    <t>x</t>
    <phoneticPr fontId="15"/>
  </si>
  <si>
    <t>y</t>
    <phoneticPr fontId="15"/>
  </si>
  <si>
    <t>z</t>
    <phoneticPr fontId="1"/>
  </si>
  <si>
    <t>aa</t>
    <phoneticPr fontId="1"/>
  </si>
  <si>
    <t>ac</t>
    <phoneticPr fontId="15"/>
  </si>
  <si>
    <t>ad</t>
    <phoneticPr fontId="15"/>
  </si>
  <si>
    <t>ae</t>
    <phoneticPr fontId="15"/>
  </si>
  <si>
    <t>保健師の確保数</t>
    <rPh sb="0" eb="3">
      <t>ホケンシ</t>
    </rPh>
    <rPh sb="4" eb="6">
      <t>カクホ</t>
    </rPh>
    <rPh sb="6" eb="7">
      <t>スウ</t>
    </rPh>
    <phoneticPr fontId="1"/>
  </si>
  <si>
    <t>看護師の確保数</t>
    <rPh sb="0" eb="3">
      <t>カンゴシ</t>
    </rPh>
    <rPh sb="4" eb="6">
      <t>カクホ</t>
    </rPh>
    <rPh sb="6" eb="7">
      <t>スウ</t>
    </rPh>
    <phoneticPr fontId="1"/>
  </si>
  <si>
    <t>准看護師の確保数</t>
    <rPh sb="0" eb="4">
      <t>ジュンカンゴシ</t>
    </rPh>
    <rPh sb="5" eb="7">
      <t>カクホ</t>
    </rPh>
    <rPh sb="7" eb="8">
      <t>スウ</t>
    </rPh>
    <phoneticPr fontId="1"/>
  </si>
  <si>
    <t>計Bの
内訳</t>
    <rPh sb="0" eb="1">
      <t>ケイ</t>
    </rPh>
    <rPh sb="4" eb="6">
      <t>ウチワケ</t>
    </rPh>
    <phoneticPr fontId="1"/>
  </si>
  <si>
    <t>調理員等定数</t>
    <rPh sb="0" eb="3">
      <t>チョウリイン</t>
    </rPh>
    <rPh sb="3" eb="4">
      <t>トウ</t>
    </rPh>
    <rPh sb="4" eb="6">
      <t>テイスウ</t>
    </rPh>
    <phoneticPr fontId="15"/>
  </si>
  <si>
    <t>（管理）栄養士の確保数</t>
    <rPh sb="1" eb="3">
      <t>カンリ</t>
    </rPh>
    <rPh sb="4" eb="7">
      <t>エイヨウシ</t>
    </rPh>
    <rPh sb="8" eb="10">
      <t>カクホ</t>
    </rPh>
    <rPh sb="10" eb="11">
      <t>スウ</t>
    </rPh>
    <phoneticPr fontId="1"/>
  </si>
  <si>
    <t>調理師の確保数</t>
    <rPh sb="0" eb="3">
      <t>チョウリシ</t>
    </rPh>
    <rPh sb="4" eb="6">
      <t>カクホ</t>
    </rPh>
    <rPh sb="6" eb="7">
      <t>スウ</t>
    </rPh>
    <phoneticPr fontId="1"/>
  </si>
  <si>
    <t>その他調理員の確保数</t>
    <rPh sb="2" eb="3">
      <t>タ</t>
    </rPh>
    <rPh sb="3" eb="6">
      <t>チョウリイン</t>
    </rPh>
    <rPh sb="7" eb="9">
      <t>カクホ</t>
    </rPh>
    <rPh sb="9" eb="10">
      <t>スウ</t>
    </rPh>
    <phoneticPr fontId="1"/>
  </si>
  <si>
    <t>配置数合計</t>
    <rPh sb="0" eb="2">
      <t>ハイチ</t>
    </rPh>
    <rPh sb="2" eb="3">
      <t>スウ</t>
    </rPh>
    <rPh sb="3" eb="5">
      <t>ゴウケイ</t>
    </rPh>
    <phoneticPr fontId="15"/>
  </si>
  <si>
    <t>短時間非常勤
（常勤換算）</t>
    <rPh sb="0" eb="3">
      <t>タンジカン</t>
    </rPh>
    <rPh sb="3" eb="6">
      <t>ヒジョウキン</t>
    </rPh>
    <rPh sb="8" eb="10">
      <t>ジョウキン</t>
    </rPh>
    <rPh sb="10" eb="12">
      <t>カンサン</t>
    </rPh>
    <phoneticPr fontId="15"/>
  </si>
  <si>
    <t>（A表へ
転記）</t>
    <rPh sb="2" eb="3">
      <t>ヒョウ</t>
    </rPh>
    <rPh sb="5" eb="7">
      <t>テンキ</t>
    </rPh>
    <phoneticPr fontId="1"/>
  </si>
  <si>
    <t>短時間非常勤職員の時間数計（※２）</t>
    <rPh sb="0" eb="3">
      <t>タンジカン</t>
    </rPh>
    <rPh sb="3" eb="6">
      <t>ヒジョウキン</t>
    </rPh>
    <rPh sb="6" eb="8">
      <t>ショクイン</t>
    </rPh>
    <rPh sb="9" eb="12">
      <t>ジカンスウ</t>
    </rPh>
    <rPh sb="12" eb="13">
      <t>ケイ</t>
    </rPh>
    <phoneticPr fontId="15"/>
  </si>
  <si>
    <t>計</t>
    <rPh sb="0" eb="1">
      <t>ケイ</t>
    </rPh>
    <phoneticPr fontId="15"/>
  </si>
  <si>
    <t>a</t>
    <phoneticPr fontId="15"/>
  </si>
  <si>
    <t>b</t>
    <phoneticPr fontId="15"/>
  </si>
  <si>
    <t>c</t>
    <phoneticPr fontId="15"/>
  </si>
  <si>
    <t>i</t>
    <phoneticPr fontId="1"/>
  </si>
  <si>
    <t>k</t>
    <phoneticPr fontId="1"/>
  </si>
  <si>
    <t>l</t>
    <phoneticPr fontId="1"/>
  </si>
  <si>
    <t>m</t>
    <phoneticPr fontId="1"/>
  </si>
  <si>
    <t>n</t>
    <phoneticPr fontId="1"/>
  </si>
  <si>
    <t>o</t>
    <phoneticPr fontId="1"/>
  </si>
  <si>
    <t>p</t>
    <phoneticPr fontId="1"/>
  </si>
  <si>
    <t>t</t>
    <phoneticPr fontId="15"/>
  </si>
  <si>
    <t>u</t>
    <phoneticPr fontId="15"/>
  </si>
  <si>
    <t>v</t>
    <phoneticPr fontId="15"/>
  </si>
  <si>
    <t>千葉市施設型給付対象施設保育士等配置基準改善費算出内訳書（３）</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</si>
  <si>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１．</t>
    <phoneticPr fontId="1"/>
  </si>
  <si>
    <t>対象者名</t>
    <rPh sb="0" eb="3">
      <t>タイショウシャ</t>
    </rPh>
    <rPh sb="3" eb="4">
      <t>メイ</t>
    </rPh>
    <phoneticPr fontId="1"/>
  </si>
  <si>
    <t>雇用形態</t>
    <rPh sb="0" eb="2">
      <t>コヨウ</t>
    </rPh>
    <rPh sb="2" eb="4">
      <t>ケイタイ</t>
    </rPh>
    <phoneticPr fontId="1"/>
  </si>
  <si>
    <t>就労時間</t>
    <rPh sb="0" eb="2">
      <t>シュウロウ</t>
    </rPh>
    <rPh sb="2" eb="4">
      <t>ジカン</t>
    </rPh>
    <phoneticPr fontId="1"/>
  </si>
  <si>
    <t>賃金単価</t>
    <rPh sb="0" eb="2">
      <t>チンギン</t>
    </rPh>
    <rPh sb="2" eb="4">
      <t>タンカ</t>
    </rPh>
    <phoneticPr fontId="1"/>
  </si>
  <si>
    <t>対象経費</t>
    <rPh sb="0" eb="2">
      <t>タイショウ</t>
    </rPh>
    <rPh sb="2" eb="4">
      <t>ケイヒ</t>
    </rPh>
    <phoneticPr fontId="1"/>
  </si>
  <si>
    <t>補助単価</t>
    <rPh sb="0" eb="2">
      <t>ホジョ</t>
    </rPh>
    <rPh sb="2" eb="4">
      <t>タンカ</t>
    </rPh>
    <phoneticPr fontId="1"/>
  </si>
  <si>
    <t>補助額</t>
    <rPh sb="0" eb="2">
      <t>ホジョ</t>
    </rPh>
    <rPh sb="2" eb="3">
      <t>ガク</t>
    </rPh>
    <phoneticPr fontId="1"/>
  </si>
  <si>
    <t>取得IDX</t>
    <rPh sb="0" eb="2">
      <t>シュトク</t>
    </rPh>
    <phoneticPr fontId="1"/>
  </si>
  <si>
    <t>短時間非常勤</t>
  </si>
  <si>
    <t>予備1</t>
    <rPh sb="0" eb="2">
      <t>ヨビ</t>
    </rPh>
    <phoneticPr fontId="1"/>
  </si>
  <si>
    <t>計</t>
    <rPh sb="0" eb="1">
      <t>ケイ</t>
    </rPh>
    <phoneticPr fontId="1"/>
  </si>
  <si>
    <t>２．</t>
    <phoneticPr fontId="1"/>
  </si>
  <si>
    <t>千葉市施設型給付対象施設保育士等配置基準改善費算出内訳書（４）</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</si>
  <si>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３．</t>
    <phoneticPr fontId="1"/>
  </si>
  <si>
    <t>千葉市施設型給付対象施設保育士等配置基準改善費算出内訳書（５）</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</si>
  <si>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４．</t>
    <phoneticPr fontId="1"/>
  </si>
  <si>
    <t>千葉市施設型給付対象施設保育士等配置基準改善費算出内訳書（６）</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</si>
  <si>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５．</t>
    <phoneticPr fontId="1"/>
  </si>
  <si>
    <t>４月　小計</t>
    <rPh sb="1" eb="2">
      <t>ガツ</t>
    </rPh>
    <rPh sb="3" eb="5">
      <t>ショウケイ</t>
    </rPh>
    <phoneticPr fontId="1"/>
  </si>
  <si>
    <t>-</t>
    <phoneticPr fontId="1"/>
  </si>
  <si>
    <t>５月　小計</t>
    <rPh sb="1" eb="2">
      <t>ガツ</t>
    </rPh>
    <rPh sb="3" eb="5">
      <t>ショウケイ</t>
    </rPh>
    <phoneticPr fontId="1"/>
  </si>
  <si>
    <t>６月　小計</t>
    <rPh sb="1" eb="2">
      <t>ガツ</t>
    </rPh>
    <rPh sb="3" eb="5">
      <t>ショウケイ</t>
    </rPh>
    <phoneticPr fontId="1"/>
  </si>
  <si>
    <t>７月　小計</t>
    <rPh sb="1" eb="2">
      <t>ガツ</t>
    </rPh>
    <rPh sb="3" eb="5">
      <t>ショウケイ</t>
    </rPh>
    <phoneticPr fontId="1"/>
  </si>
  <si>
    <t>８月　小計</t>
    <rPh sb="1" eb="2">
      <t>ガツ</t>
    </rPh>
    <rPh sb="3" eb="5">
      <t>ショウケイ</t>
    </rPh>
    <phoneticPr fontId="1"/>
  </si>
  <si>
    <t>９月　小計</t>
    <rPh sb="1" eb="2">
      <t>ガツ</t>
    </rPh>
    <rPh sb="3" eb="5">
      <t>ショウケイ</t>
    </rPh>
    <phoneticPr fontId="1"/>
  </si>
  <si>
    <t>１０月　小計</t>
    <rPh sb="2" eb="3">
      <t>ガツ</t>
    </rPh>
    <rPh sb="4" eb="6">
      <t>ショウケイ</t>
    </rPh>
    <phoneticPr fontId="1"/>
  </si>
  <si>
    <t>１１月　小計</t>
    <rPh sb="2" eb="3">
      <t>ガツ</t>
    </rPh>
    <rPh sb="4" eb="6">
      <t>ショウケイ</t>
    </rPh>
    <phoneticPr fontId="1"/>
  </si>
  <si>
    <t>１２月　小計</t>
    <rPh sb="2" eb="3">
      <t>ガツ</t>
    </rPh>
    <rPh sb="4" eb="6">
      <t>ショウケイ</t>
    </rPh>
    <phoneticPr fontId="1"/>
  </si>
  <si>
    <t>１月　小計</t>
    <rPh sb="1" eb="2">
      <t>ガツ</t>
    </rPh>
    <rPh sb="3" eb="5">
      <t>ショウケイ</t>
    </rPh>
    <phoneticPr fontId="1"/>
  </si>
  <si>
    <t>２月　小計</t>
    <rPh sb="1" eb="2">
      <t>ガツ</t>
    </rPh>
    <rPh sb="3" eb="5">
      <t>ショウケイ</t>
    </rPh>
    <phoneticPr fontId="1"/>
  </si>
  <si>
    <t>３月　小計</t>
    <rPh sb="1" eb="2">
      <t>ガツ</t>
    </rPh>
    <rPh sb="3" eb="5">
      <t>ショウケイ</t>
    </rPh>
    <phoneticPr fontId="1"/>
  </si>
  <si>
    <t>千葉市施設型給付対象施設保育士等配置基準改善費算出内訳書（７）</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</si>
  <si>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６．</t>
    <phoneticPr fontId="1"/>
  </si>
  <si>
    <t>勤務日数</t>
    <rPh sb="0" eb="2">
      <t>キンム</t>
    </rPh>
    <rPh sb="2" eb="4">
      <t>ニッスウ</t>
    </rPh>
    <phoneticPr fontId="1"/>
  </si>
  <si>
    <t>交通費単価</t>
    <rPh sb="0" eb="3">
      <t>コウツウヒ</t>
    </rPh>
    <rPh sb="3" eb="5">
      <t>タンカ</t>
    </rPh>
    <phoneticPr fontId="1"/>
  </si>
  <si>
    <t xml:space="preserve"> </t>
    <phoneticPr fontId="6"/>
  </si>
  <si>
    <t>円</t>
    <rPh sb="0" eb="1">
      <t>エン</t>
    </rPh>
    <phoneticPr fontId="6"/>
  </si>
  <si>
    <t>種目</t>
    <rPh sb="0" eb="2">
      <t>シュモク</t>
    </rPh>
    <phoneticPr fontId="6"/>
  </si>
  <si>
    <t>円</t>
    <rPh sb="0" eb="1">
      <t>エン</t>
    </rPh>
    <phoneticPr fontId="28"/>
  </si>
  <si>
    <t>合 計</t>
    <phoneticPr fontId="28"/>
  </si>
  <si>
    <t>補助金の交付決定額</t>
    <rPh sb="0" eb="3">
      <t>ホジョキン</t>
    </rPh>
    <rPh sb="4" eb="6">
      <t>コウフ</t>
    </rPh>
    <rPh sb="6" eb="8">
      <t>ケッテイ</t>
    </rPh>
    <rPh sb="8" eb="9">
      <t>ガク</t>
    </rPh>
    <phoneticPr fontId="28"/>
  </si>
  <si>
    <t>補助金の既交付額</t>
    <rPh sb="0" eb="3">
      <t>ホジョキン</t>
    </rPh>
    <rPh sb="4" eb="5">
      <t>キ</t>
    </rPh>
    <rPh sb="5" eb="8">
      <t>コウフガク</t>
    </rPh>
    <phoneticPr fontId="28"/>
  </si>
  <si>
    <t>法人名</t>
    <rPh sb="0" eb="2">
      <t>ホウジン</t>
    </rPh>
    <rPh sb="2" eb="3">
      <t>メイ</t>
    </rPh>
    <phoneticPr fontId="15"/>
  </si>
  <si>
    <t>代表者職氏名</t>
    <rPh sb="0" eb="3">
      <t>ダイヒョウシャ</t>
    </rPh>
    <rPh sb="3" eb="4">
      <t>ショク</t>
    </rPh>
    <rPh sb="4" eb="6">
      <t>シメイ</t>
    </rPh>
    <phoneticPr fontId="15"/>
  </si>
  <si>
    <t>確認・修正等を要する箇所一覧</t>
    <rPh sb="0" eb="2">
      <t>カクニン</t>
    </rPh>
    <rPh sb="3" eb="5">
      <t>シュウセイ</t>
    </rPh>
    <rPh sb="5" eb="6">
      <t>トウ</t>
    </rPh>
    <rPh sb="7" eb="8">
      <t>ヨウ</t>
    </rPh>
    <rPh sb="10" eb="12">
      <t>カショ</t>
    </rPh>
    <rPh sb="12" eb="14">
      <t>イチラン</t>
    </rPh>
    <phoneticPr fontId="1"/>
  </si>
  <si>
    <t>内容</t>
    <rPh sb="0" eb="2">
      <t>ナイヨウ</t>
    </rPh>
    <phoneticPr fontId="1"/>
  </si>
  <si>
    <t>シート名</t>
    <rPh sb="3" eb="4">
      <t>メイ</t>
    </rPh>
    <phoneticPr fontId="1"/>
  </si>
  <si>
    <t>記載内容に疑義があり、確認・修正を依頼するもの</t>
    <rPh sb="0" eb="2">
      <t>キサイ</t>
    </rPh>
    <rPh sb="2" eb="4">
      <t>ナイヨウ</t>
    </rPh>
    <rPh sb="5" eb="7">
      <t>ギギ</t>
    </rPh>
    <rPh sb="11" eb="13">
      <t>カクニン</t>
    </rPh>
    <rPh sb="14" eb="16">
      <t>シュウセイ</t>
    </rPh>
    <rPh sb="17" eb="19">
      <t>イライ</t>
    </rPh>
    <phoneticPr fontId="1"/>
  </si>
  <si>
    <t>記載内容の誤りに対し修正したもの</t>
    <rPh sb="0" eb="2">
      <t>キサイ</t>
    </rPh>
    <rPh sb="2" eb="4">
      <t>ナイヨウ</t>
    </rPh>
    <rPh sb="5" eb="6">
      <t>アヤマ</t>
    </rPh>
    <rPh sb="8" eb="9">
      <t>タイ</t>
    </rPh>
    <rPh sb="10" eb="12">
      <t>シュウセイ</t>
    </rPh>
    <phoneticPr fontId="1"/>
  </si>
  <si>
    <t>①基本情報</t>
    <rPh sb="1" eb="3">
      <t>キホン</t>
    </rPh>
    <rPh sb="3" eb="5">
      <t>ジョウホウ</t>
    </rPh>
    <phoneticPr fontId="1"/>
  </si>
  <si>
    <t>②-1職員名簿</t>
    <rPh sb="3" eb="5">
      <t>ショクイン</t>
    </rPh>
    <rPh sb="5" eb="7">
      <t>メイボ</t>
    </rPh>
    <phoneticPr fontId="1"/>
  </si>
  <si>
    <t>②-2勤務時間数入力</t>
    <rPh sb="3" eb="5">
      <t>キンム</t>
    </rPh>
    <rPh sb="5" eb="7">
      <t>ジカン</t>
    </rPh>
    <rPh sb="7" eb="8">
      <t>スウ</t>
    </rPh>
    <rPh sb="8" eb="10">
      <t>ニュウリョク</t>
    </rPh>
    <phoneticPr fontId="1"/>
  </si>
  <si>
    <t>③児童数及び保育士定数 (2)-(1)</t>
    <phoneticPr fontId="1"/>
  </si>
  <si>
    <t>④-1月別配置内訳書(2)-(2)-(A)</t>
    <phoneticPr fontId="1"/>
  </si>
  <si>
    <t>④-2月別配置内訳書(2)-(2)-(B)</t>
    <phoneticPr fontId="1"/>
  </si>
  <si>
    <t>常勤時間数</t>
  </si>
  <si>
    <t>○職員現況調書の記載方法</t>
    <rPh sb="1" eb="3">
      <t>ショクイン</t>
    </rPh>
    <rPh sb="3" eb="5">
      <t>ゲンキョウ</t>
    </rPh>
    <rPh sb="5" eb="7">
      <t>チョウショ</t>
    </rPh>
    <rPh sb="8" eb="10">
      <t>キサイ</t>
    </rPh>
    <rPh sb="10" eb="12">
      <t>ホウホウ</t>
    </rPh>
    <phoneticPr fontId="1"/>
  </si>
  <si>
    <t>項目</t>
    <rPh sb="0" eb="2">
      <t>コウモク</t>
    </rPh>
    <phoneticPr fontId="1"/>
  </si>
  <si>
    <t>記載方法</t>
    <rPh sb="0" eb="2">
      <t>キサイ</t>
    </rPh>
    <rPh sb="2" eb="4">
      <t>ホウホウ</t>
    </rPh>
    <phoneticPr fontId="1"/>
  </si>
  <si>
    <t>B列</t>
    <rPh sb="1" eb="2">
      <t>レツ</t>
    </rPh>
    <phoneticPr fontId="1"/>
  </si>
  <si>
    <t>職種をプルダウンメニューから選択してください。</t>
    <rPh sb="0" eb="2">
      <t>ショクシュ</t>
    </rPh>
    <rPh sb="14" eb="16">
      <t>センタク</t>
    </rPh>
    <phoneticPr fontId="1"/>
  </si>
  <si>
    <t>C列</t>
    <rPh sb="1" eb="2">
      <t>レツ</t>
    </rPh>
    <phoneticPr fontId="1"/>
  </si>
  <si>
    <t>D列</t>
    <rPh sb="1" eb="2">
      <t>レツ</t>
    </rPh>
    <phoneticPr fontId="1"/>
  </si>
  <si>
    <t>E列</t>
    <rPh sb="1" eb="2">
      <t>レツ</t>
    </rPh>
    <phoneticPr fontId="1"/>
  </si>
  <si>
    <t>職員の氏名を記載してください。</t>
    <rPh sb="0" eb="2">
      <t>ショクイン</t>
    </rPh>
    <rPh sb="3" eb="5">
      <t>シメイ</t>
    </rPh>
    <rPh sb="6" eb="8">
      <t>キサイ</t>
    </rPh>
    <phoneticPr fontId="1"/>
  </si>
  <si>
    <t>F列</t>
    <rPh sb="1" eb="2">
      <t>レツ</t>
    </rPh>
    <phoneticPr fontId="1"/>
  </si>
  <si>
    <t>職員の性別を記選択してください。</t>
    <rPh sb="0" eb="2">
      <t>ショクイン</t>
    </rPh>
    <rPh sb="3" eb="5">
      <t>セイベツ</t>
    </rPh>
    <rPh sb="6" eb="7">
      <t>キ</t>
    </rPh>
    <rPh sb="7" eb="9">
      <t>センタク</t>
    </rPh>
    <phoneticPr fontId="1"/>
  </si>
  <si>
    <t>G列</t>
    <rPh sb="1" eb="2">
      <t>レツ</t>
    </rPh>
    <phoneticPr fontId="1"/>
  </si>
  <si>
    <t>職員の年齢を記載してください。</t>
    <rPh sb="0" eb="2">
      <t>ショクイン</t>
    </rPh>
    <rPh sb="3" eb="5">
      <t>ネンレイ</t>
    </rPh>
    <rPh sb="6" eb="8">
      <t>キサイ</t>
    </rPh>
    <phoneticPr fontId="1"/>
  </si>
  <si>
    <t>H～P列</t>
    <rPh sb="3" eb="4">
      <t>レツ</t>
    </rPh>
    <phoneticPr fontId="1"/>
  </si>
  <si>
    <t>Q列</t>
    <rPh sb="1" eb="2">
      <t>レツ</t>
    </rPh>
    <phoneticPr fontId="1"/>
  </si>
  <si>
    <t>H～P列に記載のもの以外で、特筆すべき資格を有する場合、記載してください。</t>
    <rPh sb="3" eb="4">
      <t>レツ</t>
    </rPh>
    <rPh sb="5" eb="7">
      <t>キサイ</t>
    </rPh>
    <rPh sb="10" eb="12">
      <t>イガイ</t>
    </rPh>
    <rPh sb="14" eb="16">
      <t>トクヒツ</t>
    </rPh>
    <rPh sb="19" eb="21">
      <t>シカク</t>
    </rPh>
    <rPh sb="22" eb="23">
      <t>ユウ</t>
    </rPh>
    <rPh sb="25" eb="27">
      <t>バアイ</t>
    </rPh>
    <rPh sb="28" eb="30">
      <t>キサイ</t>
    </rPh>
    <phoneticPr fontId="1"/>
  </si>
  <si>
    <t>R列</t>
    <rPh sb="1" eb="2">
      <t>レツ</t>
    </rPh>
    <phoneticPr fontId="1"/>
  </si>
  <si>
    <t>要件緩和の適用開始となった日付を入力してください。</t>
    <rPh sb="0" eb="2">
      <t>ヨウケン</t>
    </rPh>
    <rPh sb="2" eb="4">
      <t>カンワ</t>
    </rPh>
    <rPh sb="5" eb="7">
      <t>テキヨウ</t>
    </rPh>
    <rPh sb="7" eb="9">
      <t>カイシ</t>
    </rPh>
    <rPh sb="13" eb="15">
      <t>ヒヅケ</t>
    </rPh>
    <rPh sb="16" eb="18">
      <t>ニュウリョク</t>
    </rPh>
    <phoneticPr fontId="1"/>
  </si>
  <si>
    <t>S列</t>
    <rPh sb="1" eb="2">
      <t>レツ</t>
    </rPh>
    <phoneticPr fontId="1"/>
  </si>
  <si>
    <t>新規採用、系列園からの異動、担当業務の変更等、新たに業務に就くこととなった日を記載してください。</t>
    <rPh sb="0" eb="2">
      <t>シンキ</t>
    </rPh>
    <rPh sb="2" eb="4">
      <t>サイヨウ</t>
    </rPh>
    <rPh sb="5" eb="7">
      <t>ケイレツ</t>
    </rPh>
    <rPh sb="7" eb="8">
      <t>エン</t>
    </rPh>
    <rPh sb="11" eb="13">
      <t>イドウ</t>
    </rPh>
    <rPh sb="14" eb="16">
      <t>タントウ</t>
    </rPh>
    <rPh sb="16" eb="18">
      <t>ギョウム</t>
    </rPh>
    <rPh sb="19" eb="21">
      <t>ヘンコウ</t>
    </rPh>
    <rPh sb="21" eb="22">
      <t>トウ</t>
    </rPh>
    <rPh sb="23" eb="24">
      <t>アラ</t>
    </rPh>
    <rPh sb="26" eb="28">
      <t>ギョウム</t>
    </rPh>
    <rPh sb="29" eb="30">
      <t>ツ</t>
    </rPh>
    <rPh sb="37" eb="38">
      <t>ヒ</t>
    </rPh>
    <rPh sb="39" eb="41">
      <t>キサイ</t>
    </rPh>
    <phoneticPr fontId="1"/>
  </si>
  <si>
    <t>T列</t>
    <rPh sb="1" eb="2">
      <t>レツ</t>
    </rPh>
    <phoneticPr fontId="1"/>
  </si>
  <si>
    <t>S列に記載することとなった事由をプルダウンメニューから選択してください。</t>
    <rPh sb="1" eb="2">
      <t>レツ</t>
    </rPh>
    <rPh sb="3" eb="5">
      <t>キサイ</t>
    </rPh>
    <rPh sb="13" eb="15">
      <t>ジユウ</t>
    </rPh>
    <rPh sb="27" eb="29">
      <t>センタク</t>
    </rPh>
    <phoneticPr fontId="1"/>
  </si>
  <si>
    <t>U列</t>
    <rPh sb="1" eb="2">
      <t>レツ</t>
    </rPh>
    <phoneticPr fontId="1"/>
  </si>
  <si>
    <t>退職、系列園への異動、担当業務の変更等、現在の業務を離れることとなった日を記載してください。</t>
    <rPh sb="0" eb="2">
      <t>タイショク</t>
    </rPh>
    <rPh sb="3" eb="5">
      <t>ケイレツ</t>
    </rPh>
    <rPh sb="5" eb="6">
      <t>エン</t>
    </rPh>
    <rPh sb="8" eb="10">
      <t>イドウ</t>
    </rPh>
    <rPh sb="11" eb="13">
      <t>タントウ</t>
    </rPh>
    <rPh sb="13" eb="15">
      <t>ギョウム</t>
    </rPh>
    <rPh sb="16" eb="18">
      <t>ヘンコウ</t>
    </rPh>
    <rPh sb="18" eb="19">
      <t>トウ</t>
    </rPh>
    <rPh sb="20" eb="22">
      <t>ゲンザイ</t>
    </rPh>
    <rPh sb="23" eb="25">
      <t>ギョウム</t>
    </rPh>
    <rPh sb="26" eb="27">
      <t>ハナ</t>
    </rPh>
    <rPh sb="35" eb="36">
      <t>ヒ</t>
    </rPh>
    <rPh sb="37" eb="39">
      <t>キサイ</t>
    </rPh>
    <phoneticPr fontId="1"/>
  </si>
  <si>
    <t>V列</t>
    <rPh sb="1" eb="2">
      <t>レツ</t>
    </rPh>
    <phoneticPr fontId="1"/>
  </si>
  <si>
    <t>U列に記載することとなった事由をプルダウンメニューから選択してください。</t>
    <rPh sb="1" eb="2">
      <t>レツ</t>
    </rPh>
    <rPh sb="3" eb="5">
      <t>キサイ</t>
    </rPh>
    <rPh sb="13" eb="15">
      <t>ジユウ</t>
    </rPh>
    <rPh sb="27" eb="29">
      <t>センタク</t>
    </rPh>
    <phoneticPr fontId="1"/>
  </si>
  <si>
    <t>W列</t>
    <rPh sb="1" eb="2">
      <t>レツ</t>
    </rPh>
    <phoneticPr fontId="1"/>
  </si>
  <si>
    <t>○勤務時間入力シートの記載方法</t>
    <rPh sb="1" eb="3">
      <t>キンム</t>
    </rPh>
    <rPh sb="3" eb="5">
      <t>ジカン</t>
    </rPh>
    <rPh sb="5" eb="7">
      <t>ニュウリョク</t>
    </rPh>
    <rPh sb="11" eb="13">
      <t>キサイ</t>
    </rPh>
    <rPh sb="13" eb="15">
      <t>ホウホウ</t>
    </rPh>
    <phoneticPr fontId="1"/>
  </si>
  <si>
    <t>各園が就業規則に定める月ごとの「常勤時間数」を記載してください。
各月ごとに「常勤時間数」が変動する場合は、上書き修正してください。</t>
    <rPh sb="0" eb="2">
      <t>カクエン</t>
    </rPh>
    <rPh sb="3" eb="5">
      <t>シュウギョウ</t>
    </rPh>
    <rPh sb="5" eb="7">
      <t>キソク</t>
    </rPh>
    <rPh sb="8" eb="9">
      <t>サダ</t>
    </rPh>
    <rPh sb="11" eb="12">
      <t>ツキ</t>
    </rPh>
    <rPh sb="16" eb="18">
      <t>ジョウキン</t>
    </rPh>
    <rPh sb="18" eb="21">
      <t>ジカンスウ</t>
    </rPh>
    <rPh sb="23" eb="25">
      <t>キサイ</t>
    </rPh>
    <rPh sb="33" eb="34">
      <t>カク</t>
    </rPh>
    <rPh sb="34" eb="35">
      <t>ツキ</t>
    </rPh>
    <rPh sb="39" eb="41">
      <t>ジョウキン</t>
    </rPh>
    <rPh sb="41" eb="44">
      <t>ジカンスウ</t>
    </rPh>
    <rPh sb="46" eb="48">
      <t>ヘンドウ</t>
    </rPh>
    <rPh sb="50" eb="52">
      <t>バアイ</t>
    </rPh>
    <rPh sb="54" eb="56">
      <t>ウワガ</t>
    </rPh>
    <rPh sb="57" eb="59">
      <t>シュウセイ</t>
    </rPh>
    <phoneticPr fontId="1"/>
  </si>
  <si>
    <t>このシートの取り扱いについて</t>
    <rPh sb="6" eb="7">
      <t>ト</t>
    </rPh>
    <rPh sb="8" eb="9">
      <t>アツカ</t>
    </rPh>
    <phoneticPr fontId="1"/>
  </si>
  <si>
    <t>・このシートの内容を修正したい場合は、「②-1職員名簿」、「②-2勤務時間数入力のシート」を修正してください。</t>
    <rPh sb="7" eb="9">
      <t>ナイヨウ</t>
    </rPh>
    <rPh sb="10" eb="12">
      <t>シュウセイ</t>
    </rPh>
    <rPh sb="15" eb="17">
      <t>バアイ</t>
    </rPh>
    <rPh sb="46" eb="48">
      <t>シュウセイ</t>
    </rPh>
    <phoneticPr fontId="1"/>
  </si>
  <si>
    <t>・②-1職員名簿、②-2勤務時間数入力のシートから必要事項を転記していますので、記載する必要はありません。</t>
    <rPh sb="4" eb="6">
      <t>ショクイン</t>
    </rPh>
    <rPh sb="6" eb="8">
      <t>メイボ</t>
    </rPh>
    <rPh sb="12" eb="14">
      <t>キンム</t>
    </rPh>
    <rPh sb="14" eb="16">
      <t>ジカン</t>
    </rPh>
    <rPh sb="16" eb="17">
      <t>スウ</t>
    </rPh>
    <rPh sb="17" eb="19">
      <t>ニュウリョク</t>
    </rPh>
    <rPh sb="25" eb="27">
      <t>ヒツヨウ</t>
    </rPh>
    <rPh sb="27" eb="29">
      <t>ジコウ</t>
    </rPh>
    <rPh sb="30" eb="32">
      <t>テンキ</t>
    </rPh>
    <phoneticPr fontId="1"/>
  </si>
  <si>
    <t>・記載されている内容の確認をお願いします。</t>
    <rPh sb="1" eb="3">
      <t>キサイ</t>
    </rPh>
    <rPh sb="8" eb="10">
      <t>ナイヨウ</t>
    </rPh>
    <rPh sb="11" eb="13">
      <t>カクニン</t>
    </rPh>
    <rPh sb="15" eb="16">
      <t>ネガ</t>
    </rPh>
    <phoneticPr fontId="1"/>
  </si>
  <si>
    <t>○このシートの記載方法</t>
    <rPh sb="7" eb="9">
      <t>キサイ</t>
    </rPh>
    <rPh sb="9" eb="11">
      <t>ホウホウ</t>
    </rPh>
    <phoneticPr fontId="1"/>
  </si>
  <si>
    <t>・B列に「1」が表示されている月が補助対象となります。</t>
    <rPh sb="2" eb="3">
      <t>レツ</t>
    </rPh>
    <rPh sb="8" eb="10">
      <t>ヒョウジ</t>
    </rPh>
    <rPh sb="15" eb="16">
      <t>ツキ</t>
    </rPh>
    <rPh sb="17" eb="19">
      <t>ホジョ</t>
    </rPh>
    <rPh sb="19" eb="21">
      <t>タイショウ</t>
    </rPh>
    <phoneticPr fontId="1"/>
  </si>
  <si>
    <t>「賃金単価を記載」と表示されているセルに、職員の賃金単価を記載してください（非常勤職員のみ）。</t>
    <rPh sb="10" eb="12">
      <t>ヒョウジ</t>
    </rPh>
    <rPh sb="21" eb="23">
      <t>ショクイン</t>
    </rPh>
    <rPh sb="24" eb="26">
      <t>チンギン</t>
    </rPh>
    <rPh sb="26" eb="28">
      <t>タンカ</t>
    </rPh>
    <rPh sb="29" eb="31">
      <t>キサイ</t>
    </rPh>
    <rPh sb="38" eb="41">
      <t>ヒジョウキン</t>
    </rPh>
    <rPh sb="41" eb="43">
      <t>ショクイン</t>
    </rPh>
    <phoneticPr fontId="1"/>
  </si>
  <si>
    <t>・B列に表示されている人数が補助対象となります。</t>
    <rPh sb="2" eb="3">
      <t>レツ</t>
    </rPh>
    <rPh sb="4" eb="6">
      <t>ヒョウジ</t>
    </rPh>
    <rPh sb="11" eb="13">
      <t>ニンズウ</t>
    </rPh>
    <rPh sb="14" eb="16">
      <t>ホジョ</t>
    </rPh>
    <rPh sb="16" eb="18">
      <t>タイショウ</t>
    </rPh>
    <phoneticPr fontId="1"/>
  </si>
  <si>
    <t>・C列に表示されている人数が補助対象となります。</t>
    <rPh sb="2" eb="3">
      <t>レツ</t>
    </rPh>
    <rPh sb="4" eb="6">
      <t>ヒョウジ</t>
    </rPh>
    <rPh sb="11" eb="13">
      <t>ニンズウ</t>
    </rPh>
    <rPh sb="14" eb="16">
      <t>ホジョ</t>
    </rPh>
    <rPh sb="16" eb="18">
      <t>タイショウ</t>
    </rPh>
    <phoneticPr fontId="1"/>
  </si>
  <si>
    <t>「勤務日数を記載（定期利用の場合、1と記載)」と表示されているセルに、職員の勤務日数を記載してください（非常勤職員のみ）。
通勤に定期券を利用する者については、便宜上「1」を記載してください。</t>
    <rPh sb="24" eb="26">
      <t>ヒョウジ</t>
    </rPh>
    <rPh sb="35" eb="37">
      <t>ショクイン</t>
    </rPh>
    <rPh sb="38" eb="40">
      <t>キンム</t>
    </rPh>
    <rPh sb="40" eb="42">
      <t>ニッスウ</t>
    </rPh>
    <rPh sb="43" eb="45">
      <t>キサイ</t>
    </rPh>
    <rPh sb="52" eb="55">
      <t>ヒジョウキン</t>
    </rPh>
    <rPh sb="55" eb="57">
      <t>ショクイン</t>
    </rPh>
    <rPh sb="62" eb="64">
      <t>ツウキン</t>
    </rPh>
    <rPh sb="65" eb="68">
      <t>テイキケン</t>
    </rPh>
    <rPh sb="69" eb="71">
      <t>リヨウ</t>
    </rPh>
    <rPh sb="73" eb="74">
      <t>モノ</t>
    </rPh>
    <rPh sb="80" eb="82">
      <t>ベンギ</t>
    </rPh>
    <rPh sb="82" eb="83">
      <t>ジョウ</t>
    </rPh>
    <rPh sb="87" eb="89">
      <t>キサイ</t>
    </rPh>
    <phoneticPr fontId="1"/>
  </si>
  <si>
    <t>I列</t>
    <rPh sb="1" eb="2">
      <t>レツ</t>
    </rPh>
    <phoneticPr fontId="1"/>
  </si>
  <si>
    <t>「日額の交通費を記載（定期利用の場合は月額)」と表示されているセルに、職員の交通費を記載してください（非常勤職員のみ）。
通勤に定期券を利用する者については、定期券の金額（1カ月分）を記載してください。</t>
    <rPh sb="24" eb="26">
      <t>ヒョウジ</t>
    </rPh>
    <rPh sb="35" eb="37">
      <t>ショクイン</t>
    </rPh>
    <rPh sb="38" eb="41">
      <t>コウツウヒ</t>
    </rPh>
    <rPh sb="42" eb="44">
      <t>キサイ</t>
    </rPh>
    <rPh sb="51" eb="54">
      <t>ヒジョウキン</t>
    </rPh>
    <rPh sb="54" eb="56">
      <t>ショクイン</t>
    </rPh>
    <rPh sb="61" eb="63">
      <t>ツウキン</t>
    </rPh>
    <rPh sb="64" eb="67">
      <t>テイキケン</t>
    </rPh>
    <rPh sb="68" eb="70">
      <t>リヨウ</t>
    </rPh>
    <rPh sb="72" eb="73">
      <t>モノ</t>
    </rPh>
    <rPh sb="79" eb="82">
      <t>テイキケン</t>
    </rPh>
    <rPh sb="83" eb="85">
      <t>キンガク</t>
    </rPh>
    <rPh sb="88" eb="89">
      <t>ゲツ</t>
    </rPh>
    <rPh sb="89" eb="90">
      <t>ブン</t>
    </rPh>
    <rPh sb="92" eb="94">
      <t>キサイ</t>
    </rPh>
    <phoneticPr fontId="1"/>
  </si>
  <si>
    <t>介護・看護休暇取得</t>
    <rPh sb="0" eb="2">
      <t>カイゴ</t>
    </rPh>
    <rPh sb="3" eb="5">
      <t>カンゴ</t>
    </rPh>
    <rPh sb="5" eb="7">
      <t>キュウカ</t>
    </rPh>
    <rPh sb="7" eb="9">
      <t>シュトク</t>
    </rPh>
    <phoneticPr fontId="1"/>
  </si>
  <si>
    <t>介護・看護休暇復帰</t>
    <rPh sb="0" eb="2">
      <t>カイゴ</t>
    </rPh>
    <rPh sb="3" eb="5">
      <t>カンゴ</t>
    </rPh>
    <rPh sb="5" eb="7">
      <t>キュウカ</t>
    </rPh>
    <rPh sb="7" eb="9">
      <t>フッキ</t>
    </rPh>
    <phoneticPr fontId="1"/>
  </si>
  <si>
    <t>-</t>
    <phoneticPr fontId="1"/>
  </si>
  <si>
    <t>延長保育</t>
    <rPh sb="0" eb="2">
      <t>エンチョウ</t>
    </rPh>
    <rPh sb="2" eb="4">
      <t>ホイク</t>
    </rPh>
    <phoneticPr fontId="1"/>
  </si>
  <si>
    <t>勤務形態変更</t>
    <rPh sb="0" eb="2">
      <t>キンム</t>
    </rPh>
    <rPh sb="2" eb="4">
      <t>ケイタイ</t>
    </rPh>
    <rPh sb="4" eb="6">
      <t>ヘンコウ</t>
    </rPh>
    <phoneticPr fontId="1"/>
  </si>
  <si>
    <t>D3セル</t>
    <phoneticPr fontId="1"/>
  </si>
  <si>
    <t>入力担当者の氏名を入力してください。</t>
    <rPh sb="0" eb="2">
      <t>ニュウリョク</t>
    </rPh>
    <rPh sb="2" eb="5">
      <t>タントウシャ</t>
    </rPh>
    <rPh sb="6" eb="8">
      <t>シメイ</t>
    </rPh>
    <rPh sb="9" eb="11">
      <t>ニュウリョク</t>
    </rPh>
    <phoneticPr fontId="1"/>
  </si>
  <si>
    <t>医療的ケア児受け入れに係る保健師・看護師・准看護師の加配数を入力してください。
単位（人）は入力不要です。</t>
    <rPh sb="0" eb="3">
      <t>イリョウテキ</t>
    </rPh>
    <rPh sb="5" eb="6">
      <t>ジ</t>
    </rPh>
    <rPh sb="6" eb="7">
      <t>ウ</t>
    </rPh>
    <rPh sb="8" eb="9">
      <t>イ</t>
    </rPh>
    <rPh sb="11" eb="12">
      <t>カカ</t>
    </rPh>
    <rPh sb="13" eb="16">
      <t>ホケンシ</t>
    </rPh>
    <rPh sb="17" eb="20">
      <t>カンゴシ</t>
    </rPh>
    <rPh sb="21" eb="25">
      <t>ジュンカンゴシ</t>
    </rPh>
    <rPh sb="26" eb="28">
      <t>カハイ</t>
    </rPh>
    <rPh sb="28" eb="29">
      <t>スウ</t>
    </rPh>
    <rPh sb="30" eb="32">
      <t>ニュウリョク</t>
    </rPh>
    <rPh sb="40" eb="42">
      <t>タンイ</t>
    </rPh>
    <rPh sb="43" eb="44">
      <t>ニン</t>
    </rPh>
    <rPh sb="46" eb="48">
      <t>ニュウリョク</t>
    </rPh>
    <rPh sb="48" eb="50">
      <t>フヨウ</t>
    </rPh>
    <phoneticPr fontId="1"/>
  </si>
  <si>
    <t>要配慮児受け入れに係る加配保育士数を入力してください。
単位（人）は入力不要です。</t>
    <rPh sb="0" eb="1">
      <t>ヨウ</t>
    </rPh>
    <rPh sb="1" eb="3">
      <t>ハイリョ</t>
    </rPh>
    <rPh sb="3" eb="4">
      <t>ジ</t>
    </rPh>
    <rPh sb="4" eb="5">
      <t>ウ</t>
    </rPh>
    <rPh sb="6" eb="7">
      <t>イ</t>
    </rPh>
    <rPh sb="9" eb="10">
      <t>カカ</t>
    </rPh>
    <rPh sb="11" eb="13">
      <t>カハイ</t>
    </rPh>
    <rPh sb="13" eb="16">
      <t>ホイクシ</t>
    </rPh>
    <rPh sb="16" eb="17">
      <t>スウ</t>
    </rPh>
    <rPh sb="18" eb="20">
      <t>ニュウリョク</t>
    </rPh>
    <rPh sb="28" eb="30">
      <t>タンイ</t>
    </rPh>
    <rPh sb="31" eb="32">
      <t>ニン</t>
    </rPh>
    <rPh sb="34" eb="36">
      <t>ニュウリョク</t>
    </rPh>
    <rPh sb="36" eb="38">
      <t>フヨウ</t>
    </rPh>
    <phoneticPr fontId="1"/>
  </si>
  <si>
    <t>医療的ケア児の受入数を入力してください。
単位（人）は入力不要です。</t>
    <rPh sb="0" eb="3">
      <t>イリョウテキ</t>
    </rPh>
    <rPh sb="5" eb="6">
      <t>ジ</t>
    </rPh>
    <rPh sb="7" eb="10">
      <t>ウケイレスウ</t>
    </rPh>
    <rPh sb="11" eb="13">
      <t>ニュウリョク</t>
    </rPh>
    <rPh sb="21" eb="23">
      <t>タンイ</t>
    </rPh>
    <rPh sb="24" eb="25">
      <t>ニン</t>
    </rPh>
    <rPh sb="27" eb="29">
      <t>ニュウリョク</t>
    </rPh>
    <rPh sb="29" eb="31">
      <t>フヨウ</t>
    </rPh>
    <phoneticPr fontId="1"/>
  </si>
  <si>
    <t>・対象職員：正規職員、常勤的非常勤、短時間非常勤</t>
    <rPh sb="1" eb="3">
      <t>タイショウ</t>
    </rPh>
    <rPh sb="3" eb="5">
      <t>ショクイン</t>
    </rPh>
    <rPh sb="6" eb="8">
      <t>セイキ</t>
    </rPh>
    <rPh sb="8" eb="10">
      <t>ショクイン</t>
    </rPh>
    <rPh sb="11" eb="14">
      <t>ジョウキンテキ</t>
    </rPh>
    <rPh sb="14" eb="17">
      <t>ヒジョウキン</t>
    </rPh>
    <rPh sb="18" eb="21">
      <t>タンジカン</t>
    </rPh>
    <rPh sb="21" eb="24">
      <t>ヒジョウキン</t>
    </rPh>
    <phoneticPr fontId="1"/>
  </si>
  <si>
    <t>１　入力部分</t>
    <rPh sb="2" eb="4">
      <t>ニュウリョク</t>
    </rPh>
    <rPh sb="4" eb="6">
      <t>ブブン</t>
    </rPh>
    <phoneticPr fontId="1"/>
  </si>
  <si>
    <t>（１）データ提出期限</t>
    <rPh sb="6" eb="8">
      <t>テイシュツ</t>
    </rPh>
    <rPh sb="8" eb="10">
      <t>キゲン</t>
    </rPh>
    <phoneticPr fontId="1"/>
  </si>
  <si>
    <t>提出先</t>
    <rPh sb="0" eb="2">
      <t>テイシュツ</t>
    </rPh>
    <rPh sb="2" eb="3">
      <t>サキ</t>
    </rPh>
    <phoneticPr fontId="1"/>
  </si>
  <si>
    <t>TEL ０４３－２４５－５７２９ 　FAX０４３－２４５－５８９４</t>
    <phoneticPr fontId="1"/>
  </si>
  <si>
    <t>unei-josei@city.chiba.lg.jp</t>
    <phoneticPr fontId="1"/>
  </si>
  <si>
    <t>e-mail:</t>
    <phoneticPr fontId="1"/>
  </si>
  <si>
    <t>項目・セル等</t>
    <rPh sb="0" eb="2">
      <t>コウモク</t>
    </rPh>
    <rPh sb="5" eb="6">
      <t>トウ</t>
    </rPh>
    <phoneticPr fontId="1"/>
  </si>
  <si>
    <t>ab</t>
  </si>
  <si>
    <t>ac</t>
  </si>
  <si>
    <t>ad</t>
  </si>
  <si>
    <t>ae</t>
  </si>
  <si>
    <t>af</t>
  </si>
  <si>
    <t>ag</t>
  </si>
  <si>
    <t>ah</t>
  </si>
  <si>
    <t>ai</t>
  </si>
  <si>
    <t>aj</t>
  </si>
  <si>
    <t>ak</t>
  </si>
  <si>
    <t>al</t>
  </si>
  <si>
    <t>am</t>
  </si>
  <si>
    <t>an</t>
  </si>
  <si>
    <t>ao</t>
    <phoneticPr fontId="1"/>
  </si>
  <si>
    <t>園長</t>
    <rPh sb="0" eb="2">
      <t>エンチョウ</t>
    </rPh>
    <phoneticPr fontId="1"/>
  </si>
  <si>
    <t>区　名</t>
    <rPh sb="0" eb="1">
      <t>ク</t>
    </rPh>
    <rPh sb="2" eb="3">
      <t>メイ</t>
    </rPh>
    <phoneticPr fontId="2"/>
  </si>
  <si>
    <t>区　分</t>
    <rPh sb="0" eb="1">
      <t>ク</t>
    </rPh>
    <rPh sb="2" eb="3">
      <t>ブン</t>
    </rPh>
    <phoneticPr fontId="2"/>
  </si>
  <si>
    <t>幼稚園型認定こども園</t>
  </si>
  <si>
    <t>認定こども園　葵幼稚園</t>
  </si>
  <si>
    <t>幼保連携型認定こども園　植草学園大学附属弁天こども園</t>
  </si>
  <si>
    <t>認定こども園　さつきが丘幼稚園</t>
  </si>
  <si>
    <t>認定こども園　小ばと幼稚園</t>
  </si>
  <si>
    <t>幼保連携型認定こども園　ウィズダムナーサリースクール</t>
  </si>
  <si>
    <t>認定こども園　みつわ台幼稚園</t>
  </si>
  <si>
    <t>認定こども園　ほまれ幼稚園</t>
  </si>
  <si>
    <t>認定こども園　白梅幼稚園</t>
  </si>
  <si>
    <t>認定こども園　かしの木学園　かしの木園</t>
  </si>
  <si>
    <t>認定こども園　あいりす幼稚園</t>
  </si>
  <si>
    <t>幼保連携型認定こども園　幕張海浜こども園</t>
  </si>
  <si>
    <t>認定こども園　仁戸名幼稚園</t>
  </si>
  <si>
    <t>認定こども園　はまの幼稚園</t>
  </si>
  <si>
    <t>認定こども園　まこと第三幼稚園</t>
  </si>
  <si>
    <t>認定こども園　稲毛すみれ幼稚園</t>
  </si>
  <si>
    <t>認定こども園　鏡戸幼稚園</t>
  </si>
  <si>
    <t>認定こども園　キッズビレッジ</t>
  </si>
  <si>
    <t>認定こども園　高洲幼稚園</t>
  </si>
  <si>
    <t>幼保連携型認定こども園　打瀬保育園</t>
  </si>
  <si>
    <t>認定こども園　ひまわり幼稚園</t>
  </si>
  <si>
    <t>認定こども園　まこと第二幼稚園</t>
  </si>
  <si>
    <t>認定こども園　山王幼稚園</t>
  </si>
  <si>
    <t>認定こども園　明徳土気こども園</t>
  </si>
  <si>
    <t>認定こども園　高浜幼稚園</t>
  </si>
  <si>
    <t>幼保連携型認定こども園　千葉女子専門学校附属聖こども園</t>
  </si>
  <si>
    <t>認定こども園　千葉明徳短期大学附属幼稚園</t>
  </si>
  <si>
    <t>認定こども園　花見川ちぐさ幼稚園</t>
  </si>
  <si>
    <t>認定こども園　土岐幼稚園</t>
  </si>
  <si>
    <t>認定こども園　千葉さざなみ幼稚園</t>
  </si>
  <si>
    <t>認定こども園　登戸幼稚園</t>
  </si>
  <si>
    <t>認定こども園　真砂幼稚園</t>
  </si>
  <si>
    <t>認定こども園　松ヶ丘幼稚園</t>
  </si>
  <si>
    <t>認定こども園　都幼稚園</t>
  </si>
  <si>
    <t>通し
番号</t>
    <rPh sb="0" eb="1">
      <t>トオ</t>
    </rPh>
    <rPh sb="3" eb="5">
      <t>バンゴウ</t>
    </rPh>
    <phoneticPr fontId="1"/>
  </si>
  <si>
    <t>交付決定額</t>
    <rPh sb="0" eb="2">
      <t>コウフ</t>
    </rPh>
    <rPh sb="2" eb="4">
      <t>ケッテイ</t>
    </rPh>
    <rPh sb="4" eb="5">
      <t>ガク</t>
    </rPh>
    <phoneticPr fontId="1"/>
  </si>
  <si>
    <t>交付決定日</t>
    <rPh sb="0" eb="2">
      <t>コウフ</t>
    </rPh>
    <rPh sb="2" eb="4">
      <t>ケッテイ</t>
    </rPh>
    <rPh sb="4" eb="5">
      <t>ビ</t>
    </rPh>
    <phoneticPr fontId="1"/>
  </si>
  <si>
    <t>概算払日1</t>
    <rPh sb="0" eb="2">
      <t>ガイサン</t>
    </rPh>
    <rPh sb="2" eb="3">
      <t>バラ</t>
    </rPh>
    <rPh sb="3" eb="4">
      <t>ヒ</t>
    </rPh>
    <phoneticPr fontId="1"/>
  </si>
  <si>
    <t>概算払日2</t>
    <rPh sb="0" eb="2">
      <t>ガイサン</t>
    </rPh>
    <rPh sb="2" eb="3">
      <t>バラ</t>
    </rPh>
    <rPh sb="3" eb="4">
      <t>ヒ</t>
    </rPh>
    <phoneticPr fontId="1"/>
  </si>
  <si>
    <t>理事長</t>
  </si>
  <si>
    <t>（福）あかね福祉会</t>
  </si>
  <si>
    <t>篠原　昌敏</t>
  </si>
  <si>
    <t>村松　重彦</t>
  </si>
  <si>
    <t>代表理事</t>
  </si>
  <si>
    <t>（学）千葉明徳学園</t>
  </si>
  <si>
    <t>福中　儀明</t>
  </si>
  <si>
    <t>千葉市中央区南生実町1412番地</t>
  </si>
  <si>
    <t>堀口　路加</t>
  </si>
  <si>
    <t>（学）植草学園</t>
  </si>
  <si>
    <t>植草　和典</t>
  </si>
  <si>
    <t>決定通知書文書番号</t>
    <rPh sb="0" eb="2">
      <t>ケッテイ</t>
    </rPh>
    <rPh sb="2" eb="4">
      <t>ツウチ</t>
    </rPh>
    <rPh sb="4" eb="5">
      <t>ショ</t>
    </rPh>
    <rPh sb="5" eb="7">
      <t>ブンショ</t>
    </rPh>
    <rPh sb="7" eb="9">
      <t>バンゴウ</t>
    </rPh>
    <phoneticPr fontId="1"/>
  </si>
  <si>
    <t>代理人情報</t>
    <rPh sb="0" eb="3">
      <t>ダイリニン</t>
    </rPh>
    <rPh sb="3" eb="5">
      <t>ジョウホウ</t>
    </rPh>
    <phoneticPr fontId="4"/>
  </si>
  <si>
    <t>法人名</t>
    <rPh sb="0" eb="2">
      <t>ホウジン</t>
    </rPh>
    <rPh sb="2" eb="3">
      <t>メイ</t>
    </rPh>
    <phoneticPr fontId="4"/>
  </si>
  <si>
    <t>千葉市緑区おゆみ野2-1-15</t>
  </si>
  <si>
    <t>来栖　宏二</t>
  </si>
  <si>
    <t>羽田　政幸</t>
  </si>
  <si>
    <t>千葉市中央区新千葉3-14-18</t>
  </si>
  <si>
    <t>大森　昭彦</t>
  </si>
  <si>
    <t>千葉市稲毛区稲毛東1-14-13</t>
  </si>
  <si>
    <t>千葉県八千代市八千代台東２丁目５－２</t>
  </si>
  <si>
    <t>山口　義裕</t>
  </si>
  <si>
    <t>（学）井元学園</t>
  </si>
  <si>
    <t>千葉県千葉市花見川区花見川８－１９</t>
  </si>
  <si>
    <t>井元　詔一</t>
  </si>
  <si>
    <t>（福）千葉明徳会</t>
  </si>
  <si>
    <t>千葉県千葉市緑区土気町１６２６番地５</t>
  </si>
  <si>
    <t>畑佐　健二郎</t>
  </si>
  <si>
    <t>増田　和人</t>
  </si>
  <si>
    <t>畠山　一雄</t>
  </si>
  <si>
    <t>石川　進一</t>
  </si>
  <si>
    <t>長谷部　聡</t>
  </si>
  <si>
    <t>秋山　清</t>
  </si>
  <si>
    <t>長谷川　豊</t>
  </si>
  <si>
    <t>能勢　正明</t>
  </si>
  <si>
    <t>石原　隆広</t>
  </si>
  <si>
    <t>千葉市花見川区さつきが丘1-33-1</t>
  </si>
  <si>
    <t>西澤　貫応</t>
  </si>
  <si>
    <t>濱田　純孝</t>
  </si>
  <si>
    <t>土岐　由美子</t>
  </si>
  <si>
    <t>片岡　伸介</t>
  </si>
  <si>
    <t>三幣　利夫</t>
  </si>
  <si>
    <t>配置</t>
    <rPh sb="0" eb="2">
      <t>ハイチ</t>
    </rPh>
    <phoneticPr fontId="1"/>
  </si>
  <si>
    <t>兼務</t>
    <rPh sb="0" eb="2">
      <t>ケンム</t>
    </rPh>
    <phoneticPr fontId="1"/>
  </si>
  <si>
    <t>嘱託</t>
    <rPh sb="0" eb="2">
      <t>ショクタク</t>
    </rPh>
    <phoneticPr fontId="1"/>
  </si>
  <si>
    <t>栄養管理加算の適用</t>
    <rPh sb="0" eb="2">
      <t>エイヨウ</t>
    </rPh>
    <rPh sb="2" eb="4">
      <t>カンリ</t>
    </rPh>
    <rPh sb="4" eb="6">
      <t>カサン</t>
    </rPh>
    <rPh sb="7" eb="9">
      <t>テキヨウ</t>
    </rPh>
    <phoneticPr fontId="1"/>
  </si>
  <si>
    <t>栄養管理加算の適用内容</t>
    <rPh sb="0" eb="2">
      <t>エイヨウ</t>
    </rPh>
    <rPh sb="2" eb="4">
      <t>カンリ</t>
    </rPh>
    <rPh sb="4" eb="6">
      <t>カサン</t>
    </rPh>
    <rPh sb="7" eb="9">
      <t>テキヨウ</t>
    </rPh>
    <rPh sb="9" eb="11">
      <t>ナイヨウ</t>
    </rPh>
    <phoneticPr fontId="1"/>
  </si>
  <si>
    <t>D4セル</t>
  </si>
  <si>
    <t>園の所在する区を選択してください。</t>
    <rPh sb="0" eb="1">
      <t>エン</t>
    </rPh>
    <rPh sb="2" eb="4">
      <t>ショザイ</t>
    </rPh>
    <rPh sb="6" eb="7">
      <t>ク</t>
    </rPh>
    <rPh sb="8" eb="10">
      <t>センタク</t>
    </rPh>
    <phoneticPr fontId="1"/>
  </si>
  <si>
    <t>園の類型を選択してください。</t>
    <rPh sb="0" eb="1">
      <t>エン</t>
    </rPh>
    <rPh sb="2" eb="4">
      <t>ルイケイ</t>
    </rPh>
    <rPh sb="5" eb="7">
      <t>センタク</t>
    </rPh>
    <phoneticPr fontId="1"/>
  </si>
  <si>
    <t>L8セル</t>
    <phoneticPr fontId="1"/>
  </si>
  <si>
    <t>有・無</t>
    <rPh sb="0" eb="1">
      <t>アリ</t>
    </rPh>
    <rPh sb="2" eb="3">
      <t>ナシ</t>
    </rPh>
    <phoneticPr fontId="1"/>
  </si>
  <si>
    <t>数字</t>
    <rPh sb="0" eb="2">
      <t>スウジ</t>
    </rPh>
    <phoneticPr fontId="1"/>
  </si>
  <si>
    <t>保育標準時間の受け入れ</t>
    <rPh sb="0" eb="2">
      <t>ホイク</t>
    </rPh>
    <rPh sb="2" eb="4">
      <t>ヒョウジュン</t>
    </rPh>
    <rPh sb="4" eb="6">
      <t>ジカン</t>
    </rPh>
    <rPh sb="7" eb="8">
      <t>ウ</t>
    </rPh>
    <rPh sb="9" eb="10">
      <t>イ</t>
    </rPh>
    <phoneticPr fontId="1"/>
  </si>
  <si>
    <t>事前にお知らせしている補助金用パスワード（アルファベット3桁+数字5桁）を入力してください。</t>
    <rPh sb="0" eb="2">
      <t>ジゼン</t>
    </rPh>
    <rPh sb="4" eb="5">
      <t>シ</t>
    </rPh>
    <rPh sb="11" eb="14">
      <t>ホジョキン</t>
    </rPh>
    <rPh sb="14" eb="15">
      <t>ヨウ</t>
    </rPh>
    <rPh sb="29" eb="30">
      <t>ケタ</t>
    </rPh>
    <rPh sb="31" eb="33">
      <t>スウジ</t>
    </rPh>
    <rPh sb="34" eb="35">
      <t>ケタ</t>
    </rPh>
    <rPh sb="37" eb="39">
      <t>ニュウリョク</t>
    </rPh>
    <phoneticPr fontId="1"/>
  </si>
  <si>
    <t>栄養管理加算額
（４月）</t>
    <rPh sb="0" eb="2">
      <t>エイヨウ</t>
    </rPh>
    <rPh sb="2" eb="4">
      <t>カンリ</t>
    </rPh>
    <rPh sb="4" eb="6">
      <t>カサン</t>
    </rPh>
    <rPh sb="6" eb="7">
      <t>ガク</t>
    </rPh>
    <rPh sb="10" eb="11">
      <t>ガツ</t>
    </rPh>
    <phoneticPr fontId="1"/>
  </si>
  <si>
    <t>栄養管理加算額
（５月）</t>
    <rPh sb="0" eb="2">
      <t>エイヨウ</t>
    </rPh>
    <rPh sb="2" eb="4">
      <t>カンリ</t>
    </rPh>
    <rPh sb="4" eb="6">
      <t>カサン</t>
    </rPh>
    <rPh sb="6" eb="7">
      <t>ガク</t>
    </rPh>
    <rPh sb="10" eb="11">
      <t>ガツ</t>
    </rPh>
    <phoneticPr fontId="1"/>
  </si>
  <si>
    <t>栄養管理加算額
（６月）</t>
    <rPh sb="0" eb="2">
      <t>エイヨウ</t>
    </rPh>
    <rPh sb="2" eb="4">
      <t>カンリ</t>
    </rPh>
    <rPh sb="4" eb="6">
      <t>カサン</t>
    </rPh>
    <rPh sb="6" eb="7">
      <t>ガク</t>
    </rPh>
    <rPh sb="10" eb="11">
      <t>ガツ</t>
    </rPh>
    <phoneticPr fontId="1"/>
  </si>
  <si>
    <t>栄養管理加算額
（７月）</t>
    <rPh sb="0" eb="2">
      <t>エイヨウ</t>
    </rPh>
    <rPh sb="2" eb="4">
      <t>カンリ</t>
    </rPh>
    <rPh sb="4" eb="6">
      <t>カサン</t>
    </rPh>
    <rPh sb="6" eb="7">
      <t>ガク</t>
    </rPh>
    <rPh sb="10" eb="11">
      <t>ガツ</t>
    </rPh>
    <phoneticPr fontId="1"/>
  </si>
  <si>
    <t>栄養管理加算額
（８月）</t>
    <rPh sb="0" eb="2">
      <t>エイヨウ</t>
    </rPh>
    <rPh sb="2" eb="4">
      <t>カンリ</t>
    </rPh>
    <rPh sb="4" eb="6">
      <t>カサン</t>
    </rPh>
    <rPh sb="6" eb="7">
      <t>ガク</t>
    </rPh>
    <rPh sb="10" eb="11">
      <t>ガツ</t>
    </rPh>
    <phoneticPr fontId="1"/>
  </si>
  <si>
    <t>栄養管理加算額
（９月）</t>
    <rPh sb="0" eb="2">
      <t>エイヨウ</t>
    </rPh>
    <rPh sb="2" eb="4">
      <t>カンリ</t>
    </rPh>
    <rPh sb="4" eb="6">
      <t>カサン</t>
    </rPh>
    <rPh sb="6" eb="7">
      <t>ガク</t>
    </rPh>
    <rPh sb="10" eb="11">
      <t>ガツ</t>
    </rPh>
    <phoneticPr fontId="1"/>
  </si>
  <si>
    <t>栄養管理加算額
（１０月）</t>
    <rPh sb="0" eb="2">
      <t>エイヨウ</t>
    </rPh>
    <rPh sb="2" eb="4">
      <t>カンリ</t>
    </rPh>
    <rPh sb="4" eb="6">
      <t>カサン</t>
    </rPh>
    <rPh sb="6" eb="7">
      <t>ガク</t>
    </rPh>
    <rPh sb="11" eb="12">
      <t>ガツ</t>
    </rPh>
    <phoneticPr fontId="1"/>
  </si>
  <si>
    <t>栄養管理加算額
（１１月）</t>
    <rPh sb="0" eb="2">
      <t>エイヨウ</t>
    </rPh>
    <rPh sb="2" eb="4">
      <t>カンリ</t>
    </rPh>
    <rPh sb="4" eb="6">
      <t>カサン</t>
    </rPh>
    <rPh sb="6" eb="7">
      <t>ガク</t>
    </rPh>
    <rPh sb="11" eb="12">
      <t>ガツ</t>
    </rPh>
    <phoneticPr fontId="1"/>
  </si>
  <si>
    <t>栄養管理加算額
（１２月）</t>
    <rPh sb="0" eb="2">
      <t>エイヨウ</t>
    </rPh>
    <rPh sb="2" eb="4">
      <t>カンリ</t>
    </rPh>
    <rPh sb="4" eb="6">
      <t>カサン</t>
    </rPh>
    <rPh sb="6" eb="7">
      <t>ガク</t>
    </rPh>
    <rPh sb="11" eb="12">
      <t>ガツ</t>
    </rPh>
    <phoneticPr fontId="1"/>
  </si>
  <si>
    <t>栄養管理加算額
（１月）</t>
    <rPh sb="0" eb="2">
      <t>エイヨウ</t>
    </rPh>
    <rPh sb="2" eb="4">
      <t>カンリ</t>
    </rPh>
    <rPh sb="4" eb="6">
      <t>カサン</t>
    </rPh>
    <rPh sb="6" eb="7">
      <t>ガク</t>
    </rPh>
    <rPh sb="10" eb="11">
      <t>ガツ</t>
    </rPh>
    <phoneticPr fontId="1"/>
  </si>
  <si>
    <t>栄養管理加算額
（２月）</t>
    <rPh sb="0" eb="2">
      <t>エイヨウ</t>
    </rPh>
    <rPh sb="2" eb="4">
      <t>カンリ</t>
    </rPh>
    <rPh sb="4" eb="6">
      <t>カサン</t>
    </rPh>
    <rPh sb="6" eb="7">
      <t>ガク</t>
    </rPh>
    <rPh sb="10" eb="11">
      <t>ガツ</t>
    </rPh>
    <phoneticPr fontId="1"/>
  </si>
  <si>
    <t>栄養管理加算額
（３月）</t>
    <rPh sb="0" eb="2">
      <t>エイヨウ</t>
    </rPh>
    <rPh sb="2" eb="4">
      <t>カンリ</t>
    </rPh>
    <rPh sb="4" eb="6">
      <t>カサン</t>
    </rPh>
    <rPh sb="6" eb="7">
      <t>ガク</t>
    </rPh>
    <rPh sb="10" eb="11">
      <t>ガツ</t>
    </rPh>
    <phoneticPr fontId="1"/>
  </si>
  <si>
    <t>J列</t>
    <rPh sb="1" eb="2">
      <t>レツ</t>
    </rPh>
    <phoneticPr fontId="1"/>
  </si>
  <si>
    <t>K列</t>
    <rPh sb="1" eb="2">
      <t>レツ</t>
    </rPh>
    <phoneticPr fontId="1"/>
  </si>
  <si>
    <t>【非表示】配置の場合の加算額</t>
    <rPh sb="1" eb="2">
      <t>ヒ</t>
    </rPh>
    <rPh sb="2" eb="4">
      <t>ヒョウジ</t>
    </rPh>
    <rPh sb="5" eb="7">
      <t>ハイチ</t>
    </rPh>
    <rPh sb="8" eb="10">
      <t>バアイ</t>
    </rPh>
    <rPh sb="11" eb="13">
      <t>カサン</t>
    </rPh>
    <rPh sb="13" eb="14">
      <t>ガク</t>
    </rPh>
    <phoneticPr fontId="1"/>
  </si>
  <si>
    <t>（様式第３号）</t>
    <rPh sb="3" eb="4">
      <t>ダイ</t>
    </rPh>
    <phoneticPr fontId="6"/>
  </si>
  <si>
    <t>今回の請求額</t>
    <rPh sb="0" eb="2">
      <t>コンカイ</t>
    </rPh>
    <rPh sb="3" eb="5">
      <t>セイキュウ</t>
    </rPh>
    <rPh sb="5" eb="6">
      <t>ガク</t>
    </rPh>
    <phoneticPr fontId="28"/>
  </si>
  <si>
    <t>AXA56260</t>
  </si>
  <si>
    <t>NVE78827</t>
  </si>
  <si>
    <t>SGV81024</t>
  </si>
  <si>
    <t>BQT98518</t>
  </si>
  <si>
    <t>CHI62351</t>
  </si>
  <si>
    <t>KFM57060</t>
  </si>
  <si>
    <t>YCG22960</t>
  </si>
  <si>
    <t>JZD58530</t>
  </si>
  <si>
    <t>IEY27296</t>
  </si>
  <si>
    <t>QVB34045</t>
  </si>
  <si>
    <t>ZPF41882</t>
  </si>
  <si>
    <t>BQN48397</t>
  </si>
  <si>
    <t>WQI20650</t>
  </si>
  <si>
    <t>UCC31844</t>
  </si>
  <si>
    <t>MGP17295</t>
  </si>
  <si>
    <t>EUI33058</t>
  </si>
  <si>
    <t>KWM21249</t>
  </si>
  <si>
    <t>NUF53325</t>
  </si>
  <si>
    <t>GMS31129</t>
  </si>
  <si>
    <t>MPR13959</t>
  </si>
  <si>
    <t>LXV18253</t>
  </si>
  <si>
    <t>NBP48057</t>
  </si>
  <si>
    <t>PXI11869</t>
  </si>
  <si>
    <t>WNH32107</t>
  </si>
  <si>
    <t>WCN98378</t>
  </si>
  <si>
    <t>RQA91423</t>
  </si>
  <si>
    <t>UVK30141</t>
  </si>
  <si>
    <t>NUD11102</t>
  </si>
  <si>
    <t>CFP67058</t>
  </si>
  <si>
    <t>KIK39280</t>
  </si>
  <si>
    <t>ROZ24113</t>
  </si>
  <si>
    <t>LXF39745</t>
  </si>
  <si>
    <t>NNJ69388</t>
  </si>
  <si>
    <t>XVD78126</t>
  </si>
  <si>
    <t>PKV27593</t>
  </si>
  <si>
    <t>CBH64602</t>
  </si>
  <si>
    <t>WTG68140</t>
  </si>
  <si>
    <t>嘱託等</t>
    <rPh sb="0" eb="2">
      <t>ショクタク</t>
    </rPh>
    <rPh sb="2" eb="3">
      <t>トウ</t>
    </rPh>
    <phoneticPr fontId="15"/>
  </si>
  <si>
    <t>看護師等</t>
    <rPh sb="0" eb="3">
      <t>カンゴシ</t>
    </rPh>
    <rPh sb="3" eb="4">
      <t>トウ</t>
    </rPh>
    <phoneticPr fontId="1"/>
  </si>
  <si>
    <t>調理</t>
    <rPh sb="0" eb="2">
      <t>チョウリ</t>
    </rPh>
    <phoneticPr fontId="1"/>
  </si>
  <si>
    <t>(2)-(2)-(A)から</t>
    <phoneticPr fontId="1"/>
  </si>
  <si>
    <t>(2)-(2)-(B)から</t>
    <phoneticPr fontId="1"/>
  </si>
  <si>
    <t>(2)-(2)-(C)から</t>
    <phoneticPr fontId="1"/>
  </si>
  <si>
    <t>(2)-(2)-(D)から</t>
    <phoneticPr fontId="1"/>
  </si>
  <si>
    <t>要配慮加配</t>
    <rPh sb="0" eb="1">
      <t>ヨウ</t>
    </rPh>
    <rPh sb="1" eb="3">
      <t>ハイリョ</t>
    </rPh>
    <rPh sb="3" eb="5">
      <t>カハイ</t>
    </rPh>
    <phoneticPr fontId="1"/>
  </si>
  <si>
    <t>医ケア加配</t>
    <rPh sb="0" eb="1">
      <t>イ</t>
    </rPh>
    <rPh sb="3" eb="5">
      <t>カハイ</t>
    </rPh>
    <phoneticPr fontId="1"/>
  </si>
  <si>
    <t>１・２歳加配</t>
    <rPh sb="3" eb="4">
      <t>サイ</t>
    </rPh>
    <rPh sb="4" eb="6">
      <t>カハイ</t>
    </rPh>
    <phoneticPr fontId="1"/>
  </si>
  <si>
    <t>１・２歳児童数</t>
    <rPh sb="3" eb="4">
      <t>サイ</t>
    </rPh>
    <rPh sb="4" eb="6">
      <t>ジドウ</t>
    </rPh>
    <rPh sb="6" eb="7">
      <t>スウ</t>
    </rPh>
    <phoneticPr fontId="1"/>
  </si>
  <si>
    <t>基本加算１</t>
    <rPh sb="0" eb="2">
      <t>キホン</t>
    </rPh>
    <rPh sb="2" eb="4">
      <t>カサン</t>
    </rPh>
    <phoneticPr fontId="1"/>
  </si>
  <si>
    <t>基本加算２</t>
    <rPh sb="0" eb="2">
      <t>キホン</t>
    </rPh>
    <rPh sb="2" eb="4">
      <t>カサン</t>
    </rPh>
    <phoneticPr fontId="1"/>
  </si>
  <si>
    <t>基本加算３</t>
    <rPh sb="0" eb="2">
      <t>キホン</t>
    </rPh>
    <rPh sb="2" eb="4">
      <t>カサン</t>
    </rPh>
    <phoneticPr fontId="1"/>
  </si>
  <si>
    <t>特定加算１</t>
    <rPh sb="0" eb="2">
      <t>トクテイ</t>
    </rPh>
    <rPh sb="2" eb="4">
      <t>カサン</t>
    </rPh>
    <phoneticPr fontId="1"/>
  </si>
  <si>
    <t>一般加算１</t>
    <rPh sb="0" eb="2">
      <t>イッパン</t>
    </rPh>
    <rPh sb="2" eb="4">
      <t>カサン</t>
    </rPh>
    <phoneticPr fontId="1"/>
  </si>
  <si>
    <t>一般加算２</t>
    <rPh sb="0" eb="2">
      <t>イッパン</t>
    </rPh>
    <rPh sb="2" eb="4">
      <t>カサン</t>
    </rPh>
    <phoneticPr fontId="1"/>
  </si>
  <si>
    <t>特定加算２</t>
    <rPh sb="0" eb="2">
      <t>トクテイ</t>
    </rPh>
    <rPh sb="2" eb="4">
      <t>カサン</t>
    </rPh>
    <phoneticPr fontId="1"/>
  </si>
  <si>
    <t>障害</t>
    <rPh sb="0" eb="2">
      <t>ショウガイ</t>
    </rPh>
    <phoneticPr fontId="1"/>
  </si>
  <si>
    <t>１・２歳</t>
    <rPh sb="3" eb="4">
      <t>サイ</t>
    </rPh>
    <phoneticPr fontId="1"/>
  </si>
  <si>
    <t>事務</t>
    <rPh sb="0" eb="2">
      <t>ジム</t>
    </rPh>
    <phoneticPr fontId="1"/>
  </si>
  <si>
    <t>通訳</t>
    <rPh sb="0" eb="2">
      <t>ツウヤク</t>
    </rPh>
    <phoneticPr fontId="1"/>
  </si>
  <si>
    <t>(2)　月別配置内訳書　（C)保健師・看護師・助産師</t>
    <rPh sb="4" eb="6">
      <t>ツキベツ</t>
    </rPh>
    <rPh sb="6" eb="8">
      <t>ハイチ</t>
    </rPh>
    <rPh sb="8" eb="11">
      <t>ウチワケショ</t>
    </rPh>
    <rPh sb="15" eb="18">
      <t>ホケンシ</t>
    </rPh>
    <rPh sb="19" eb="22">
      <t>カンゴシ</t>
    </rPh>
    <rPh sb="23" eb="26">
      <t>ジョサンシ</t>
    </rPh>
    <phoneticPr fontId="15"/>
  </si>
  <si>
    <t>（Ｄ)栄養士・調理師・調理員</t>
    <rPh sb="3" eb="6">
      <t>エイヨウシ</t>
    </rPh>
    <rPh sb="7" eb="10">
      <t>チョウリシ</t>
    </rPh>
    <rPh sb="11" eb="14">
      <t>チョウリイン</t>
    </rPh>
    <phoneticPr fontId="15"/>
  </si>
  <si>
    <t>事務の確保数</t>
    <rPh sb="0" eb="2">
      <t>ジム</t>
    </rPh>
    <rPh sb="3" eb="5">
      <t>カクホ</t>
    </rPh>
    <rPh sb="5" eb="6">
      <t>スウ</t>
    </rPh>
    <phoneticPr fontId="1"/>
  </si>
  <si>
    <t>(2)-(2)-(E)から</t>
    <phoneticPr fontId="1"/>
  </si>
  <si>
    <t>通訳の確保数</t>
    <rPh sb="0" eb="2">
      <t>ツウヤク</t>
    </rPh>
    <phoneticPr fontId="1"/>
  </si>
  <si>
    <t>基本加算２</t>
    <rPh sb="0" eb="2">
      <t>キホン</t>
    </rPh>
    <rPh sb="2" eb="4">
      <t>カサン</t>
    </rPh>
    <phoneticPr fontId="1"/>
  </si>
  <si>
    <t>基本加算３</t>
    <rPh sb="0" eb="2">
      <t>キホン</t>
    </rPh>
    <rPh sb="2" eb="4">
      <t>カサン</t>
    </rPh>
    <phoneticPr fontId="1"/>
  </si>
  <si>
    <t>基本加算１</t>
    <rPh sb="0" eb="2">
      <t>キホン</t>
    </rPh>
    <rPh sb="2" eb="4">
      <t>カサン</t>
    </rPh>
    <phoneticPr fontId="1"/>
  </si>
  <si>
    <t>栄養士</t>
    <rPh sb="0" eb="3">
      <t>エイヨウシ</t>
    </rPh>
    <phoneticPr fontId="1"/>
  </si>
  <si>
    <t>A</t>
    <phoneticPr fontId="1"/>
  </si>
  <si>
    <t>B</t>
    <phoneticPr fontId="1"/>
  </si>
  <si>
    <t>C</t>
    <phoneticPr fontId="1"/>
  </si>
  <si>
    <t>D</t>
    <phoneticPr fontId="1"/>
  </si>
  <si>
    <t>職種</t>
    <rPh sb="0" eb="2">
      <t>ショクシュ</t>
    </rPh>
    <phoneticPr fontId="1"/>
  </si>
  <si>
    <t>確保数</t>
    <rPh sb="0" eb="2">
      <t>カクホ</t>
    </rPh>
    <rPh sb="2" eb="3">
      <t>スウ</t>
    </rPh>
    <phoneticPr fontId="1"/>
  </si>
  <si>
    <t>加配数</t>
    <rPh sb="0" eb="2">
      <t>カハイ</t>
    </rPh>
    <rPh sb="2" eb="3">
      <t>スウ</t>
    </rPh>
    <phoneticPr fontId="1"/>
  </si>
  <si>
    <t>E</t>
    <phoneticPr fontId="1"/>
  </si>
  <si>
    <t>F</t>
    <phoneticPr fontId="1"/>
  </si>
  <si>
    <t>栄養士</t>
    <rPh sb="0" eb="3">
      <t>エイヨウシ</t>
    </rPh>
    <phoneticPr fontId="1"/>
  </si>
  <si>
    <t>栄養士以外</t>
    <rPh sb="0" eb="3">
      <t>エイヨウシ</t>
    </rPh>
    <rPh sb="3" eb="5">
      <t>イガイ</t>
    </rPh>
    <phoneticPr fontId="1"/>
  </si>
  <si>
    <t>補助
人工</t>
    <rPh sb="0" eb="2">
      <t>ホジョ</t>
    </rPh>
    <rPh sb="3" eb="5">
      <t>ニンク</t>
    </rPh>
    <phoneticPr fontId="1"/>
  </si>
  <si>
    <t>（管理）栄養士</t>
    <rPh sb="1" eb="3">
      <t>カンリ</t>
    </rPh>
    <rPh sb="4" eb="7">
      <t>エイヨウシ</t>
    </rPh>
    <phoneticPr fontId="1"/>
  </si>
  <si>
    <t>調理師</t>
    <rPh sb="0" eb="3">
      <t>チョウリシ</t>
    </rPh>
    <phoneticPr fontId="1"/>
  </si>
  <si>
    <t>園長の資格別人数</t>
    <rPh sb="0" eb="2">
      <t>エンチョウ</t>
    </rPh>
    <rPh sb="3" eb="5">
      <t>シカク</t>
    </rPh>
    <rPh sb="5" eb="6">
      <t>ベツ</t>
    </rPh>
    <rPh sb="6" eb="8">
      <t>ニンズウ</t>
    </rPh>
    <phoneticPr fontId="1"/>
  </si>
  <si>
    <t>配置職員数（園長を除く）</t>
    <rPh sb="0" eb="2">
      <t>ハイチ</t>
    </rPh>
    <rPh sb="2" eb="4">
      <t>ショクイン</t>
    </rPh>
    <rPh sb="4" eb="5">
      <t>スウ</t>
    </rPh>
    <rPh sb="6" eb="8">
      <t>エンチョウ</t>
    </rPh>
    <rPh sb="9" eb="10">
      <t>ノゾ</t>
    </rPh>
    <phoneticPr fontId="1"/>
  </si>
  <si>
    <t>加配職員数</t>
    <rPh sb="0" eb="2">
      <t>カハイ</t>
    </rPh>
    <rPh sb="2" eb="4">
      <t>ショクイン</t>
    </rPh>
    <rPh sb="4" eb="5">
      <t>スウ</t>
    </rPh>
    <phoneticPr fontId="1"/>
  </si>
  <si>
    <t>正</t>
    <rPh sb="0" eb="1">
      <t>セイ</t>
    </rPh>
    <phoneticPr fontId="1"/>
  </si>
  <si>
    <t>常</t>
    <rPh sb="0" eb="1">
      <t>ツネ</t>
    </rPh>
    <phoneticPr fontId="1"/>
  </si>
  <si>
    <t>男</t>
    <rPh sb="0" eb="1">
      <t>オトコ</t>
    </rPh>
    <phoneticPr fontId="1"/>
  </si>
  <si>
    <t>有</t>
    <rPh sb="0" eb="1">
      <t>ア</t>
    </rPh>
    <phoneticPr fontId="1"/>
  </si>
  <si>
    <t>パート</t>
    <phoneticPr fontId="1"/>
  </si>
  <si>
    <t>非</t>
    <rPh sb="0" eb="1">
      <t>ヒ</t>
    </rPh>
    <phoneticPr fontId="1"/>
  </si>
  <si>
    <t>女</t>
    <rPh sb="0" eb="1">
      <t>オンナ</t>
    </rPh>
    <phoneticPr fontId="1"/>
  </si>
  <si>
    <t>無</t>
    <rPh sb="0" eb="1">
      <t>ナ</t>
    </rPh>
    <phoneticPr fontId="1"/>
  </si>
  <si>
    <t>嘱託等</t>
    <rPh sb="0" eb="2">
      <t>ショクタク</t>
    </rPh>
    <rPh sb="2" eb="3">
      <t>トウ</t>
    </rPh>
    <phoneticPr fontId="1"/>
  </si>
  <si>
    <t>一時預かり</t>
    <phoneticPr fontId="1"/>
  </si>
  <si>
    <t>チーム保育推進加算</t>
    <phoneticPr fontId="1"/>
  </si>
  <si>
    <t>支援センター</t>
    <phoneticPr fontId="1"/>
  </si>
  <si>
    <t>準保育士</t>
    <rPh sb="0" eb="1">
      <t>ジュン</t>
    </rPh>
    <rPh sb="1" eb="4">
      <t>ホイクシ</t>
    </rPh>
    <phoneticPr fontId="1"/>
  </si>
  <si>
    <t>短時間保育士</t>
    <rPh sb="0" eb="3">
      <t>タンジカン</t>
    </rPh>
    <rPh sb="3" eb="5">
      <t>ホイク</t>
    </rPh>
    <rPh sb="5" eb="6">
      <t>シ</t>
    </rPh>
    <phoneticPr fontId="1"/>
  </si>
  <si>
    <t>その他</t>
    <phoneticPr fontId="1"/>
  </si>
  <si>
    <t>その他休暇復帰</t>
    <rPh sb="2" eb="3">
      <t>タ</t>
    </rPh>
    <rPh sb="3" eb="5">
      <t>キュウカ</t>
    </rPh>
    <rPh sb="5" eb="7">
      <t>フッキ</t>
    </rPh>
    <phoneticPr fontId="1"/>
  </si>
  <si>
    <t>その他休暇取得</t>
    <rPh sb="2" eb="3">
      <t>タ</t>
    </rPh>
    <rPh sb="3" eb="5">
      <t>キュウカ</t>
    </rPh>
    <rPh sb="5" eb="7">
      <t>シュトク</t>
    </rPh>
    <phoneticPr fontId="1"/>
  </si>
  <si>
    <t>補助対象
職種</t>
    <rPh sb="0" eb="2">
      <t>ホジョ</t>
    </rPh>
    <rPh sb="2" eb="4">
      <t>タイショウ</t>
    </rPh>
    <rPh sb="5" eb="7">
      <t>ショクシュ</t>
    </rPh>
    <phoneticPr fontId="1"/>
  </si>
  <si>
    <t>B</t>
  </si>
  <si>
    <t>C</t>
  </si>
  <si>
    <t>調理師等</t>
    <rPh sb="0" eb="3">
      <t>チョウリシ</t>
    </rPh>
    <rPh sb="3" eb="4">
      <t>トウ</t>
    </rPh>
    <phoneticPr fontId="1"/>
  </si>
  <si>
    <t>A</t>
  </si>
  <si>
    <t>D</t>
  </si>
  <si>
    <t>E</t>
  </si>
  <si>
    <t>F</t>
  </si>
  <si>
    <t>（様式第１号）</t>
    <rPh sb="3" eb="4">
      <t>ダイ</t>
    </rPh>
    <phoneticPr fontId="6"/>
  </si>
  <si>
    <t>千葉市施設型給付対象施設保育士等配置基準</t>
    <rPh sb="8" eb="10">
      <t>タイショウ</t>
    </rPh>
    <rPh sb="12" eb="15">
      <t>ホイクシ</t>
    </rPh>
    <phoneticPr fontId="15"/>
  </si>
  <si>
    <t>改善事業補助金交付申請書</t>
    <rPh sb="7" eb="9">
      <t>コウフ</t>
    </rPh>
    <rPh sb="9" eb="11">
      <t>シンセイ</t>
    </rPh>
    <rPh sb="11" eb="12">
      <t>ショ</t>
    </rPh>
    <phoneticPr fontId="6"/>
  </si>
  <si>
    <t>（あて先）　千 葉 市 長</t>
    <rPh sb="3" eb="4">
      <t>サキ</t>
    </rPh>
    <rPh sb="6" eb="7">
      <t>セン</t>
    </rPh>
    <rPh sb="8" eb="9">
      <t>ハ</t>
    </rPh>
    <rPh sb="10" eb="11">
      <t>シ</t>
    </rPh>
    <rPh sb="12" eb="13">
      <t>チョウ</t>
    </rPh>
    <phoneticPr fontId="6"/>
  </si>
  <si>
    <t>住所</t>
    <rPh sb="0" eb="2">
      <t>ジュウショ</t>
    </rPh>
    <phoneticPr fontId="15"/>
  </si>
  <si>
    <t>　</t>
    <phoneticPr fontId="6"/>
  </si>
  <si>
    <t>　(施設(園)名)</t>
    <phoneticPr fontId="15"/>
  </si>
  <si>
    <t>　　１　交付申請額</t>
    <rPh sb="4" eb="6">
      <t>コウフ</t>
    </rPh>
    <rPh sb="6" eb="8">
      <t>シンセイ</t>
    </rPh>
    <rPh sb="8" eb="9">
      <t>ガク</t>
    </rPh>
    <phoneticPr fontId="6"/>
  </si>
  <si>
    <t>　保育士等の配置を改善し、保育内容の充実と職員の処遇向上を図るものとする。</t>
    <rPh sb="1" eb="5">
      <t>ホイクシトウ</t>
    </rPh>
    <rPh sb="6" eb="8">
      <t>ハイチ</t>
    </rPh>
    <rPh sb="9" eb="11">
      <t>カイゼン</t>
    </rPh>
    <rPh sb="13" eb="15">
      <t>ホイク</t>
    </rPh>
    <rPh sb="15" eb="17">
      <t>ナイヨウ</t>
    </rPh>
    <rPh sb="18" eb="20">
      <t>ジュウジツ</t>
    </rPh>
    <rPh sb="21" eb="23">
      <t>ショクイン</t>
    </rPh>
    <rPh sb="24" eb="26">
      <t>ショグウ</t>
    </rPh>
    <rPh sb="26" eb="28">
      <t>コウジョウ</t>
    </rPh>
    <rPh sb="29" eb="30">
      <t>ハカ</t>
    </rPh>
    <phoneticPr fontId="15"/>
  </si>
  <si>
    <t>円</t>
  </si>
  <si>
    <t xml:space="preserve"> 合        計</t>
  </si>
  <si>
    <t>　別　紙</t>
    <rPh sb="1" eb="2">
      <t>ベツ</t>
    </rPh>
    <rPh sb="3" eb="4">
      <t>カミ</t>
    </rPh>
    <phoneticPr fontId="6"/>
  </si>
  <si>
    <t>算出基礎</t>
    <rPh sb="0" eb="2">
      <t>サンシュツ</t>
    </rPh>
    <rPh sb="2" eb="4">
      <t>キソ</t>
    </rPh>
    <phoneticPr fontId="6"/>
  </si>
  <si>
    <t>　千葉市施設型給付対象施設保育士等配置基準改善費算出内訳表（１）</t>
    <rPh sb="9" eb="11">
      <t>タイショウ</t>
    </rPh>
    <rPh sb="21" eb="23">
      <t>カイゼン</t>
    </rPh>
    <rPh sb="23" eb="24">
      <t>ヒ</t>
    </rPh>
    <rPh sb="24" eb="26">
      <t>サンシュツ</t>
    </rPh>
    <rPh sb="26" eb="28">
      <t>ウチワケ</t>
    </rPh>
    <rPh sb="28" eb="29">
      <t>ヒョウ</t>
    </rPh>
    <phoneticPr fontId="6"/>
  </si>
  <si>
    <t>添付書類</t>
    <rPh sb="0" eb="2">
      <t>テンプ</t>
    </rPh>
    <rPh sb="2" eb="4">
      <t>ショルイ</t>
    </rPh>
    <phoneticPr fontId="6"/>
  </si>
  <si>
    <t>１　別表　　民間保育施設職員定数及び職員現況調書</t>
    <rPh sb="2" eb="4">
      <t>ベッピョウ</t>
    </rPh>
    <rPh sb="6" eb="8">
      <t>ミンカン</t>
    </rPh>
    <rPh sb="8" eb="10">
      <t>ホイク</t>
    </rPh>
    <rPh sb="12" eb="14">
      <t>ショクイン</t>
    </rPh>
    <rPh sb="14" eb="16">
      <t>テイスウ</t>
    </rPh>
    <rPh sb="16" eb="17">
      <t>オヨ</t>
    </rPh>
    <rPh sb="18" eb="20">
      <t>ショクイン</t>
    </rPh>
    <rPh sb="20" eb="22">
      <t>ゲンキョウ</t>
    </rPh>
    <rPh sb="22" eb="24">
      <t>チョウショ</t>
    </rPh>
    <phoneticPr fontId="6"/>
  </si>
  <si>
    <t>２　雇用契約内容証明書</t>
    <rPh sb="2" eb="4">
      <t>コヨウ</t>
    </rPh>
    <rPh sb="4" eb="6">
      <t>ケイヤク</t>
    </rPh>
    <rPh sb="6" eb="8">
      <t>ナイヨウ</t>
    </rPh>
    <rPh sb="8" eb="11">
      <t>ショウメイショ</t>
    </rPh>
    <phoneticPr fontId="6"/>
  </si>
  <si>
    <t>３　要配慮保育職員配置決定通知書の写し</t>
    <rPh sb="2" eb="3">
      <t>ヨウ</t>
    </rPh>
    <rPh sb="3" eb="5">
      <t>ハイリョ</t>
    </rPh>
    <rPh sb="5" eb="7">
      <t>ホイク</t>
    </rPh>
    <rPh sb="7" eb="9">
      <t>ショクイン</t>
    </rPh>
    <rPh sb="9" eb="11">
      <t>ハイチ</t>
    </rPh>
    <rPh sb="11" eb="13">
      <t>ケッテイ</t>
    </rPh>
    <rPh sb="13" eb="16">
      <t>ツウチショ</t>
    </rPh>
    <rPh sb="17" eb="18">
      <t>ウツ</t>
    </rPh>
    <phoneticPr fontId="6"/>
  </si>
  <si>
    <t>ただし、２、３については該当する園のみ添付のこと。</t>
    <rPh sb="12" eb="14">
      <t>ガイトウ</t>
    </rPh>
    <rPh sb="16" eb="17">
      <t>エン</t>
    </rPh>
    <rPh sb="19" eb="21">
      <t>テンプ</t>
    </rPh>
    <phoneticPr fontId="6"/>
  </si>
  <si>
    <t xml:space="preserve">  千葉市施設型給付対象施設保育士等配置基準改善事業</t>
    <rPh sb="5" eb="8">
      <t>シセツガタ</t>
    </rPh>
    <rPh sb="8" eb="10">
      <t>キュウフ</t>
    </rPh>
    <rPh sb="10" eb="12">
      <t>タイショウ</t>
    </rPh>
    <rPh sb="12" eb="14">
      <t>シセツ</t>
    </rPh>
    <rPh sb="21" eb="22">
      <t>ジュン</t>
    </rPh>
    <rPh sb="22" eb="24">
      <t>カイゼン</t>
    </rPh>
    <rPh sb="24" eb="26">
      <t>ジギョウ</t>
    </rPh>
    <phoneticPr fontId="28"/>
  </si>
  <si>
    <t xml:space="preserve">  補助金分割払い請求書（第１期分）</t>
    <rPh sb="2" eb="5">
      <t>ホジョキン</t>
    </rPh>
    <rPh sb="5" eb="7">
      <t>ブンカツ</t>
    </rPh>
    <rPh sb="7" eb="8">
      <t>ハラ</t>
    </rPh>
    <rPh sb="9" eb="12">
      <t>セイキュウショ</t>
    </rPh>
    <rPh sb="13" eb="14">
      <t>ダイ</t>
    </rPh>
    <rPh sb="15" eb="16">
      <t>キ</t>
    </rPh>
    <rPh sb="16" eb="17">
      <t>ブン</t>
    </rPh>
    <phoneticPr fontId="28"/>
  </si>
  <si>
    <t>　住　　　　　  所</t>
    <rPh sb="1" eb="2">
      <t>ジュウ</t>
    </rPh>
    <rPh sb="9" eb="10">
      <t>ショ</t>
    </rPh>
    <phoneticPr fontId="28"/>
  </si>
  <si>
    <t>　法　　 人   　名</t>
    <rPh sb="1" eb="2">
      <t>ホウ</t>
    </rPh>
    <rPh sb="5" eb="6">
      <t>ヒト</t>
    </rPh>
    <rPh sb="10" eb="11">
      <t>ナ</t>
    </rPh>
    <phoneticPr fontId="15"/>
  </si>
  <si>
    <t>　代 表 者 職 氏 名</t>
    <rPh sb="1" eb="2">
      <t>ダイ</t>
    </rPh>
    <rPh sb="3" eb="4">
      <t>ヒョウ</t>
    </rPh>
    <rPh sb="5" eb="6">
      <t>モノ</t>
    </rPh>
    <rPh sb="7" eb="8">
      <t>ショク</t>
    </rPh>
    <rPh sb="9" eb="10">
      <t>シ</t>
    </rPh>
    <rPh sb="11" eb="12">
      <t>メイ</t>
    </rPh>
    <phoneticPr fontId="15"/>
  </si>
  <si>
    <t>　</t>
  </si>
  <si>
    <t>　（施設（園）名）</t>
    <rPh sb="2" eb="3">
      <t>シ</t>
    </rPh>
    <rPh sb="3" eb="4">
      <t>セツ</t>
    </rPh>
    <rPh sb="5" eb="6">
      <t>エン</t>
    </rPh>
    <rPh sb="7" eb="8">
      <t>ナ</t>
    </rPh>
    <phoneticPr fontId="15"/>
  </si>
  <si>
    <t>　　　１　請 求 金 額</t>
    <rPh sb="5" eb="6">
      <t>ショウ</t>
    </rPh>
    <rPh sb="7" eb="8">
      <t>モトム</t>
    </rPh>
    <rPh sb="9" eb="10">
      <t>キン</t>
    </rPh>
    <rPh sb="11" eb="12">
      <t>ガク</t>
    </rPh>
    <phoneticPr fontId="6"/>
  </si>
  <si>
    <t>　 年　 月　 日交付</t>
    <rPh sb="2" eb="3">
      <t>ネン</t>
    </rPh>
    <rPh sb="5" eb="6">
      <t>ガツ</t>
    </rPh>
    <rPh sb="8" eb="9">
      <t>ニチ</t>
    </rPh>
    <rPh sb="9" eb="11">
      <t>コウフ</t>
    </rPh>
    <phoneticPr fontId="28"/>
  </si>
  <si>
    <t>補助事業の
目的及び内容</t>
    <rPh sb="0" eb="2">
      <t>ホジョ</t>
    </rPh>
    <rPh sb="2" eb="4">
      <t>ジギョウ</t>
    </rPh>
    <rPh sb="6" eb="8">
      <t>モクテキ</t>
    </rPh>
    <phoneticPr fontId="6"/>
  </si>
  <si>
    <t>・概算払いは、補助金返還が生じるおそれがある場合には請求しない扱いにすることもできます。</t>
    <phoneticPr fontId="1"/>
  </si>
  <si>
    <t>【概算払いについて（注意事項）】</t>
    <rPh sb="1" eb="3">
      <t>ガイサン</t>
    </rPh>
    <rPh sb="3" eb="4">
      <t>バラ</t>
    </rPh>
    <rPh sb="10" eb="12">
      <t>チュウイ</t>
    </rPh>
    <rPh sb="12" eb="14">
      <t>ジコウ</t>
    </rPh>
    <phoneticPr fontId="1"/>
  </si>
  <si>
    <t>概算払い（１回目）は請求しない</t>
  </si>
  <si>
    <t>概算払いは請求しないことが選択されています。</t>
    <phoneticPr fontId="1"/>
  </si>
  <si>
    <t>・１回目の概算払いをしない場合でも、２回目の概算払い（１０月末支払い予定）を受けることができます。</t>
    <rPh sb="29" eb="30">
      <t>ガツ</t>
    </rPh>
    <rPh sb="30" eb="31">
      <t>マツ</t>
    </rPh>
    <rPh sb="31" eb="33">
      <t>シハラ</t>
    </rPh>
    <rPh sb="34" eb="36">
      <t>ヨテイ</t>
    </rPh>
    <phoneticPr fontId="1"/>
  </si>
  <si>
    <t>Ｄ列</t>
    <rPh sb="1" eb="2">
      <t>レツ</t>
    </rPh>
    <phoneticPr fontId="1"/>
  </si>
  <si>
    <t>補助人工</t>
    <rPh sb="0" eb="2">
      <t>ホジョ</t>
    </rPh>
    <rPh sb="2" eb="4">
      <t>ニンク</t>
    </rPh>
    <phoneticPr fontId="1"/>
  </si>
  <si>
    <t>基本加算１</t>
    <rPh sb="0" eb="2">
      <t>キホン</t>
    </rPh>
    <rPh sb="2" eb="4">
      <t>カサン</t>
    </rPh>
    <phoneticPr fontId="28"/>
  </si>
  <si>
    <t>基本加算２</t>
    <rPh sb="0" eb="2">
      <t>キホン</t>
    </rPh>
    <rPh sb="2" eb="4">
      <t>カサン</t>
    </rPh>
    <phoneticPr fontId="28"/>
  </si>
  <si>
    <t>基本加算３</t>
    <rPh sb="0" eb="2">
      <t>キホン</t>
    </rPh>
    <rPh sb="2" eb="4">
      <t>カサン</t>
    </rPh>
    <phoneticPr fontId="28"/>
  </si>
  <si>
    <t>一般加算１</t>
    <rPh sb="0" eb="2">
      <t>イッパン</t>
    </rPh>
    <rPh sb="2" eb="4">
      <t>カサン</t>
    </rPh>
    <phoneticPr fontId="28"/>
  </si>
  <si>
    <t>-</t>
  </si>
  <si>
    <t>選択肢　→→→→→→→</t>
    <rPh sb="0" eb="3">
      <t>センタクシ</t>
    </rPh>
    <phoneticPr fontId="1"/>
  </si>
  <si>
    <t>文字列</t>
    <rPh sb="0" eb="3">
      <t>モジレツ</t>
    </rPh>
    <phoneticPr fontId="1"/>
  </si>
  <si>
    <t>基本加算補助可能数内訳</t>
    <rPh sb="0" eb="2">
      <t>キホン</t>
    </rPh>
    <rPh sb="2" eb="4">
      <t>カサン</t>
    </rPh>
    <rPh sb="4" eb="6">
      <t>ホジョ</t>
    </rPh>
    <rPh sb="6" eb="8">
      <t>カノウ</t>
    </rPh>
    <rPh sb="8" eb="9">
      <t>スウ</t>
    </rPh>
    <rPh sb="9" eb="11">
      <t>ウチワケ</t>
    </rPh>
    <phoneticPr fontId="1"/>
  </si>
  <si>
    <t>基本加算での補助不可数</t>
    <rPh sb="0" eb="2">
      <t>キホン</t>
    </rPh>
    <rPh sb="2" eb="4">
      <t>カサン</t>
    </rPh>
    <rPh sb="6" eb="8">
      <t>ホジョ</t>
    </rPh>
    <rPh sb="8" eb="10">
      <t>フカ</t>
    </rPh>
    <rPh sb="10" eb="11">
      <t>イリスウ</t>
    </rPh>
    <phoneticPr fontId="1"/>
  </si>
  <si>
    <t>保育支援者</t>
    <rPh sb="0" eb="2">
      <t>ホイク</t>
    </rPh>
    <rPh sb="2" eb="5">
      <t>シエンシャ</t>
    </rPh>
    <phoneticPr fontId="1"/>
  </si>
  <si>
    <t>保育支援者</t>
    <phoneticPr fontId="1"/>
  </si>
  <si>
    <t>(2)　月別配置内訳書　（E)保育支援者</t>
    <rPh sb="4" eb="6">
      <t>ツキベツ</t>
    </rPh>
    <rPh sb="6" eb="8">
      <t>ハイチ</t>
    </rPh>
    <rPh sb="8" eb="11">
      <t>ウチワケショ</t>
    </rPh>
    <rPh sb="15" eb="17">
      <t>ホイク</t>
    </rPh>
    <rPh sb="17" eb="20">
      <t>シエンシャ</t>
    </rPh>
    <phoneticPr fontId="15"/>
  </si>
  <si>
    <t>医ケア有のとき、Ｒ列数まで対象</t>
    <rPh sb="0" eb="1">
      <t>イ</t>
    </rPh>
    <rPh sb="3" eb="4">
      <t>アリ</t>
    </rPh>
    <rPh sb="9" eb="10">
      <t>レツ</t>
    </rPh>
    <rPh sb="13" eb="15">
      <t>タイショウ</t>
    </rPh>
    <phoneticPr fontId="1"/>
  </si>
  <si>
    <t>千葉市施設型給付対象施設保育士等配置基準改善費算出内訳書（８）</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</si>
  <si>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７．</t>
    <phoneticPr fontId="1"/>
  </si>
  <si>
    <t>千葉市施設型給付対象施設保育士等配置基準改善費算出内訳書（９）</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</si>
  <si>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（本園）</t>
    <rPh sb="1" eb="2">
      <t>ホン</t>
    </rPh>
    <rPh sb="2" eb="3">
      <t>エン</t>
    </rPh>
    <phoneticPr fontId="1"/>
  </si>
  <si>
    <t>（分園）</t>
    <rPh sb="1" eb="3">
      <t>ブンエン</t>
    </rPh>
    <phoneticPr fontId="1"/>
  </si>
  <si>
    <t>児童定員
（本園）</t>
    <rPh sb="0" eb="2">
      <t>ジドウ</t>
    </rPh>
    <rPh sb="2" eb="4">
      <t>テイイン</t>
    </rPh>
    <rPh sb="6" eb="7">
      <t>ホン</t>
    </rPh>
    <rPh sb="7" eb="8">
      <t>エン</t>
    </rPh>
    <phoneticPr fontId="1"/>
  </si>
  <si>
    <t>児童定員
（分園）</t>
    <rPh sb="0" eb="2">
      <t>ジドウ</t>
    </rPh>
    <rPh sb="2" eb="4">
      <t>テイイン</t>
    </rPh>
    <rPh sb="6" eb="8">
      <t>ブンエン</t>
    </rPh>
    <phoneticPr fontId="1"/>
  </si>
  <si>
    <t>分園の有無
（経過措置）</t>
    <rPh sb="0" eb="2">
      <t>ブンエン</t>
    </rPh>
    <rPh sb="3" eb="5">
      <t>ウム</t>
    </rPh>
    <rPh sb="7" eb="9">
      <t>ケイカ</t>
    </rPh>
    <rPh sb="9" eb="11">
      <t>ソチ</t>
    </rPh>
    <phoneticPr fontId="1"/>
  </si>
  <si>
    <t>有・無・有（経過措置）</t>
    <rPh sb="0" eb="1">
      <t>アリ</t>
    </rPh>
    <rPh sb="2" eb="3">
      <t>ナシ</t>
    </rPh>
    <rPh sb="4" eb="5">
      <t>アリ</t>
    </rPh>
    <rPh sb="6" eb="8">
      <t>ケイカ</t>
    </rPh>
    <rPh sb="8" eb="10">
      <t>ソチ</t>
    </rPh>
    <phoneticPr fontId="1"/>
  </si>
  <si>
    <t>有（経過措置）</t>
  </si>
  <si>
    <t>園長</t>
    <rPh sb="0" eb="2">
      <t>エンチョウ</t>
    </rPh>
    <phoneticPr fontId="11"/>
  </si>
  <si>
    <t>副園長</t>
    <rPh sb="0" eb="3">
      <t>フクエンチョウ</t>
    </rPh>
    <phoneticPr fontId="19"/>
  </si>
  <si>
    <t>教頭</t>
    <rPh sb="0" eb="2">
      <t>キョウトウ</t>
    </rPh>
    <phoneticPr fontId="19"/>
  </si>
  <si>
    <t>講師</t>
    <rPh sb="0" eb="2">
      <t>コウシ</t>
    </rPh>
    <phoneticPr fontId="6"/>
  </si>
  <si>
    <t>要件緩和対象</t>
    <rPh sb="0" eb="2">
      <t>ヨウケン</t>
    </rPh>
    <rPh sb="2" eb="4">
      <t>カンワ</t>
    </rPh>
    <rPh sb="4" eb="6">
      <t>タイショウ</t>
    </rPh>
    <phoneticPr fontId="6"/>
  </si>
  <si>
    <t>教育・保育補助者</t>
    <rPh sb="0" eb="2">
      <t>キョウイク</t>
    </rPh>
    <rPh sb="3" eb="5">
      <t>ホイク</t>
    </rPh>
    <rPh sb="5" eb="7">
      <t>ホジョ</t>
    </rPh>
    <rPh sb="7" eb="8">
      <t>シャ</t>
    </rPh>
    <phoneticPr fontId="6"/>
  </si>
  <si>
    <t>保健師</t>
    <rPh sb="0" eb="3">
      <t>ホケンシ</t>
    </rPh>
    <phoneticPr fontId="11"/>
  </si>
  <si>
    <t>看護師</t>
    <rPh sb="0" eb="3">
      <t>カンゴシ</t>
    </rPh>
    <phoneticPr fontId="11"/>
  </si>
  <si>
    <t>准看護師</t>
    <rPh sb="0" eb="4">
      <t>ジュンカンゴシ</t>
    </rPh>
    <phoneticPr fontId="6"/>
  </si>
  <si>
    <t>栄養士</t>
    <rPh sb="0" eb="3">
      <t>エイヨウシ</t>
    </rPh>
    <phoneticPr fontId="6"/>
  </si>
  <si>
    <t>調理員</t>
    <rPh sb="0" eb="3">
      <t>チョウリイン</t>
    </rPh>
    <phoneticPr fontId="6"/>
  </si>
  <si>
    <t>用務員</t>
    <rPh sb="0" eb="3">
      <t>ヨウムイン</t>
    </rPh>
    <phoneticPr fontId="11"/>
  </si>
  <si>
    <t>事務職員</t>
    <rPh sb="0" eb="2">
      <t>ジム</t>
    </rPh>
    <rPh sb="2" eb="4">
      <t>ショクイン</t>
    </rPh>
    <phoneticPr fontId="11"/>
  </si>
  <si>
    <t>その他</t>
    <rPh sb="2" eb="3">
      <t>タ</t>
    </rPh>
    <phoneticPr fontId="11"/>
  </si>
  <si>
    <t>教頭</t>
    <rPh sb="0" eb="2">
      <t>キョウトウ</t>
    </rPh>
    <phoneticPr fontId="1"/>
  </si>
  <si>
    <t>主幹・指導教諭</t>
    <rPh sb="0" eb="2">
      <t>シュカン</t>
    </rPh>
    <rPh sb="3" eb="5">
      <t>シドウ</t>
    </rPh>
    <rPh sb="5" eb="7">
      <t>キョウユ</t>
    </rPh>
    <phoneticPr fontId="1"/>
  </si>
  <si>
    <t>通常教育・保育</t>
    <rPh sb="0" eb="2">
      <t>ツウジョウ</t>
    </rPh>
    <rPh sb="2" eb="4">
      <t>キョウイク</t>
    </rPh>
    <rPh sb="5" eb="7">
      <t>ホイク</t>
    </rPh>
    <phoneticPr fontId="1"/>
  </si>
  <si>
    <t>教育・保育補助</t>
    <rPh sb="0" eb="2">
      <t>キョウイク</t>
    </rPh>
    <rPh sb="3" eb="5">
      <t>ホイク</t>
    </rPh>
    <rPh sb="5" eb="7">
      <t>ホジョ</t>
    </rPh>
    <phoneticPr fontId="1"/>
  </si>
  <si>
    <t>教育・保育支援者</t>
    <rPh sb="0" eb="2">
      <t>キョウイク</t>
    </rPh>
    <rPh sb="3" eb="5">
      <t>ホイク</t>
    </rPh>
    <rPh sb="5" eb="8">
      <t>シエンシャ</t>
    </rPh>
    <phoneticPr fontId="1"/>
  </si>
  <si>
    <t>保育教諭</t>
    <phoneticPr fontId="1"/>
  </si>
  <si>
    <t>児童定員
本園
１号</t>
    <rPh sb="0" eb="2">
      <t>ジドウ</t>
    </rPh>
    <rPh sb="2" eb="4">
      <t>テイイン</t>
    </rPh>
    <rPh sb="5" eb="6">
      <t>ホン</t>
    </rPh>
    <rPh sb="6" eb="7">
      <t>エン</t>
    </rPh>
    <rPh sb="9" eb="10">
      <t>ゴウ</t>
    </rPh>
    <phoneticPr fontId="1"/>
  </si>
  <si>
    <t>児童定員
本園
２号</t>
    <rPh sb="0" eb="2">
      <t>ジドウ</t>
    </rPh>
    <rPh sb="2" eb="4">
      <t>テイイン</t>
    </rPh>
    <rPh sb="5" eb="6">
      <t>ホン</t>
    </rPh>
    <rPh sb="6" eb="7">
      <t>エン</t>
    </rPh>
    <rPh sb="9" eb="10">
      <t>ゴウ</t>
    </rPh>
    <phoneticPr fontId="1"/>
  </si>
  <si>
    <t>児童定員
本園
３号</t>
    <rPh sb="0" eb="2">
      <t>ジドウ</t>
    </rPh>
    <rPh sb="2" eb="4">
      <t>テイイン</t>
    </rPh>
    <rPh sb="5" eb="6">
      <t>ホン</t>
    </rPh>
    <rPh sb="6" eb="7">
      <t>エン</t>
    </rPh>
    <rPh sb="9" eb="10">
      <t>ゴウ</t>
    </rPh>
    <phoneticPr fontId="1"/>
  </si>
  <si>
    <t>児童定員
分園
１号</t>
    <rPh sb="0" eb="2">
      <t>ジドウ</t>
    </rPh>
    <rPh sb="2" eb="4">
      <t>テイイン</t>
    </rPh>
    <rPh sb="9" eb="10">
      <t>ゴウ</t>
    </rPh>
    <phoneticPr fontId="1"/>
  </si>
  <si>
    <t>児童定員
分園
２号</t>
    <rPh sb="0" eb="2">
      <t>ジドウ</t>
    </rPh>
    <rPh sb="2" eb="4">
      <t>テイイン</t>
    </rPh>
    <rPh sb="9" eb="10">
      <t>ゴウ</t>
    </rPh>
    <phoneticPr fontId="1"/>
  </si>
  <si>
    <t>児童定員
分園
３号</t>
    <rPh sb="0" eb="2">
      <t>ジドウ</t>
    </rPh>
    <rPh sb="2" eb="4">
      <t>テイイン</t>
    </rPh>
    <rPh sb="9" eb="10">
      <t>ゴウ</t>
    </rPh>
    <phoneticPr fontId="1"/>
  </si>
  <si>
    <t>（本園）</t>
    <rPh sb="1" eb="2">
      <t>ホン</t>
    </rPh>
    <rPh sb="2" eb="3">
      <t>エン</t>
    </rPh>
    <phoneticPr fontId="1"/>
  </si>
  <si>
    <t>（分園）</t>
    <rPh sb="1" eb="3">
      <t>ブンエン</t>
    </rPh>
    <phoneticPr fontId="1"/>
  </si>
  <si>
    <t>1号</t>
    <rPh sb="1" eb="2">
      <t>ゴウ</t>
    </rPh>
    <phoneticPr fontId="1"/>
  </si>
  <si>
    <t>2号</t>
    <rPh sb="1" eb="2">
      <t>ゴウ</t>
    </rPh>
    <phoneticPr fontId="1"/>
  </si>
  <si>
    <t>3号</t>
    <rPh sb="1" eb="2">
      <t>ゴウ</t>
    </rPh>
    <phoneticPr fontId="1"/>
  </si>
  <si>
    <t>合計</t>
    <rPh sb="0" eb="2">
      <t>ゴウケイ</t>
    </rPh>
    <phoneticPr fontId="1"/>
  </si>
  <si>
    <t>1号</t>
    <rPh sb="1" eb="2">
      <t>ゴウ</t>
    </rPh>
    <phoneticPr fontId="1"/>
  </si>
  <si>
    <t>2号</t>
    <rPh sb="1" eb="2">
      <t>ゴウ</t>
    </rPh>
    <phoneticPr fontId="1"/>
  </si>
  <si>
    <t>3号</t>
    <rPh sb="1" eb="2">
      <t>ゴウ</t>
    </rPh>
    <phoneticPr fontId="1"/>
  </si>
  <si>
    <t>分園</t>
    <rPh sb="0" eb="2">
      <t>ブンエン</t>
    </rPh>
    <phoneticPr fontId="1"/>
  </si>
  <si>
    <t>本園</t>
    <rPh sb="0" eb="1">
      <t>ホン</t>
    </rPh>
    <rPh sb="1" eb="2">
      <t>エン</t>
    </rPh>
    <phoneticPr fontId="1"/>
  </si>
  <si>
    <t>（施設名）</t>
    <rPh sb="1" eb="3">
      <t>シセツ</t>
    </rPh>
    <rPh sb="3" eb="4">
      <t>メイ</t>
    </rPh>
    <phoneticPr fontId="1"/>
  </si>
  <si>
    <t>3歳
(1.2.3号)</t>
    <rPh sb="1" eb="2">
      <t>サイ</t>
    </rPh>
    <rPh sb="9" eb="10">
      <t>ゴウ</t>
    </rPh>
    <phoneticPr fontId="15"/>
  </si>
  <si>
    <t>4歳
(1.2号)</t>
    <rPh sb="1" eb="2">
      <t>サイ</t>
    </rPh>
    <rPh sb="7" eb="8">
      <t>ゴウ</t>
    </rPh>
    <phoneticPr fontId="15"/>
  </si>
  <si>
    <t>5歳
(1.2号)</t>
    <rPh sb="1" eb="2">
      <t>サイ</t>
    </rPh>
    <phoneticPr fontId="15"/>
  </si>
  <si>
    <t>満3歳
(1号)
※1</t>
    <rPh sb="0" eb="1">
      <t>マン</t>
    </rPh>
    <rPh sb="2" eb="3">
      <t>サイ</t>
    </rPh>
    <rPh sb="6" eb="7">
      <t>ゴウ</t>
    </rPh>
    <phoneticPr fontId="15"/>
  </si>
  <si>
    <r>
      <t xml:space="preserve">職員定数（国）
</t>
    </r>
    <r>
      <rPr>
        <sz val="9"/>
        <color theme="1"/>
        <rFont val="游ゴシック"/>
        <family val="3"/>
        <charset val="128"/>
        <scheme val="minor"/>
      </rPr>
      <t>3歳児加算を付けない場合</t>
    </r>
    <rPh sb="0" eb="2">
      <t>ショクイン</t>
    </rPh>
    <rPh sb="2" eb="4">
      <t>テイスウ</t>
    </rPh>
    <rPh sb="5" eb="6">
      <t>クニ</t>
    </rPh>
    <rPh sb="9" eb="11">
      <t>サイジ</t>
    </rPh>
    <rPh sb="11" eb="13">
      <t>カサン</t>
    </rPh>
    <rPh sb="14" eb="15">
      <t>ツ</t>
    </rPh>
    <rPh sb="18" eb="20">
      <t>バアイ</t>
    </rPh>
    <phoneticPr fontId="15"/>
  </si>
  <si>
    <r>
      <t xml:space="preserve">保育士定数（国）
Ａ
</t>
    </r>
    <r>
      <rPr>
        <sz val="9"/>
        <rFont val="ＭＳ Ｐゴシック"/>
        <family val="3"/>
        <charset val="128"/>
      </rPr>
      <t>(a)～(d)の小数点以下第一位を四捨五入した数</t>
    </r>
    <rPh sb="0" eb="3">
      <t>ホイクシ</t>
    </rPh>
    <rPh sb="3" eb="5">
      <t>テイスウ</t>
    </rPh>
    <rPh sb="6" eb="7">
      <t>クニ</t>
    </rPh>
    <phoneticPr fontId="15"/>
  </si>
  <si>
    <t>１・２歳児、満３歳児</t>
    <rPh sb="3" eb="5">
      <t>サイジ</t>
    </rPh>
    <rPh sb="6" eb="7">
      <t>マン</t>
    </rPh>
    <rPh sb="8" eb="10">
      <t>サイジ</t>
    </rPh>
    <phoneticPr fontId="15"/>
  </si>
  <si>
    <t>チーム保育加配加算</t>
    <phoneticPr fontId="1"/>
  </si>
  <si>
    <t>学級編制調整加配加算</t>
    <phoneticPr fontId="1"/>
  </si>
  <si>
    <t>1.2号の定員計</t>
    <rPh sb="3" eb="4">
      <t>ゴウ</t>
    </rPh>
    <rPh sb="5" eb="7">
      <t>テイイン</t>
    </rPh>
    <rPh sb="7" eb="8">
      <t>ケイ</t>
    </rPh>
    <phoneticPr fontId="1"/>
  </si>
  <si>
    <t>主幹保育教諭等</t>
    <rPh sb="0" eb="2">
      <t>シュカン</t>
    </rPh>
    <rPh sb="2" eb="4">
      <t>ホイク</t>
    </rPh>
    <rPh sb="4" eb="6">
      <t>キョウユ</t>
    </rPh>
    <rPh sb="6" eb="7">
      <t>トウ</t>
    </rPh>
    <phoneticPr fontId="6"/>
  </si>
  <si>
    <t>指導保育教諭等</t>
    <rPh sb="0" eb="2">
      <t>シドウ</t>
    </rPh>
    <rPh sb="2" eb="4">
      <t>ホイク</t>
    </rPh>
    <rPh sb="4" eb="6">
      <t>キョウユ</t>
    </rPh>
    <phoneticPr fontId="6"/>
  </si>
  <si>
    <t>保育教諭等</t>
    <rPh sb="0" eb="2">
      <t>ホイク</t>
    </rPh>
    <rPh sb="2" eb="4">
      <t>キョウユ</t>
    </rPh>
    <phoneticPr fontId="6"/>
  </si>
  <si>
    <t>助保育教諭等</t>
    <rPh sb="0" eb="1">
      <t>ジョ</t>
    </rPh>
    <rPh sb="1" eb="3">
      <t>ホイク</t>
    </rPh>
    <rPh sb="3" eb="5">
      <t>キョウユ</t>
    </rPh>
    <phoneticPr fontId="6"/>
  </si>
  <si>
    <t>保育教諭等</t>
    <rPh sb="0" eb="2">
      <t>ホイク</t>
    </rPh>
    <rPh sb="2" eb="4">
      <t>キョウユ</t>
    </rPh>
    <rPh sb="4" eb="5">
      <t>トウ</t>
    </rPh>
    <phoneticPr fontId="1"/>
  </si>
  <si>
    <t>保育教諭等の確保数（※２）</t>
    <rPh sb="4" eb="5">
      <t>トウ</t>
    </rPh>
    <rPh sb="6" eb="8">
      <t>カクホ</t>
    </rPh>
    <rPh sb="8" eb="9">
      <t>スウ</t>
    </rPh>
    <phoneticPr fontId="1"/>
  </si>
  <si>
    <t>職員配置</t>
    <rPh sb="0" eb="2">
      <t>ショクイン</t>
    </rPh>
    <rPh sb="2" eb="4">
      <t>ハイチ</t>
    </rPh>
    <phoneticPr fontId="15"/>
  </si>
  <si>
    <t>ac</t>
    <phoneticPr fontId="1"/>
  </si>
  <si>
    <t>ad</t>
    <phoneticPr fontId="1"/>
  </si>
  <si>
    <t>教育・保育補助の確保数</t>
    <rPh sb="0" eb="2">
      <t>キョウイク</t>
    </rPh>
    <rPh sb="3" eb="5">
      <t>ホイク</t>
    </rPh>
    <rPh sb="5" eb="7">
      <t>ホジョ</t>
    </rPh>
    <phoneticPr fontId="1"/>
  </si>
  <si>
    <t>概算払い済額①</t>
    <rPh sb="0" eb="2">
      <t>ガイサン</t>
    </rPh>
    <rPh sb="2" eb="3">
      <t>バラ</t>
    </rPh>
    <rPh sb="4" eb="5">
      <t>スミ</t>
    </rPh>
    <rPh sb="5" eb="6">
      <t>ガク</t>
    </rPh>
    <phoneticPr fontId="1"/>
  </si>
  <si>
    <t>概算払い済額②</t>
    <rPh sb="0" eb="2">
      <t>ガイサン</t>
    </rPh>
    <rPh sb="2" eb="3">
      <t>バラ</t>
    </rPh>
    <rPh sb="4" eb="5">
      <t>スミ</t>
    </rPh>
    <rPh sb="5" eb="6">
      <t>ガク</t>
    </rPh>
    <phoneticPr fontId="1"/>
  </si>
  <si>
    <t>市要配慮(看護士)加配数
(4月）</t>
    <rPh sb="0" eb="1">
      <t>シ</t>
    </rPh>
    <rPh sb="1" eb="2">
      <t>ヨウ</t>
    </rPh>
    <rPh sb="2" eb="4">
      <t>ハイリョ</t>
    </rPh>
    <rPh sb="5" eb="8">
      <t>カンゴシ</t>
    </rPh>
    <rPh sb="9" eb="11">
      <t>カハイ</t>
    </rPh>
    <rPh sb="11" eb="12">
      <t>スウ</t>
    </rPh>
    <rPh sb="15" eb="16">
      <t>ガツ</t>
    </rPh>
    <phoneticPr fontId="1"/>
  </si>
  <si>
    <t>市要配慮(看護士)加配数
(5月）</t>
    <rPh sb="0" eb="1">
      <t>シ</t>
    </rPh>
    <rPh sb="1" eb="2">
      <t>ヨウ</t>
    </rPh>
    <rPh sb="2" eb="4">
      <t>ハイリョ</t>
    </rPh>
    <rPh sb="5" eb="8">
      <t>カンゴシ</t>
    </rPh>
    <rPh sb="9" eb="11">
      <t>カハイ</t>
    </rPh>
    <rPh sb="11" eb="12">
      <t>スウ</t>
    </rPh>
    <rPh sb="15" eb="16">
      <t>ガツ</t>
    </rPh>
    <phoneticPr fontId="1"/>
  </si>
  <si>
    <t>市要配慮(看護士)加配数
(6月）</t>
    <rPh sb="0" eb="1">
      <t>シ</t>
    </rPh>
    <rPh sb="1" eb="2">
      <t>ヨウ</t>
    </rPh>
    <rPh sb="2" eb="4">
      <t>ハイリョ</t>
    </rPh>
    <rPh sb="5" eb="8">
      <t>カンゴシ</t>
    </rPh>
    <rPh sb="9" eb="11">
      <t>カハイ</t>
    </rPh>
    <rPh sb="11" eb="12">
      <t>スウ</t>
    </rPh>
    <rPh sb="15" eb="16">
      <t>ガツ</t>
    </rPh>
    <phoneticPr fontId="1"/>
  </si>
  <si>
    <t>市要配慮(看護士)加配数
(7月）</t>
    <rPh sb="0" eb="1">
      <t>シ</t>
    </rPh>
    <rPh sb="1" eb="2">
      <t>ヨウ</t>
    </rPh>
    <rPh sb="2" eb="4">
      <t>ハイリョ</t>
    </rPh>
    <rPh sb="5" eb="8">
      <t>カンゴシ</t>
    </rPh>
    <rPh sb="9" eb="11">
      <t>カハイ</t>
    </rPh>
    <rPh sb="11" eb="12">
      <t>スウ</t>
    </rPh>
    <rPh sb="15" eb="16">
      <t>ガツ</t>
    </rPh>
    <phoneticPr fontId="1"/>
  </si>
  <si>
    <t>市要配慮(看護士)加配数
(8月）</t>
    <rPh sb="0" eb="1">
      <t>シ</t>
    </rPh>
    <rPh sb="1" eb="2">
      <t>ヨウ</t>
    </rPh>
    <rPh sb="2" eb="4">
      <t>ハイリョ</t>
    </rPh>
    <rPh sb="5" eb="8">
      <t>カンゴシ</t>
    </rPh>
    <rPh sb="9" eb="11">
      <t>カハイ</t>
    </rPh>
    <rPh sb="11" eb="12">
      <t>スウ</t>
    </rPh>
    <rPh sb="15" eb="16">
      <t>ガツ</t>
    </rPh>
    <phoneticPr fontId="1"/>
  </si>
  <si>
    <t>市要配慮(看護士)加配数
(9月）</t>
    <rPh sb="0" eb="1">
      <t>シ</t>
    </rPh>
    <rPh sb="1" eb="2">
      <t>ヨウ</t>
    </rPh>
    <rPh sb="2" eb="4">
      <t>ハイリョ</t>
    </rPh>
    <rPh sb="5" eb="8">
      <t>カンゴシ</t>
    </rPh>
    <rPh sb="9" eb="11">
      <t>カハイ</t>
    </rPh>
    <rPh sb="11" eb="12">
      <t>スウ</t>
    </rPh>
    <rPh sb="15" eb="16">
      <t>ガツ</t>
    </rPh>
    <phoneticPr fontId="1"/>
  </si>
  <si>
    <t>市要配慮(看護士)加配数
(10月）</t>
    <rPh sb="0" eb="1">
      <t>シ</t>
    </rPh>
    <rPh sb="1" eb="2">
      <t>ヨウ</t>
    </rPh>
    <rPh sb="2" eb="4">
      <t>ハイリョ</t>
    </rPh>
    <rPh sb="5" eb="8">
      <t>カンゴシ</t>
    </rPh>
    <rPh sb="9" eb="11">
      <t>カハイ</t>
    </rPh>
    <rPh sb="11" eb="12">
      <t>スウ</t>
    </rPh>
    <rPh sb="16" eb="17">
      <t>ガツ</t>
    </rPh>
    <phoneticPr fontId="1"/>
  </si>
  <si>
    <t>市要配慮(看護士)加配数
(11月）</t>
    <rPh sb="0" eb="1">
      <t>シ</t>
    </rPh>
    <rPh sb="1" eb="2">
      <t>ヨウ</t>
    </rPh>
    <rPh sb="2" eb="4">
      <t>ハイリョ</t>
    </rPh>
    <rPh sb="5" eb="8">
      <t>カンゴシ</t>
    </rPh>
    <rPh sb="9" eb="11">
      <t>カハイ</t>
    </rPh>
    <rPh sb="11" eb="12">
      <t>スウ</t>
    </rPh>
    <rPh sb="16" eb="17">
      <t>ガツ</t>
    </rPh>
    <phoneticPr fontId="1"/>
  </si>
  <si>
    <t>市要配慮(看護士)加配数
(12月）</t>
    <rPh sb="0" eb="1">
      <t>シ</t>
    </rPh>
    <rPh sb="1" eb="2">
      <t>ヨウ</t>
    </rPh>
    <rPh sb="2" eb="4">
      <t>ハイリョ</t>
    </rPh>
    <rPh sb="5" eb="8">
      <t>カンゴシ</t>
    </rPh>
    <rPh sb="9" eb="11">
      <t>カハイ</t>
    </rPh>
    <rPh sb="11" eb="12">
      <t>スウ</t>
    </rPh>
    <rPh sb="16" eb="17">
      <t>ガツ</t>
    </rPh>
    <phoneticPr fontId="1"/>
  </si>
  <si>
    <t>市要配慮(看護士)加配数
(1月）</t>
    <rPh sb="0" eb="1">
      <t>シ</t>
    </rPh>
    <rPh sb="1" eb="2">
      <t>ヨウ</t>
    </rPh>
    <rPh sb="2" eb="4">
      <t>ハイリョ</t>
    </rPh>
    <rPh sb="5" eb="8">
      <t>カンゴシ</t>
    </rPh>
    <rPh sb="9" eb="11">
      <t>カハイ</t>
    </rPh>
    <rPh sb="11" eb="12">
      <t>スウ</t>
    </rPh>
    <rPh sb="15" eb="16">
      <t>ガツ</t>
    </rPh>
    <phoneticPr fontId="1"/>
  </si>
  <si>
    <t>市要配慮(看護士)加配数
(2月）</t>
    <rPh sb="0" eb="1">
      <t>シ</t>
    </rPh>
    <rPh sb="1" eb="2">
      <t>ヨウ</t>
    </rPh>
    <rPh sb="2" eb="4">
      <t>ハイリョ</t>
    </rPh>
    <rPh sb="5" eb="8">
      <t>カンゴシ</t>
    </rPh>
    <rPh sb="9" eb="11">
      <t>カハイ</t>
    </rPh>
    <rPh sb="11" eb="12">
      <t>スウ</t>
    </rPh>
    <rPh sb="15" eb="16">
      <t>ガツ</t>
    </rPh>
    <phoneticPr fontId="1"/>
  </si>
  <si>
    <t>市要配慮(看護士)加配数
(3月）</t>
    <rPh sb="0" eb="1">
      <t>シ</t>
    </rPh>
    <rPh sb="1" eb="2">
      <t>ヨウ</t>
    </rPh>
    <rPh sb="2" eb="4">
      <t>ハイリョ</t>
    </rPh>
    <rPh sb="5" eb="8">
      <t>カンゴシ</t>
    </rPh>
    <rPh sb="9" eb="11">
      <t>カハイ</t>
    </rPh>
    <rPh sb="11" eb="12">
      <t>スウ</t>
    </rPh>
    <rPh sb="15" eb="16">
      <t>ガツ</t>
    </rPh>
    <phoneticPr fontId="1"/>
  </si>
  <si>
    <t>1号の定員</t>
    <rPh sb="1" eb="2">
      <t>ゴウ</t>
    </rPh>
    <rPh sb="3" eb="5">
      <t>テイイン</t>
    </rPh>
    <phoneticPr fontId="1"/>
  </si>
  <si>
    <t>　　一時預かり、障害児保育、その他（支援センター、チーム保育推進加算等）に従事する保育士を含んだ人数。</t>
    <rPh sb="2" eb="4">
      <t>イチジ</t>
    </rPh>
    <rPh sb="4" eb="5">
      <t>アズ</t>
    </rPh>
    <rPh sb="8" eb="11">
      <t>ショウガイジ</t>
    </rPh>
    <rPh sb="11" eb="13">
      <t>ホイク</t>
    </rPh>
    <rPh sb="16" eb="17">
      <t>タ</t>
    </rPh>
    <rPh sb="18" eb="20">
      <t>シエン</t>
    </rPh>
    <rPh sb="28" eb="30">
      <t>ホイク</t>
    </rPh>
    <rPh sb="30" eb="32">
      <t>スイシン</t>
    </rPh>
    <rPh sb="32" eb="34">
      <t>カサン</t>
    </rPh>
    <rPh sb="34" eb="35">
      <t>トウ</t>
    </rPh>
    <rPh sb="37" eb="39">
      <t>ジュウジ</t>
    </rPh>
    <rPh sb="41" eb="44">
      <t>ホイクシ</t>
    </rPh>
    <rPh sb="45" eb="46">
      <t>フク</t>
    </rPh>
    <rPh sb="48" eb="50">
      <t>ニンズウ</t>
    </rPh>
    <phoneticPr fontId="15"/>
  </si>
  <si>
    <t>年齢別児童数（受託児童を含む）※１</t>
    <rPh sb="0" eb="2">
      <t>ネンレイ</t>
    </rPh>
    <rPh sb="2" eb="3">
      <t>ベツ</t>
    </rPh>
    <rPh sb="3" eb="5">
      <t>ジドウ</t>
    </rPh>
    <rPh sb="5" eb="6">
      <t>スウ</t>
    </rPh>
    <rPh sb="7" eb="9">
      <t>ジュタク</t>
    </rPh>
    <rPh sb="9" eb="11">
      <t>ジドウ</t>
    </rPh>
    <rPh sb="12" eb="13">
      <t>フク</t>
    </rPh>
    <phoneticPr fontId="15"/>
  </si>
  <si>
    <t>必要保育士数計算(a)　※２
(小数点以下第二位を切り捨て)</t>
    <rPh sb="0" eb="2">
      <t>ヒツヨウ</t>
    </rPh>
    <rPh sb="2" eb="5">
      <t>ホイクシ</t>
    </rPh>
    <rPh sb="5" eb="6">
      <t>スウ</t>
    </rPh>
    <rPh sb="6" eb="8">
      <t>ケイサン</t>
    </rPh>
    <phoneticPr fontId="15"/>
  </si>
  <si>
    <t>2・3号の利用定員が90人以下の場合1人加算
 (b)
※３</t>
    <rPh sb="3" eb="4">
      <t>ゴウ</t>
    </rPh>
    <rPh sb="5" eb="7">
      <t>リヨウ</t>
    </rPh>
    <rPh sb="7" eb="9">
      <t>テイイン</t>
    </rPh>
    <rPh sb="12" eb="13">
      <t>ニン</t>
    </rPh>
    <rPh sb="13" eb="15">
      <t>イカ</t>
    </rPh>
    <rPh sb="16" eb="18">
      <t>バアイ</t>
    </rPh>
    <rPh sb="18" eb="20">
      <t>ヒトリ</t>
    </rPh>
    <rPh sb="20" eb="22">
      <t>カサン</t>
    </rPh>
    <phoneticPr fontId="15"/>
  </si>
  <si>
    <t>保育標準時間認定こどもが利用する場合1人加算
　( ｃ)
※４</t>
    <rPh sb="0" eb="2">
      <t>ホイク</t>
    </rPh>
    <rPh sb="2" eb="4">
      <t>ヒョウジュン</t>
    </rPh>
    <rPh sb="4" eb="6">
      <t>ジカン</t>
    </rPh>
    <rPh sb="6" eb="8">
      <t>ニンテイ</t>
    </rPh>
    <rPh sb="12" eb="14">
      <t>リヨウ</t>
    </rPh>
    <rPh sb="16" eb="18">
      <t>バアイ</t>
    </rPh>
    <rPh sb="19" eb="20">
      <t>ニン</t>
    </rPh>
    <rPh sb="20" eb="22">
      <t>カサン</t>
    </rPh>
    <phoneticPr fontId="15"/>
  </si>
  <si>
    <t>主幹保育教諭等を専任化させるための代替保育教諭等
(d)
※５</t>
    <rPh sb="17" eb="19">
      <t>ダイタイ</t>
    </rPh>
    <rPh sb="19" eb="21">
      <t>ホイク</t>
    </rPh>
    <rPh sb="21" eb="23">
      <t>キョウユ</t>
    </rPh>
    <rPh sb="23" eb="24">
      <t>トウ</t>
    </rPh>
    <phoneticPr fontId="15"/>
  </si>
  <si>
    <t>基本加算分１</t>
    <rPh sb="0" eb="2">
      <t>キホン</t>
    </rPh>
    <phoneticPr fontId="1"/>
  </si>
  <si>
    <t>基本加算分２</t>
    <rPh sb="0" eb="2">
      <t>キホン</t>
    </rPh>
    <phoneticPr fontId="1"/>
  </si>
  <si>
    <t>基本加算分３</t>
    <rPh sb="0" eb="2">
      <t>キホン</t>
    </rPh>
    <phoneticPr fontId="1"/>
  </si>
  <si>
    <t>特定加算分２</t>
    <rPh sb="0" eb="2">
      <t>トクテイ</t>
    </rPh>
    <phoneticPr fontId="1"/>
  </si>
  <si>
    <t>特定加算分１</t>
    <rPh sb="0" eb="2">
      <t>トクテイ</t>
    </rPh>
    <phoneticPr fontId="1"/>
  </si>
  <si>
    <t>一般加算分２</t>
    <rPh sb="0" eb="2">
      <t>イッパン</t>
    </rPh>
    <phoneticPr fontId="1"/>
  </si>
  <si>
    <t>一般加算分１</t>
    <rPh sb="0" eb="2">
      <t>イッパン</t>
    </rPh>
    <phoneticPr fontId="1"/>
  </si>
  <si>
    <t>基本加算分１</t>
    <rPh sb="0" eb="2">
      <t>キホン</t>
    </rPh>
    <phoneticPr fontId="15"/>
  </si>
  <si>
    <t>基本加算分２</t>
    <rPh sb="0" eb="2">
      <t>キホン</t>
    </rPh>
    <phoneticPr fontId="15"/>
  </si>
  <si>
    <t>基本加算分３</t>
    <rPh sb="0" eb="2">
      <t>キホン</t>
    </rPh>
    <phoneticPr fontId="15"/>
  </si>
  <si>
    <t>一般加算分１</t>
    <rPh sb="0" eb="2">
      <t>イッパン</t>
    </rPh>
    <phoneticPr fontId="15"/>
  </si>
  <si>
    <t>一般加算分２</t>
    <rPh sb="0" eb="2">
      <t>イッパン</t>
    </rPh>
    <phoneticPr fontId="15"/>
  </si>
  <si>
    <t>特定加算分１</t>
    <rPh sb="0" eb="2">
      <t>トクテイ</t>
    </rPh>
    <phoneticPr fontId="15"/>
  </si>
  <si>
    <t>特定加算分２</t>
    <rPh sb="0" eb="2">
      <t>トクテイ</t>
    </rPh>
    <phoneticPr fontId="15"/>
  </si>
  <si>
    <t>№</t>
  </si>
  <si>
    <t>施    設    名</t>
  </si>
  <si>
    <t>補助金用PW</t>
    <rPh sb="0" eb="3">
      <t>ホジョキン</t>
    </rPh>
    <rPh sb="3" eb="4">
      <t>ヨウ</t>
    </rPh>
    <phoneticPr fontId="4"/>
  </si>
  <si>
    <t>２　認定こども園</t>
    <rPh sb="2" eb="8">
      <t>ニンテイ</t>
    </rPh>
    <phoneticPr fontId="5"/>
  </si>
  <si>
    <t>千葉市美浜区打瀬１－３－５</t>
  </si>
  <si>
    <t>千葉市中央区道場北１－１７－６</t>
  </si>
  <si>
    <t>千葉市稲毛区天台１－７－１７</t>
  </si>
  <si>
    <t>千葉市中央区浜野町１２５２－４</t>
  </si>
  <si>
    <t>千葉市中央区弁天２丁目８番９号</t>
  </si>
  <si>
    <t>千葉市中央区仁戸名町２０５</t>
  </si>
  <si>
    <t>千葉市中央区仁戸名町６１６</t>
  </si>
  <si>
    <t>千葉市中央区松ケ丘町６１１</t>
  </si>
  <si>
    <t>塩田　梨佳</t>
  </si>
  <si>
    <t>千葉市若葉区みつわ台４丁目２３－５</t>
  </si>
  <si>
    <t>福地　綾</t>
  </si>
  <si>
    <t>千葉市緑区誉田町１－１００７</t>
  </si>
  <si>
    <t>西郡　悠輔</t>
  </si>
  <si>
    <t>千葉市美浜区幸町２丁目９番３号</t>
  </si>
  <si>
    <t>千葉市中央区仁戸名町５５２</t>
  </si>
  <si>
    <t>千葉市美浜区高浜１丁目８－２</t>
  </si>
  <si>
    <t>千葉市美浜区真砂１丁目１２－９</t>
  </si>
  <si>
    <t>鶴岡　姫美子</t>
  </si>
  <si>
    <t>認定こども園　松ヶ丘幼稚園</t>
    <rPh sb="0" eb="2">
      <t>ニンテイ</t>
    </rPh>
    <phoneticPr fontId="1"/>
  </si>
  <si>
    <t>千葉市中央区都町１丁目４６番地２２号</t>
  </si>
  <si>
    <t>認定こども園　山王幼稚園</t>
    <rPh sb="0" eb="6">
      <t>ニ</t>
    </rPh>
    <rPh sb="7" eb="9">
      <t>サンノウ</t>
    </rPh>
    <rPh sb="9" eb="12">
      <t>ヨウチエン</t>
    </rPh>
    <phoneticPr fontId="1"/>
  </si>
  <si>
    <t>千葉市稲毛区山王町１５３－２</t>
  </si>
  <si>
    <t>認定こども園　土岐幼稚園</t>
    <rPh sb="0" eb="6">
      <t>ニ</t>
    </rPh>
    <rPh sb="7" eb="9">
      <t>トキ</t>
    </rPh>
    <rPh sb="9" eb="12">
      <t>ヨウチエン</t>
    </rPh>
    <phoneticPr fontId="1"/>
  </si>
  <si>
    <t>千葉市稲毛区緑町1丁目５－１７</t>
  </si>
  <si>
    <t>認定こども園　鏡戸幼稚園</t>
    <rPh sb="0" eb="6">
      <t>ニ</t>
    </rPh>
    <rPh sb="7" eb="8">
      <t>カガミ</t>
    </rPh>
    <rPh sb="8" eb="9">
      <t>ト</t>
    </rPh>
    <rPh sb="9" eb="12">
      <t>ヨウチエン</t>
    </rPh>
    <phoneticPr fontId="1"/>
  </si>
  <si>
    <t>千葉市緑区大木戸町４２８－１</t>
  </si>
  <si>
    <t>千葉市稲毛区穴川1丁目５－２１</t>
  </si>
  <si>
    <t>認定こども園　まこと第二幼稚園</t>
    <rPh sb="0" eb="2">
      <t>ニンテイ</t>
    </rPh>
    <rPh sb="5" eb="6">
      <t>エン</t>
    </rPh>
    <rPh sb="10" eb="12">
      <t>ダイニ</t>
    </rPh>
    <rPh sb="12" eb="15">
      <t>ヨウチエン</t>
    </rPh>
    <phoneticPr fontId="4"/>
  </si>
  <si>
    <t>認定こども園　花見川ちぐさ幼稚園</t>
    <rPh sb="0" eb="2">
      <t>ニンテイ</t>
    </rPh>
    <rPh sb="5" eb="6">
      <t>エン</t>
    </rPh>
    <rPh sb="7" eb="10">
      <t>ハナミガワ</t>
    </rPh>
    <rPh sb="13" eb="16">
      <t>ヨウチエン</t>
    </rPh>
    <phoneticPr fontId="4"/>
  </si>
  <si>
    <t>認定こども園　明徳土気こども園</t>
    <rPh sb="0" eb="2">
      <t>ニンテイ</t>
    </rPh>
    <rPh sb="5" eb="6">
      <t>エン</t>
    </rPh>
    <rPh sb="7" eb="9">
      <t>メイトク</t>
    </rPh>
    <rPh sb="9" eb="11">
      <t>トケ</t>
    </rPh>
    <rPh sb="14" eb="15">
      <t>エン</t>
    </rPh>
    <phoneticPr fontId="4"/>
  </si>
  <si>
    <t>神奈川県横浜市神奈川区三ツ沢下町１４－５７</t>
  </si>
  <si>
    <t>代表役員</t>
  </si>
  <si>
    <t>入江　修</t>
  </si>
  <si>
    <t>千葉市緑区刈田子町308-10</t>
  </si>
  <si>
    <t>（学）宇野学園</t>
  </si>
  <si>
    <t/>
  </si>
  <si>
    <t>認定こども園名</t>
    <rPh sb="0" eb="2">
      <t>ニンテイ</t>
    </rPh>
    <rPh sb="5" eb="6">
      <t>エン</t>
    </rPh>
    <phoneticPr fontId="1"/>
  </si>
  <si>
    <t>園毎の固有番号</t>
    <rPh sb="0" eb="1">
      <t>エン</t>
    </rPh>
    <rPh sb="1" eb="2">
      <t>ゴト</t>
    </rPh>
    <rPh sb="3" eb="5">
      <t>コユウ</t>
    </rPh>
    <rPh sb="5" eb="7">
      <t>バンゴウ</t>
    </rPh>
    <phoneticPr fontId="1"/>
  </si>
  <si>
    <t>園外活動における見守りを行っている場合、○を記載</t>
    <rPh sb="0" eb="1">
      <t>エン</t>
    </rPh>
    <rPh sb="1" eb="2">
      <t>ガイ</t>
    </rPh>
    <rPh sb="2" eb="4">
      <t>カツドウ</t>
    </rPh>
    <rPh sb="8" eb="10">
      <t>ミマモ</t>
    </rPh>
    <rPh sb="12" eb="13">
      <t>オコナ</t>
    </rPh>
    <rPh sb="17" eb="19">
      <t>バアイ</t>
    </rPh>
    <rPh sb="22" eb="24">
      <t>キサイ</t>
    </rPh>
    <phoneticPr fontId="1"/>
  </si>
  <si>
    <t>D5セル</t>
    <phoneticPr fontId="1"/>
  </si>
  <si>
    <t>Ｍ4セル</t>
    <phoneticPr fontId="1"/>
  </si>
  <si>
    <t>Ｍ5セル</t>
    <phoneticPr fontId="1"/>
  </si>
  <si>
    <t>L9セル</t>
  </si>
  <si>
    <t>L8セルの担当者の連絡先電話番号を入力してください。</t>
    <rPh sb="5" eb="8">
      <t>タントウシャ</t>
    </rPh>
    <rPh sb="9" eb="12">
      <t>レンラクサキ</t>
    </rPh>
    <rPh sb="12" eb="14">
      <t>デンワ</t>
    </rPh>
    <rPh sb="14" eb="16">
      <t>バンゴウ</t>
    </rPh>
    <rPh sb="17" eb="19">
      <t>ニュウリョク</t>
    </rPh>
    <phoneticPr fontId="1"/>
  </si>
  <si>
    <t>JBN59464</t>
  </si>
  <si>
    <t>TZS72045</t>
  </si>
  <si>
    <t>勤務形態を「正」（正規職員）、「パート」、「嘱託等」から選択してください。</t>
    <rPh sb="0" eb="2">
      <t>キンム</t>
    </rPh>
    <rPh sb="2" eb="4">
      <t>ケイタイ</t>
    </rPh>
    <rPh sb="6" eb="7">
      <t>セイ</t>
    </rPh>
    <rPh sb="9" eb="11">
      <t>セイキ</t>
    </rPh>
    <rPh sb="11" eb="13">
      <t>ショクイン</t>
    </rPh>
    <rPh sb="22" eb="24">
      <t>ショクタク</t>
    </rPh>
    <rPh sb="24" eb="25">
      <t>トウ</t>
    </rPh>
    <rPh sb="28" eb="30">
      <t>センタク</t>
    </rPh>
    <phoneticPr fontId="1"/>
  </si>
  <si>
    <t>勤務形態を「常」（常勤）、「非」（非常勤）から選択してください。
常勤とは、就業規則に定める月の「常勤時間数」以上勤務する就労契約を結ぶ者をいいます。
非常勤は、常勤以外の者をいいます。</t>
    <rPh sb="0" eb="2">
      <t>キンム</t>
    </rPh>
    <rPh sb="2" eb="4">
      <t>ケイタイ</t>
    </rPh>
    <rPh sb="6" eb="7">
      <t>ジョウ</t>
    </rPh>
    <rPh sb="9" eb="11">
      <t>ジョウキン</t>
    </rPh>
    <rPh sb="11" eb="13">
      <t>セイショクイン</t>
    </rPh>
    <rPh sb="14" eb="15">
      <t>ヒ</t>
    </rPh>
    <rPh sb="17" eb="20">
      <t>ヒジョウキン</t>
    </rPh>
    <rPh sb="23" eb="25">
      <t>センタク</t>
    </rPh>
    <rPh sb="33" eb="35">
      <t>ジョウキン</t>
    </rPh>
    <rPh sb="55" eb="57">
      <t>イジョウ</t>
    </rPh>
    <rPh sb="61" eb="63">
      <t>シュウロウ</t>
    </rPh>
    <rPh sb="63" eb="65">
      <t>ケイヤク</t>
    </rPh>
    <rPh sb="66" eb="67">
      <t>ムス</t>
    </rPh>
    <rPh sb="68" eb="69">
      <t>モノ</t>
    </rPh>
    <rPh sb="76" eb="79">
      <t>ヒジョウキン</t>
    </rPh>
    <rPh sb="81" eb="83">
      <t>ジョウキン</t>
    </rPh>
    <rPh sb="83" eb="85">
      <t>イガイ</t>
    </rPh>
    <rPh sb="86" eb="87">
      <t>モノ</t>
    </rPh>
    <phoneticPr fontId="1"/>
  </si>
  <si>
    <t>主に従事する業務をプルダウンメニューから選択してください。</t>
    <rPh sb="0" eb="1">
      <t>オモ</t>
    </rPh>
    <rPh sb="2" eb="4">
      <t>ジュウジ</t>
    </rPh>
    <rPh sb="6" eb="8">
      <t>ギョウム</t>
    </rPh>
    <rPh sb="20" eb="22">
      <t>センタク</t>
    </rPh>
    <phoneticPr fontId="1"/>
  </si>
  <si>
    <t>Ｈ列</t>
    <rPh sb="1" eb="2">
      <t>レツ</t>
    </rPh>
    <phoneticPr fontId="1"/>
  </si>
  <si>
    <t>園外活動における見守りを行っている場合、「○」を選択してください。
※園外活動における見守りとは、散歩への付き添い・安全確保等、園の敷地外での活動に同行することをいいます。</t>
    <phoneticPr fontId="1"/>
  </si>
  <si>
    <t>プルダウンメニューから、担当職員を選択してください。
年度の途中で担当の変更があった場合、当該月の担当を上書き修正（プルダウンメニューから選択）してください。
【担当職員について】
なるべく、Ｃ列に記載の職種の職員を選択して下さい（短時間の非常勤の場合は、複数者を選択してください）。
なお、補助基準額に達しない場合、他職種の方でも構いませんが、複数の職種の方の混在はできません。</t>
    <phoneticPr fontId="1"/>
  </si>
  <si>
    <t>プルダウンメニューから、担当職員を選択してください。
年度の途中で担当の変更があった場合、当該月の担当を上書き修正（プルダウンメニューから選択）してください。
【担当職員について】
なるべく、Ｄ列に記載の職種の職員を選択して下さい（短時間の非常勤の場合は、複数者を選択してください）。
なお、補助基準額に達しない場合、他職種の方でも構いませんが、複数の職種の方の混在はできません。</t>
    <phoneticPr fontId="1"/>
  </si>
  <si>
    <t>了承の上、概算払い（１回目）を請求する</t>
  </si>
  <si>
    <t>千葉市若葉区千城台東１－６－２</t>
  </si>
  <si>
    <t>安田　重実</t>
  </si>
  <si>
    <t>【選択】基本加算１</t>
    <rPh sb="1" eb="3">
      <t>センタク</t>
    </rPh>
    <rPh sb="4" eb="6">
      <t>キホン</t>
    </rPh>
    <rPh sb="6" eb="8">
      <t>カサン</t>
    </rPh>
    <phoneticPr fontId="1"/>
  </si>
  <si>
    <t>保育教諭</t>
    <rPh sb="0" eb="2">
      <t>ホイク</t>
    </rPh>
    <rPh sb="2" eb="4">
      <t>キョウユ</t>
    </rPh>
    <phoneticPr fontId="6"/>
  </si>
  <si>
    <t>概算払いを希望する場合は、「①基本情報」シート【概算払いについて（注意事項）】を確認し、同シートの「Ｌ２０セル」で「概算払いを請求する」を選択してください。</t>
    <rPh sb="0" eb="2">
      <t>ガイサン</t>
    </rPh>
    <rPh sb="2" eb="3">
      <t>バラ</t>
    </rPh>
    <rPh sb="5" eb="7">
      <t>キボウ</t>
    </rPh>
    <rPh sb="9" eb="11">
      <t>バアイ</t>
    </rPh>
    <rPh sb="15" eb="17">
      <t>キホン</t>
    </rPh>
    <rPh sb="17" eb="19">
      <t>ジョウホウ</t>
    </rPh>
    <rPh sb="40" eb="42">
      <t>カクニン</t>
    </rPh>
    <rPh sb="44" eb="45">
      <t>ドウ</t>
    </rPh>
    <rPh sb="58" eb="60">
      <t>ガイサン</t>
    </rPh>
    <rPh sb="60" eb="61">
      <t>バラ</t>
    </rPh>
    <rPh sb="63" eb="65">
      <t>セイキュウ</t>
    </rPh>
    <rPh sb="69" eb="71">
      <t>センタク</t>
    </rPh>
    <phoneticPr fontId="1"/>
  </si>
  <si>
    <t>「契約上の就業時間を記載」と記載されている職員について、就労契約上の勤務すべき時間数を記載してください。
各月ごとに就労すべき時間数が変動する場合は、以下の通りとしてください。
・その者が「就業規則上の常勤時間数」以上勤務することとしている場合
　→　F5セルに記載した時間数のうち、最大の時間数
・その者が「就業規則上の常勤時間数」未満の勤務であるが、契約上時間数を固定していない場合
　→　「1」を記載</t>
    <rPh sb="14" eb="16">
      <t>キサイ</t>
    </rPh>
    <rPh sb="21" eb="23">
      <t>ショクイン</t>
    </rPh>
    <rPh sb="28" eb="30">
      <t>シュウロウ</t>
    </rPh>
    <rPh sb="30" eb="32">
      <t>ケイヤク</t>
    </rPh>
    <rPh sb="32" eb="33">
      <t>ジョウ</t>
    </rPh>
    <rPh sb="34" eb="36">
      <t>キンム</t>
    </rPh>
    <rPh sb="39" eb="42">
      <t>ジカンスウ</t>
    </rPh>
    <rPh sb="43" eb="45">
      <t>キサイ</t>
    </rPh>
    <rPh sb="53" eb="54">
      <t>カク</t>
    </rPh>
    <rPh sb="54" eb="55">
      <t>ツキ</t>
    </rPh>
    <rPh sb="58" eb="60">
      <t>シュウロウ</t>
    </rPh>
    <rPh sb="63" eb="66">
      <t>ジカンスウ</t>
    </rPh>
    <rPh sb="67" eb="69">
      <t>ヘンドウ</t>
    </rPh>
    <rPh sb="71" eb="73">
      <t>バアイ</t>
    </rPh>
    <rPh sb="75" eb="77">
      <t>イカ</t>
    </rPh>
    <rPh sb="78" eb="79">
      <t>トオ</t>
    </rPh>
    <rPh sb="92" eb="93">
      <t>モノ</t>
    </rPh>
    <rPh sb="95" eb="97">
      <t>シュウギョウ</t>
    </rPh>
    <rPh sb="97" eb="99">
      <t>キソク</t>
    </rPh>
    <rPh sb="99" eb="100">
      <t>ジョウ</t>
    </rPh>
    <rPh sb="101" eb="103">
      <t>ジョウキン</t>
    </rPh>
    <rPh sb="103" eb="106">
      <t>ジカンスウ</t>
    </rPh>
    <rPh sb="107" eb="109">
      <t>イジョウ</t>
    </rPh>
    <rPh sb="109" eb="111">
      <t>キンム</t>
    </rPh>
    <rPh sb="120" eb="122">
      <t>バアイ</t>
    </rPh>
    <rPh sb="131" eb="133">
      <t>キサイ</t>
    </rPh>
    <rPh sb="135" eb="137">
      <t>ジカン</t>
    </rPh>
    <rPh sb="137" eb="138">
      <t>スウ</t>
    </rPh>
    <rPh sb="142" eb="144">
      <t>サイダイ</t>
    </rPh>
    <rPh sb="145" eb="148">
      <t>ジカンスウ</t>
    </rPh>
    <rPh sb="152" eb="153">
      <t>モノ</t>
    </rPh>
    <rPh sb="155" eb="157">
      <t>シュウギョウ</t>
    </rPh>
    <rPh sb="157" eb="159">
      <t>キソク</t>
    </rPh>
    <rPh sb="159" eb="160">
      <t>ジョウ</t>
    </rPh>
    <rPh sb="161" eb="163">
      <t>ジョウキン</t>
    </rPh>
    <rPh sb="163" eb="165">
      <t>ジカン</t>
    </rPh>
    <rPh sb="165" eb="166">
      <t>スウ</t>
    </rPh>
    <rPh sb="167" eb="169">
      <t>ミマン</t>
    </rPh>
    <rPh sb="170" eb="172">
      <t>キンム</t>
    </rPh>
    <rPh sb="177" eb="179">
      <t>ケイヤク</t>
    </rPh>
    <rPh sb="179" eb="180">
      <t>ジョウ</t>
    </rPh>
    <rPh sb="180" eb="183">
      <t>ジカンスウ</t>
    </rPh>
    <rPh sb="184" eb="186">
      <t>コテイ</t>
    </rPh>
    <rPh sb="191" eb="193">
      <t>バアイ</t>
    </rPh>
    <rPh sb="201" eb="203">
      <t>キサイ</t>
    </rPh>
    <phoneticPr fontId="1"/>
  </si>
  <si>
    <t>未就学児プレ保育</t>
    <rPh sb="0" eb="4">
      <t>ミシュウガクジ</t>
    </rPh>
    <rPh sb="6" eb="8">
      <t>ホイク</t>
    </rPh>
    <phoneticPr fontId="1"/>
  </si>
  <si>
    <t>幼稚園型一時預かり</t>
    <rPh sb="0" eb="3">
      <t>ヨウチエン</t>
    </rPh>
    <rPh sb="3" eb="4">
      <t>ガタ</t>
    </rPh>
    <rPh sb="4" eb="6">
      <t>イチジ</t>
    </rPh>
    <rPh sb="6" eb="7">
      <t>アズ</t>
    </rPh>
    <phoneticPr fontId="1"/>
  </si>
  <si>
    <t>県特別支援教育</t>
    <rPh sb="0" eb="1">
      <t>ケン</t>
    </rPh>
    <rPh sb="1" eb="3">
      <t>トクベツ</t>
    </rPh>
    <rPh sb="3" eb="5">
      <t>シエン</t>
    </rPh>
    <rPh sb="5" eb="7">
      <t>キョウイク</t>
    </rPh>
    <phoneticPr fontId="1"/>
  </si>
  <si>
    <t>その他県費補助等該当</t>
    <rPh sb="2" eb="3">
      <t>タ</t>
    </rPh>
    <rPh sb="3" eb="5">
      <t>ケンピ</t>
    </rPh>
    <rPh sb="5" eb="7">
      <t>ホジョ</t>
    </rPh>
    <rPh sb="7" eb="8">
      <t>トウ</t>
    </rPh>
    <rPh sb="8" eb="10">
      <t>ガイトウ</t>
    </rPh>
    <phoneticPr fontId="1"/>
  </si>
  <si>
    <t>Ｘ列</t>
    <rPh sb="1" eb="2">
      <t>レツ</t>
    </rPh>
    <phoneticPr fontId="1"/>
  </si>
  <si>
    <t>Ｗ列で、「その他県費補助等該当」を選択した場合は、その内容を記載してください。また、特記事項がある場合は記載してください（関数の上から入力していただいて構いません。）。</t>
    <rPh sb="1" eb="2">
      <t>レツ</t>
    </rPh>
    <rPh sb="17" eb="19">
      <t>センタク</t>
    </rPh>
    <rPh sb="21" eb="23">
      <t>バアイ</t>
    </rPh>
    <rPh sb="27" eb="29">
      <t>ナイヨウ</t>
    </rPh>
    <rPh sb="30" eb="32">
      <t>キサイ</t>
    </rPh>
    <rPh sb="42" eb="44">
      <t>トッキ</t>
    </rPh>
    <rPh sb="44" eb="46">
      <t>ジコウ</t>
    </rPh>
    <rPh sb="49" eb="51">
      <t>バアイ</t>
    </rPh>
    <rPh sb="52" eb="54">
      <t>キサイ</t>
    </rPh>
    <rPh sb="61" eb="63">
      <t>カンスウ</t>
    </rPh>
    <rPh sb="64" eb="65">
      <t>ウエ</t>
    </rPh>
    <rPh sb="67" eb="69">
      <t>ニュウリョク</t>
    </rPh>
    <rPh sb="76" eb="77">
      <t>カマ</t>
    </rPh>
    <phoneticPr fontId="1"/>
  </si>
  <si>
    <t>【人数】特定加算１</t>
    <rPh sb="1" eb="3">
      <t>ニンズウ</t>
    </rPh>
    <rPh sb="4" eb="6">
      <t>トクテイ</t>
    </rPh>
    <rPh sb="6" eb="8">
      <t>カサン</t>
    </rPh>
    <phoneticPr fontId="1"/>
  </si>
  <si>
    <t>【人数】特定加算２</t>
    <rPh sb="1" eb="3">
      <t>ニンズウ</t>
    </rPh>
    <rPh sb="4" eb="6">
      <t>トクテイ</t>
    </rPh>
    <rPh sb="6" eb="8">
      <t>カサン</t>
    </rPh>
    <phoneticPr fontId="1"/>
  </si>
  <si>
    <t>学校法人信愛学園　認定こども園のぞみ幼稚園</t>
  </si>
  <si>
    <t>学校法人信愛学園　認定こども園へいわ幼稚園</t>
  </si>
  <si>
    <t>千葉県八千代市米本1359米本団地4街区39棟</t>
  </si>
  <si>
    <t>有</t>
    <rPh sb="0" eb="1">
      <t>アリ</t>
    </rPh>
    <phoneticPr fontId="1"/>
  </si>
  <si>
    <t>R</t>
    <phoneticPr fontId="28"/>
  </si>
  <si>
    <t xml:space="preserve">  千葉市施設型給付対象施設保育士等配置基準改善事業</t>
    <rPh sb="5" eb="7">
      <t>シセツ</t>
    </rPh>
    <rPh sb="10" eb="12">
      <t>タイショウ</t>
    </rPh>
    <phoneticPr fontId="28"/>
  </si>
  <si>
    <t xml:space="preserve">  補助金分割払い請求書（第２期分）</t>
    <rPh sb="2" eb="5">
      <t>ホジョキン</t>
    </rPh>
    <rPh sb="5" eb="7">
      <t>ブンカツ</t>
    </rPh>
    <rPh sb="7" eb="8">
      <t>ハラ</t>
    </rPh>
    <rPh sb="9" eb="12">
      <t>セイキュウショ</t>
    </rPh>
    <rPh sb="13" eb="14">
      <t>ダイ</t>
    </rPh>
    <rPh sb="15" eb="16">
      <t>キ</t>
    </rPh>
    <rPh sb="16" eb="17">
      <t>ブン</t>
    </rPh>
    <phoneticPr fontId="28"/>
  </si>
  <si>
    <t>千 葉 市 長　様</t>
    <rPh sb="0" eb="1">
      <t>セン</t>
    </rPh>
    <rPh sb="2" eb="3">
      <t>ハ</t>
    </rPh>
    <rPh sb="4" eb="5">
      <t>シ</t>
    </rPh>
    <rPh sb="6" eb="7">
      <t>チョウ</t>
    </rPh>
    <rPh sb="8" eb="9">
      <t>サマ</t>
    </rPh>
    <phoneticPr fontId="6"/>
  </si>
  <si>
    <t>住所</t>
    <rPh sb="0" eb="2">
      <t>ジュウショ</t>
    </rPh>
    <phoneticPr fontId="28"/>
  </si>
  <si>
    <t>法人名</t>
    <rPh sb="0" eb="2">
      <t>ホウジン</t>
    </rPh>
    <rPh sb="2" eb="3">
      <t>メイ</t>
    </rPh>
    <phoneticPr fontId="28"/>
  </si>
  <si>
    <t>代表者職氏名</t>
    <rPh sb="0" eb="3">
      <t>ダイヒョウシャ</t>
    </rPh>
    <rPh sb="3" eb="4">
      <t>ショク</t>
    </rPh>
    <rPh sb="4" eb="5">
      <t>シ</t>
    </rPh>
    <rPh sb="5" eb="6">
      <t>メイ</t>
    </rPh>
    <phoneticPr fontId="28"/>
  </si>
  <si>
    <t>（施設名）</t>
    <rPh sb="1" eb="3">
      <t>シセツ</t>
    </rPh>
    <rPh sb="3" eb="4">
      <t>メイ</t>
    </rPh>
    <rPh sb="4" eb="5">
      <t>ヤスナ</t>
    </rPh>
    <phoneticPr fontId="28"/>
  </si>
  <si>
    <t>（</t>
    <phoneticPr fontId="28"/>
  </si>
  <si>
    <t>）</t>
    <phoneticPr fontId="28"/>
  </si>
  <si>
    <t>１　請求金額</t>
    <rPh sb="2" eb="4">
      <t>セイキュウ</t>
    </rPh>
    <rPh sb="4" eb="5">
      <t>キン</t>
    </rPh>
    <rPh sb="5" eb="6">
      <t>ガク</t>
    </rPh>
    <phoneticPr fontId="6"/>
  </si>
  <si>
    <t>今回入力した数字を基にした交付決定額</t>
    <rPh sb="0" eb="2">
      <t>コンカイ</t>
    </rPh>
    <rPh sb="2" eb="4">
      <t>ニュウリョク</t>
    </rPh>
    <rPh sb="6" eb="8">
      <t>スウジ</t>
    </rPh>
    <rPh sb="9" eb="10">
      <t>モト</t>
    </rPh>
    <rPh sb="13" eb="15">
      <t>コウフ</t>
    </rPh>
    <rPh sb="15" eb="17">
      <t>ケッテイ</t>
    </rPh>
    <rPh sb="17" eb="18">
      <t>ガク</t>
    </rPh>
    <phoneticPr fontId="28"/>
  </si>
  <si>
    <t xml:space="preserve"> </t>
    <phoneticPr fontId="28"/>
  </si>
  <si>
    <t>園名を選択してください。</t>
    <rPh sb="0" eb="2">
      <t>エンメイ</t>
    </rPh>
    <rPh sb="3" eb="5">
      <t>センタク</t>
    </rPh>
    <phoneticPr fontId="1"/>
  </si>
  <si>
    <t>東京都江戸川区南葛西7丁目２－５４</t>
  </si>
  <si>
    <t>３歳児配置改善　適用有無
（8月）</t>
    <rPh sb="1" eb="3">
      <t>サイジ</t>
    </rPh>
    <rPh sb="3" eb="5">
      <t>ハイチ</t>
    </rPh>
    <rPh sb="5" eb="7">
      <t>カイゼン</t>
    </rPh>
    <rPh sb="8" eb="10">
      <t>テキヨウ</t>
    </rPh>
    <rPh sb="10" eb="12">
      <t>ウム</t>
    </rPh>
    <rPh sb="15" eb="16">
      <t>ガツ</t>
    </rPh>
    <phoneticPr fontId="0"/>
  </si>
  <si>
    <t>有</t>
  </si>
  <si>
    <t>④-3月別配置内訳書(2)-(2)-(C)・(D)</t>
    <phoneticPr fontId="1"/>
  </si>
  <si>
    <t>④-４月別配置内訳書(2)-(2)-(E)</t>
    <phoneticPr fontId="1"/>
  </si>
  <si>
    <t>⑤基本加算１</t>
    <phoneticPr fontId="1"/>
  </si>
  <si>
    <t>⑥基本加算２</t>
    <phoneticPr fontId="1"/>
  </si>
  <si>
    <t>⑦基本加算３</t>
    <phoneticPr fontId="1"/>
  </si>
  <si>
    <t>⑧一般加算１</t>
    <phoneticPr fontId="1"/>
  </si>
  <si>
    <t>⑨一般加算２</t>
    <phoneticPr fontId="1"/>
  </si>
  <si>
    <t>⑩特定加算１</t>
    <phoneticPr fontId="1"/>
  </si>
  <si>
    <t>⑪特定加算２</t>
    <phoneticPr fontId="1"/>
  </si>
  <si>
    <t xml:space="preserve">
職　種</t>
    <rPh sb="2" eb="5">
      <t>ショクシュ</t>
    </rPh>
    <phoneticPr fontId="6"/>
  </si>
  <si>
    <t xml:space="preserve">
勤務形態</t>
    <rPh sb="2" eb="4">
      <t>キンム</t>
    </rPh>
    <rPh sb="4" eb="6">
      <t>ケイタイ</t>
    </rPh>
    <phoneticPr fontId="6"/>
  </si>
  <si>
    <t xml:space="preserve">
氏名</t>
    <rPh sb="2" eb="4">
      <t>シメイ</t>
    </rPh>
    <phoneticPr fontId="6"/>
  </si>
  <si>
    <t>その他の資格</t>
    <rPh sb="2" eb="3">
      <t>タ</t>
    </rPh>
    <rPh sb="4" eb="6">
      <t>シカク</t>
    </rPh>
    <phoneticPr fontId="6"/>
  </si>
  <si>
    <r>
      <t xml:space="preserve">要件緩和適用開始日
</t>
    </r>
    <r>
      <rPr>
        <b/>
        <sz val="9"/>
        <color rgb="FFFF0000"/>
        <rFont val="ＭＳ Ｐゴシック"/>
        <family val="3"/>
        <charset val="128"/>
      </rPr>
      <t>（職種が「要件緩和」の場合は入力必須）</t>
    </r>
    <rPh sb="0" eb="2">
      <t>ヨウケン</t>
    </rPh>
    <rPh sb="2" eb="4">
      <t>カンワ</t>
    </rPh>
    <rPh sb="4" eb="6">
      <t>テキヨウ</t>
    </rPh>
    <rPh sb="6" eb="8">
      <t>カイシ</t>
    </rPh>
    <rPh sb="8" eb="9">
      <t>ビ</t>
    </rPh>
    <rPh sb="11" eb="13">
      <t>ショクシュ</t>
    </rPh>
    <rPh sb="15" eb="17">
      <t>ヨウケン</t>
    </rPh>
    <rPh sb="17" eb="19">
      <t>カンワ</t>
    </rPh>
    <rPh sb="21" eb="23">
      <t>バアイ</t>
    </rPh>
    <rPh sb="24" eb="26">
      <t>ニュウリョク</t>
    </rPh>
    <rPh sb="26" eb="28">
      <t>ヒッス</t>
    </rPh>
    <phoneticPr fontId="1"/>
  </si>
  <si>
    <r>
      <t xml:space="preserve">備考
</t>
    </r>
    <r>
      <rPr>
        <b/>
        <sz val="9"/>
        <color rgb="FFFF0000"/>
        <rFont val="ＭＳ Ｐゴシック"/>
        <family val="3"/>
        <charset val="128"/>
      </rPr>
      <t>（職種が「その他」の場合は入力必須）</t>
    </r>
    <rPh sb="0" eb="2">
      <t>ビコウ</t>
    </rPh>
    <rPh sb="10" eb="11">
      <t>タ</t>
    </rPh>
    <phoneticPr fontId="6"/>
  </si>
  <si>
    <t>（様式第４号）</t>
    <rPh sb="3" eb="4">
      <t>ダイ</t>
    </rPh>
    <phoneticPr fontId="6"/>
  </si>
  <si>
    <t>千葉市施設型給付対象施設保育士等配置基準</t>
    <rPh sb="3" eb="6">
      <t>シセツガタ</t>
    </rPh>
    <rPh sb="6" eb="8">
      <t>キュウフ</t>
    </rPh>
    <rPh sb="8" eb="10">
      <t>タイショウ</t>
    </rPh>
    <rPh sb="10" eb="12">
      <t>シセツ</t>
    </rPh>
    <rPh sb="19" eb="20">
      <t>ジュン</t>
    </rPh>
    <phoneticPr fontId="28"/>
  </si>
  <si>
    <t>改善事業補助金変更交付申請書</t>
    <rPh sb="0" eb="2">
      <t>カイゼン</t>
    </rPh>
    <rPh sb="2" eb="4">
      <t>ジギョウ</t>
    </rPh>
    <rPh sb="4" eb="7">
      <t>ホジョキン</t>
    </rPh>
    <rPh sb="7" eb="9">
      <t>ヘンコウ</t>
    </rPh>
    <rPh sb="9" eb="11">
      <t>コウフ</t>
    </rPh>
    <rPh sb="11" eb="13">
      <t>シンセイ</t>
    </rPh>
    <rPh sb="13" eb="14">
      <t>ショ</t>
    </rPh>
    <phoneticPr fontId="28"/>
  </si>
  <si>
    <t>住　　　　　　所</t>
    <rPh sb="0" eb="1">
      <t>ジュウ</t>
    </rPh>
    <rPh sb="7" eb="8">
      <t>ショ</t>
    </rPh>
    <phoneticPr fontId="28"/>
  </si>
  <si>
    <t>法 　  人 　 名</t>
    <rPh sb="0" eb="1">
      <t>ホウ</t>
    </rPh>
    <rPh sb="5" eb="6">
      <t>ニン</t>
    </rPh>
    <rPh sb="9" eb="10">
      <t>メイ</t>
    </rPh>
    <phoneticPr fontId="15"/>
  </si>
  <si>
    <t>代表者職氏名</t>
    <phoneticPr fontId="15"/>
  </si>
  <si>
    <t>(施設名)</t>
    <rPh sb="1" eb="3">
      <t>シセツ</t>
    </rPh>
    <rPh sb="3" eb="4">
      <t>メイ</t>
    </rPh>
    <phoneticPr fontId="15"/>
  </si>
  <si>
    <t>　</t>
    <phoneticPr fontId="28"/>
  </si>
  <si>
    <t>　　１　変更交付申請額</t>
    <rPh sb="4" eb="6">
      <t>ヘンコウ</t>
    </rPh>
    <rPh sb="6" eb="8">
      <t>コウフ</t>
    </rPh>
    <rPh sb="8" eb="10">
      <t>シンセイ</t>
    </rPh>
    <rPh sb="10" eb="11">
      <t>ガク</t>
    </rPh>
    <phoneticPr fontId="6"/>
  </si>
  <si>
    <t>変更後補助金所要額</t>
    <rPh sb="0" eb="2">
      <t>ヘンコウ</t>
    </rPh>
    <rPh sb="2" eb="3">
      <t>ゴ</t>
    </rPh>
    <rPh sb="3" eb="6">
      <t>ホジョキン</t>
    </rPh>
    <rPh sb="6" eb="8">
      <t>ショヨウ</t>
    </rPh>
    <rPh sb="8" eb="9">
      <t>ガク</t>
    </rPh>
    <phoneticPr fontId="28"/>
  </si>
  <si>
    <r>
      <t>既 交</t>
    </r>
    <r>
      <rPr>
        <sz val="11"/>
        <color theme="1"/>
        <rFont val="游ゴシック"/>
        <family val="2"/>
        <charset val="128"/>
        <scheme val="minor"/>
      </rPr>
      <t xml:space="preserve"> </t>
    </r>
    <r>
      <rPr>
        <sz val="11"/>
        <rFont val="ＭＳ 明朝"/>
        <family val="1"/>
        <charset val="128"/>
      </rPr>
      <t>付</t>
    </r>
    <r>
      <rPr>
        <sz val="11"/>
        <color theme="1"/>
        <rFont val="游ゴシック"/>
        <family val="2"/>
        <charset val="128"/>
        <scheme val="minor"/>
      </rPr>
      <t xml:space="preserve"> </t>
    </r>
    <r>
      <rPr>
        <sz val="11"/>
        <rFont val="ＭＳ 明朝"/>
        <family val="1"/>
        <charset val="128"/>
      </rPr>
      <t>決</t>
    </r>
    <r>
      <rPr>
        <sz val="11"/>
        <color theme="1"/>
        <rFont val="游ゴシック"/>
        <family val="2"/>
        <charset val="128"/>
        <scheme val="minor"/>
      </rPr>
      <t xml:space="preserve"> </t>
    </r>
    <r>
      <rPr>
        <sz val="11"/>
        <rFont val="ＭＳ 明朝"/>
        <family val="1"/>
        <charset val="128"/>
      </rPr>
      <t>定</t>
    </r>
    <r>
      <rPr>
        <sz val="11"/>
        <color theme="1"/>
        <rFont val="游ゴシック"/>
        <family val="2"/>
        <charset val="128"/>
        <scheme val="minor"/>
      </rPr>
      <t xml:space="preserve"> </t>
    </r>
    <r>
      <rPr>
        <sz val="11"/>
        <rFont val="ＭＳ 明朝"/>
        <family val="1"/>
        <charset val="128"/>
      </rPr>
      <t>額</t>
    </r>
    <rPh sb="0" eb="1">
      <t>キ</t>
    </rPh>
    <rPh sb="2" eb="3">
      <t>コウ</t>
    </rPh>
    <rPh sb="4" eb="5">
      <t>ヅケ</t>
    </rPh>
    <rPh sb="6" eb="7">
      <t>ケツ</t>
    </rPh>
    <rPh sb="8" eb="9">
      <t>サダム</t>
    </rPh>
    <rPh sb="10" eb="11">
      <t>ガク</t>
    </rPh>
    <phoneticPr fontId="28"/>
  </si>
  <si>
    <t>差 引 所 要 額</t>
    <rPh sb="0" eb="1">
      <t>サ</t>
    </rPh>
    <rPh sb="2" eb="3">
      <t>ヒ</t>
    </rPh>
    <rPh sb="4" eb="5">
      <t>ショ</t>
    </rPh>
    <rPh sb="6" eb="7">
      <t>ヨウ</t>
    </rPh>
    <rPh sb="8" eb="9">
      <t>ガク</t>
    </rPh>
    <phoneticPr fontId="28"/>
  </si>
  <si>
    <t>基本加算分１</t>
    <rPh sb="0" eb="5">
      <t>キホンカサンブン</t>
    </rPh>
    <phoneticPr fontId="28"/>
  </si>
  <si>
    <t>基本加算分２</t>
    <rPh sb="0" eb="2">
      <t>キホン</t>
    </rPh>
    <rPh sb="2" eb="4">
      <t>カサン</t>
    </rPh>
    <rPh sb="4" eb="5">
      <t>ブン</t>
    </rPh>
    <phoneticPr fontId="28"/>
  </si>
  <si>
    <t>基本加算分３</t>
    <rPh sb="0" eb="5">
      <t>キホンカサンブン</t>
    </rPh>
    <phoneticPr fontId="28"/>
  </si>
  <si>
    <t>一般加算分１</t>
    <rPh sb="0" eb="2">
      <t>イッパン</t>
    </rPh>
    <rPh sb="2" eb="4">
      <t>カサン</t>
    </rPh>
    <rPh sb="4" eb="5">
      <t>ブン</t>
    </rPh>
    <phoneticPr fontId="28"/>
  </si>
  <si>
    <t>一般加算分２</t>
    <rPh sb="0" eb="2">
      <t>イッパン</t>
    </rPh>
    <rPh sb="2" eb="4">
      <t>カサン</t>
    </rPh>
    <rPh sb="4" eb="5">
      <t>ブン</t>
    </rPh>
    <phoneticPr fontId="28"/>
  </si>
  <si>
    <t>特定加算分１</t>
    <rPh sb="0" eb="2">
      <t>トクテイ</t>
    </rPh>
    <rPh sb="2" eb="4">
      <t>カサン</t>
    </rPh>
    <rPh sb="4" eb="5">
      <t>ブン</t>
    </rPh>
    <phoneticPr fontId="28"/>
  </si>
  <si>
    <t>特定加算分２</t>
    <rPh sb="0" eb="2">
      <t>トクテイ</t>
    </rPh>
    <rPh sb="2" eb="4">
      <t>カサン</t>
    </rPh>
    <rPh sb="4" eb="5">
      <t>ブン</t>
    </rPh>
    <phoneticPr fontId="28"/>
  </si>
  <si>
    <t>２　変更理由</t>
    <rPh sb="2" eb="4">
      <t>ヘンコウ</t>
    </rPh>
    <rPh sb="4" eb="6">
      <t>リユウ</t>
    </rPh>
    <phoneticPr fontId="28"/>
  </si>
  <si>
    <t>入所児童数の変動等</t>
    <rPh sb="0" eb="2">
      <t>ニュウショ</t>
    </rPh>
    <rPh sb="2" eb="4">
      <t>ジドウ</t>
    </rPh>
    <rPh sb="4" eb="5">
      <t>スウ</t>
    </rPh>
    <rPh sb="6" eb="8">
      <t>ヘンドウ</t>
    </rPh>
    <rPh sb="8" eb="9">
      <t>トウ</t>
    </rPh>
    <phoneticPr fontId="28"/>
  </si>
  <si>
    <t>３　算出基礎</t>
    <rPh sb="2" eb="4">
      <t>サンシュツ</t>
    </rPh>
    <rPh sb="4" eb="6">
      <t>キソ</t>
    </rPh>
    <phoneticPr fontId="28"/>
  </si>
  <si>
    <t>４　添付書類</t>
    <rPh sb="2" eb="4">
      <t>テンプ</t>
    </rPh>
    <rPh sb="4" eb="6">
      <t>ショルイ</t>
    </rPh>
    <phoneticPr fontId="28"/>
  </si>
  <si>
    <t>１　民間保育施設職員定数及び職員現況調書</t>
    <rPh sb="2" eb="4">
      <t>ミンカン</t>
    </rPh>
    <rPh sb="4" eb="6">
      <t>ホイク</t>
    </rPh>
    <rPh sb="6" eb="8">
      <t>シセツ</t>
    </rPh>
    <rPh sb="8" eb="10">
      <t>ショクイン</t>
    </rPh>
    <rPh sb="10" eb="12">
      <t>テイスウ</t>
    </rPh>
    <rPh sb="12" eb="13">
      <t>オヨ</t>
    </rPh>
    <rPh sb="14" eb="16">
      <t>ショクイン</t>
    </rPh>
    <rPh sb="16" eb="18">
      <t>ゲンキョウ</t>
    </rPh>
    <rPh sb="18" eb="20">
      <t>チョウショ</t>
    </rPh>
    <phoneticPr fontId="28"/>
  </si>
  <si>
    <t>２　雇用契約内容証明書</t>
    <rPh sb="2" eb="4">
      <t>コヨウ</t>
    </rPh>
    <rPh sb="4" eb="6">
      <t>ケイヤク</t>
    </rPh>
    <rPh sb="6" eb="8">
      <t>ナイヨウ</t>
    </rPh>
    <rPh sb="8" eb="11">
      <t>ショウメイショ</t>
    </rPh>
    <phoneticPr fontId="28"/>
  </si>
  <si>
    <t>３　要配慮保育職員配置決定通知書の写し</t>
    <rPh sb="2" eb="3">
      <t>ヨウ</t>
    </rPh>
    <rPh sb="3" eb="5">
      <t>ハイリョ</t>
    </rPh>
    <rPh sb="5" eb="7">
      <t>ホイク</t>
    </rPh>
    <rPh sb="7" eb="9">
      <t>ショクイン</t>
    </rPh>
    <rPh sb="9" eb="11">
      <t>ハイチ</t>
    </rPh>
    <rPh sb="11" eb="13">
      <t>ケッテイ</t>
    </rPh>
    <rPh sb="13" eb="15">
      <t>ツウチ</t>
    </rPh>
    <rPh sb="15" eb="16">
      <t>ショ</t>
    </rPh>
    <rPh sb="17" eb="18">
      <t>ウツ</t>
    </rPh>
    <phoneticPr fontId="28"/>
  </si>
  <si>
    <t>ただし、２、３については該当する施設のみ添付のこと。</t>
    <rPh sb="12" eb="14">
      <t>ガイトウ</t>
    </rPh>
    <rPh sb="16" eb="18">
      <t>シセツ</t>
    </rPh>
    <rPh sb="20" eb="22">
      <t>テンプ</t>
    </rPh>
    <phoneticPr fontId="28"/>
  </si>
  <si>
    <t>（様式第６号）</t>
    <rPh sb="3" eb="4">
      <t>ダイ</t>
    </rPh>
    <phoneticPr fontId="6"/>
  </si>
  <si>
    <t>千葉市施設型給付対象施設保育士等配置基準</t>
    <rPh sb="3" eb="12">
      <t>シセツガタキュウフタイショウシセツ</t>
    </rPh>
    <rPh sb="19" eb="20">
      <t>ジュン</t>
    </rPh>
    <phoneticPr fontId="28"/>
  </si>
  <si>
    <t>改善補助事業実績報告書</t>
    <rPh sb="0" eb="1">
      <t>アラタ</t>
    </rPh>
    <rPh sb="1" eb="2">
      <t>ゼン</t>
    </rPh>
    <rPh sb="2" eb="4">
      <t>ホジョ</t>
    </rPh>
    <rPh sb="4" eb="5">
      <t>コト</t>
    </rPh>
    <rPh sb="5" eb="6">
      <t>ギョウ</t>
    </rPh>
    <rPh sb="6" eb="7">
      <t>ジツ</t>
    </rPh>
    <rPh sb="7" eb="8">
      <t>ツムギ</t>
    </rPh>
    <rPh sb="8" eb="9">
      <t>ホウ</t>
    </rPh>
    <rPh sb="9" eb="10">
      <t>コク</t>
    </rPh>
    <rPh sb="10" eb="11">
      <t>ショ</t>
    </rPh>
    <phoneticPr fontId="28"/>
  </si>
  <si>
    <t>法　   人　  名</t>
    <rPh sb="0" eb="1">
      <t>ホウ</t>
    </rPh>
    <rPh sb="5" eb="6">
      <t>ニン</t>
    </rPh>
    <rPh sb="9" eb="10">
      <t>メイ</t>
    </rPh>
    <phoneticPr fontId="15"/>
  </si>
  <si>
    <t>代表者職氏名</t>
    <rPh sb="0" eb="3">
      <t>ダイヒョウシャ</t>
    </rPh>
    <rPh sb="3" eb="4">
      <t>ショク</t>
    </rPh>
    <rPh sb="4" eb="6">
      <t>シメイ</t>
    </rPh>
    <rPh sb="5" eb="6">
      <t>メイ</t>
    </rPh>
    <phoneticPr fontId="15"/>
  </si>
  <si>
    <t>　令和　　　　年　　　月　　　日付け千葉市指令こ幼運第　 　 　号　　　  により補助金の交付決定のあった千葉市施設型給付対象施設保育士等配置基準改善事業の実績について、千葉市施設型給付対象施設運営事業補助金交付要綱第１０条の規定に基づき、次のとおり報告します。</t>
    <rPh sb="1" eb="3">
      <t>レイワ</t>
    </rPh>
    <phoneticPr fontId="1"/>
  </si>
  <si>
    <t>補助金の既交付額</t>
    <rPh sb="0" eb="3">
      <t>ホジョキン</t>
    </rPh>
    <rPh sb="4" eb="5">
      <t>キ</t>
    </rPh>
    <rPh sb="5" eb="7">
      <t>コウフ</t>
    </rPh>
    <rPh sb="7" eb="8">
      <t>ガク</t>
    </rPh>
    <phoneticPr fontId="28"/>
  </si>
  <si>
    <t>補  助  事  業   の  経  費  精  算  額</t>
    <rPh sb="0" eb="1">
      <t>タスク</t>
    </rPh>
    <rPh sb="3" eb="4">
      <t>スケ</t>
    </rPh>
    <rPh sb="6" eb="7">
      <t>コト</t>
    </rPh>
    <rPh sb="9" eb="10">
      <t>ギョウ</t>
    </rPh>
    <rPh sb="16" eb="17">
      <t>キョウ</t>
    </rPh>
    <rPh sb="19" eb="20">
      <t>ヒ</t>
    </rPh>
    <rPh sb="22" eb="23">
      <t>セイ</t>
    </rPh>
    <rPh sb="25" eb="26">
      <t>ザン</t>
    </rPh>
    <rPh sb="28" eb="29">
      <t>ガク</t>
    </rPh>
    <phoneticPr fontId="28"/>
  </si>
  <si>
    <t>（様式第８号）</t>
    <rPh sb="3" eb="4">
      <t>ダイ</t>
    </rPh>
    <phoneticPr fontId="6"/>
  </si>
  <si>
    <t>改善事業補助金差額請求書</t>
    <rPh sb="0" eb="1">
      <t>アラタ</t>
    </rPh>
    <rPh sb="1" eb="2">
      <t>ゼン</t>
    </rPh>
    <rPh sb="2" eb="3">
      <t>コト</t>
    </rPh>
    <rPh sb="3" eb="4">
      <t>ギョウ</t>
    </rPh>
    <rPh sb="4" eb="7">
      <t>ホジョキン</t>
    </rPh>
    <rPh sb="7" eb="9">
      <t>サガク</t>
    </rPh>
    <rPh sb="9" eb="12">
      <t>セイキュウショ</t>
    </rPh>
    <phoneticPr fontId="28"/>
  </si>
  <si>
    <t>住　     　　所</t>
    <rPh sb="0" eb="1">
      <t>ジュウ</t>
    </rPh>
    <rPh sb="9" eb="10">
      <t>ショ</t>
    </rPh>
    <phoneticPr fontId="28"/>
  </si>
  <si>
    <t>法    人    名</t>
    <rPh sb="0" eb="1">
      <t>ホウ</t>
    </rPh>
    <rPh sb="5" eb="6">
      <t>ニン</t>
    </rPh>
    <rPh sb="10" eb="11">
      <t>メイ</t>
    </rPh>
    <phoneticPr fontId="15"/>
  </si>
  <si>
    <t>　　１　請求金額</t>
    <rPh sb="4" eb="6">
      <t>セイキュウ</t>
    </rPh>
    <rPh sb="6" eb="7">
      <t>キン</t>
    </rPh>
    <rPh sb="7" eb="8">
      <t>ガク</t>
    </rPh>
    <phoneticPr fontId="6"/>
  </si>
  <si>
    <t>補助金の確定額</t>
    <rPh sb="0" eb="3">
      <t>ホジョキン</t>
    </rPh>
    <rPh sb="4" eb="6">
      <t>カクテイ</t>
    </rPh>
    <rPh sb="6" eb="7">
      <t>ガク</t>
    </rPh>
    <phoneticPr fontId="28"/>
  </si>
  <si>
    <t>今回の交付請求額</t>
    <rPh sb="0" eb="2">
      <t>コンカイ</t>
    </rPh>
    <rPh sb="3" eb="5">
      <t>コウフ</t>
    </rPh>
    <rPh sb="5" eb="7">
      <t>セイキュウ</t>
    </rPh>
    <rPh sb="7" eb="8">
      <t>ガク</t>
    </rPh>
    <phoneticPr fontId="28"/>
  </si>
  <si>
    <t>基本加算分１</t>
    <rPh sb="0" eb="2">
      <t>キホン</t>
    </rPh>
    <rPh sb="2" eb="4">
      <t>カサン</t>
    </rPh>
    <rPh sb="4" eb="5">
      <t>ブン</t>
    </rPh>
    <phoneticPr fontId="28"/>
  </si>
  <si>
    <t>基本加算分３</t>
    <rPh sb="0" eb="2">
      <t>キホン</t>
    </rPh>
    <rPh sb="2" eb="4">
      <t>カサン</t>
    </rPh>
    <rPh sb="4" eb="5">
      <t>ブン</t>
    </rPh>
    <phoneticPr fontId="28"/>
  </si>
  <si>
    <t>一般加算分２</t>
    <rPh sb="0" eb="2">
      <t>イッパン</t>
    </rPh>
    <rPh sb="2" eb="4">
      <t>カサン</t>
    </rPh>
    <rPh sb="4" eb="5">
      <t>ブン</t>
    </rPh>
    <phoneticPr fontId="1"/>
  </si>
  <si>
    <t>特定加算分１</t>
    <rPh sb="0" eb="5">
      <t>トクテイカサンブン</t>
    </rPh>
    <phoneticPr fontId="28"/>
  </si>
  <si>
    <t>特定加算分２</t>
    <rPh sb="0" eb="5">
      <t>トクテイカサンブン</t>
    </rPh>
    <phoneticPr fontId="28"/>
  </si>
  <si>
    <t>千葉市施設型給付対象施設保育士等配置基準改善事業補助金</t>
    <rPh sb="20" eb="22">
      <t>カイゼン</t>
    </rPh>
    <rPh sb="22" eb="24">
      <t>ジギョウ</t>
    </rPh>
    <rPh sb="24" eb="27">
      <t>ホジョキン</t>
    </rPh>
    <phoneticPr fontId="1"/>
  </si>
  <si>
    <t>支出金精算書（概算払）</t>
    <phoneticPr fontId="15"/>
  </si>
  <si>
    <t>（あて先）　千葉市長</t>
    <rPh sb="3" eb="4">
      <t>サキ</t>
    </rPh>
    <rPh sb="6" eb="8">
      <t>チバ</t>
    </rPh>
    <rPh sb="8" eb="10">
      <t>シチョウ</t>
    </rPh>
    <phoneticPr fontId="15"/>
  </si>
  <si>
    <t>住　　　　　　　　所</t>
    <rPh sb="0" eb="1">
      <t>ジュウ</t>
    </rPh>
    <rPh sb="9" eb="10">
      <t>ショ</t>
    </rPh>
    <phoneticPr fontId="15"/>
  </si>
  <si>
    <t>（施設(園)名）</t>
    <rPh sb="1" eb="3">
      <t>シセツ</t>
    </rPh>
    <rPh sb="4" eb="5">
      <t>エン</t>
    </rPh>
    <rPh sb="6" eb="7">
      <t>メイ</t>
    </rPh>
    <rPh sb="7" eb="8">
      <t>ヤスナ</t>
    </rPh>
    <phoneticPr fontId="15"/>
  </si>
  <si>
    <t>下記の通り精算します。</t>
    <rPh sb="0" eb="2">
      <t>カキ</t>
    </rPh>
    <rPh sb="3" eb="4">
      <t>トオ</t>
    </rPh>
    <rPh sb="5" eb="7">
      <t>セイサン</t>
    </rPh>
    <phoneticPr fontId="15"/>
  </si>
  <si>
    <t>交付(受領)年月日</t>
    <rPh sb="0" eb="2">
      <t>コウフ</t>
    </rPh>
    <rPh sb="3" eb="5">
      <t>ジュリョウ</t>
    </rPh>
    <rPh sb="6" eb="9">
      <t>ネンガッピ</t>
    </rPh>
    <phoneticPr fontId="1"/>
  </si>
  <si>
    <t>①既交付額</t>
    <rPh sb="1" eb="2">
      <t>キ</t>
    </rPh>
    <rPh sb="2" eb="3">
      <t>コウ</t>
    </rPh>
    <rPh sb="3" eb="4">
      <t>ツキ</t>
    </rPh>
    <rPh sb="4" eb="5">
      <t>ガク</t>
    </rPh>
    <phoneticPr fontId="28"/>
  </si>
  <si>
    <t>②精算額</t>
    <rPh sb="1" eb="2">
      <t>セイ</t>
    </rPh>
    <rPh sb="2" eb="3">
      <t>サン</t>
    </rPh>
    <rPh sb="3" eb="4">
      <t>ガク</t>
    </rPh>
    <phoneticPr fontId="28"/>
  </si>
  <si>
    <r>
      <t xml:space="preserve">③差額（②-①）
</t>
    </r>
    <r>
      <rPr>
        <sz val="10"/>
        <color indexed="8"/>
        <rFont val="ＭＳ Ｐ明朝"/>
        <family val="1"/>
        <charset val="128"/>
      </rPr>
      <t>追給額（マイナスの場合戻入額）</t>
    </r>
    <rPh sb="1" eb="3">
      <t>サガク</t>
    </rPh>
    <rPh sb="9" eb="11">
      <t>ツイキュウ</t>
    </rPh>
    <rPh sb="11" eb="12">
      <t>ガク</t>
    </rPh>
    <rPh sb="18" eb="20">
      <t>バアイ</t>
    </rPh>
    <rPh sb="20" eb="22">
      <t>レイニュウ</t>
    </rPh>
    <rPh sb="22" eb="23">
      <t>ガク</t>
    </rPh>
    <phoneticPr fontId="28"/>
  </si>
  <si>
    <t>高齢者等活躍促進加算の該当者数</t>
    <rPh sb="0" eb="4">
      <t>コウレイシャナド</t>
    </rPh>
    <rPh sb="4" eb="6">
      <t>カツヤク</t>
    </rPh>
    <rPh sb="6" eb="8">
      <t>ソクシン</t>
    </rPh>
    <rPh sb="8" eb="10">
      <t>カサン</t>
    </rPh>
    <rPh sb="11" eb="13">
      <t>ガイトウ</t>
    </rPh>
    <rPh sb="13" eb="14">
      <t>シャ</t>
    </rPh>
    <rPh sb="14" eb="15">
      <t>スウ</t>
    </rPh>
    <phoneticPr fontId="1"/>
  </si>
  <si>
    <t>各職員が有する資格について、「有」を選択してください。
※Ｈ列「保育教諭」は保育士又は幼稚園教諭を有し、「保育教諭」に見なされる場合を含みます。
※一番左の欄の「職種」に関連する資格以外の資格については、Ｅｘｃｅｌの便宜上入力不要です。
例）職種が「保育士」の場合、「看護師」資格を有していても、この欄への記載は不要です。</t>
    <rPh sb="0" eb="3">
      <t>カクショクイン</t>
    </rPh>
    <rPh sb="4" eb="5">
      <t>ユウ</t>
    </rPh>
    <rPh sb="7" eb="9">
      <t>シカク</t>
    </rPh>
    <rPh sb="15" eb="16">
      <t>アリ</t>
    </rPh>
    <rPh sb="18" eb="20">
      <t>センタク</t>
    </rPh>
    <rPh sb="30" eb="31">
      <t>レツ</t>
    </rPh>
    <rPh sb="32" eb="34">
      <t>ホイク</t>
    </rPh>
    <rPh sb="34" eb="36">
      <t>キョウユ</t>
    </rPh>
    <rPh sb="38" eb="41">
      <t>ホイクシ</t>
    </rPh>
    <rPh sb="41" eb="42">
      <t>マタ</t>
    </rPh>
    <rPh sb="43" eb="46">
      <t>ヨウチエン</t>
    </rPh>
    <rPh sb="46" eb="48">
      <t>キョウユ</t>
    </rPh>
    <rPh sb="49" eb="50">
      <t>ユウ</t>
    </rPh>
    <rPh sb="53" eb="55">
      <t>ホイク</t>
    </rPh>
    <rPh sb="55" eb="57">
      <t>キョウユ</t>
    </rPh>
    <rPh sb="59" eb="60">
      <t>ミ</t>
    </rPh>
    <rPh sb="64" eb="66">
      <t>バアイ</t>
    </rPh>
    <rPh sb="67" eb="68">
      <t>フク</t>
    </rPh>
    <phoneticPr fontId="1"/>
  </si>
  <si>
    <t>別紙　千葉市施設型給付対象施設保育士等配置基準改善費算出内訳書</t>
    <rPh sb="0" eb="2">
      <t>ベッシ</t>
    </rPh>
    <rPh sb="3" eb="6">
      <t>チバシ</t>
    </rPh>
    <rPh sb="6" eb="9">
      <t>シセツガタ</t>
    </rPh>
    <rPh sb="9" eb="11">
      <t>キュウフ</t>
    </rPh>
    <rPh sb="11" eb="13">
      <t>タイショウ</t>
    </rPh>
    <rPh sb="13" eb="15">
      <t>シセツ</t>
    </rPh>
    <rPh sb="15" eb="18">
      <t>ホイクシ</t>
    </rPh>
    <rPh sb="18" eb="19">
      <t>トウ</t>
    </rPh>
    <rPh sb="19" eb="21">
      <t>ハイチ</t>
    </rPh>
    <rPh sb="21" eb="23">
      <t>キジュン</t>
    </rPh>
    <rPh sb="23" eb="25">
      <t>カイゼン</t>
    </rPh>
    <rPh sb="25" eb="26">
      <t>ヒ</t>
    </rPh>
    <rPh sb="26" eb="28">
      <t>サンシュツ</t>
    </rPh>
    <rPh sb="28" eb="31">
      <t>ウチワケショ</t>
    </rPh>
    <phoneticPr fontId="28"/>
  </si>
  <si>
    <t>調理員等</t>
    <rPh sb="0" eb="2">
      <t>チョウリ</t>
    </rPh>
    <rPh sb="2" eb="3">
      <t>イン</t>
    </rPh>
    <rPh sb="3" eb="4">
      <t>トウ</t>
    </rPh>
    <phoneticPr fontId="43"/>
  </si>
  <si>
    <t>事務員等</t>
    <rPh sb="0" eb="3">
      <t>ジムイン</t>
    </rPh>
    <rPh sb="3" eb="4">
      <t>トウ</t>
    </rPh>
    <phoneticPr fontId="43"/>
  </si>
  <si>
    <t>加算内容</t>
    <rPh sb="0" eb="2">
      <t>カサン</t>
    </rPh>
    <rPh sb="2" eb="4">
      <t>ナイヨウ</t>
    </rPh>
    <phoneticPr fontId="43"/>
  </si>
  <si>
    <t>合計</t>
    <rPh sb="0" eb="2">
      <t>ゴウケイ</t>
    </rPh>
    <phoneticPr fontId="43"/>
  </si>
  <si>
    <t>判定</t>
    <rPh sb="0" eb="2">
      <t>ハンテイ</t>
    </rPh>
    <phoneticPr fontId="43"/>
  </si>
  <si>
    <t>○</t>
    <phoneticPr fontId="43"/>
  </si>
  <si>
    <t>保育士</t>
    <rPh sb="0" eb="3">
      <t>ホイクシ</t>
    </rPh>
    <phoneticPr fontId="43"/>
  </si>
  <si>
    <t>要件緩和</t>
    <rPh sb="0" eb="2">
      <t>ヨウケン</t>
    </rPh>
    <rPh sb="2" eb="4">
      <t>カンワ</t>
    </rPh>
    <phoneticPr fontId="43"/>
  </si>
  <si>
    <t>看護師</t>
    <rPh sb="0" eb="3">
      <t>カンゴシ</t>
    </rPh>
    <phoneticPr fontId="43"/>
  </si>
  <si>
    <t>定数</t>
    <rPh sb="0" eb="2">
      <t>テイスウ</t>
    </rPh>
    <phoneticPr fontId="43"/>
  </si>
  <si>
    <t>配置</t>
    <rPh sb="0" eb="2">
      <t>ハイチ</t>
    </rPh>
    <phoneticPr fontId="43"/>
  </si>
  <si>
    <t>加配</t>
    <rPh sb="0" eb="2">
      <t>カハイ</t>
    </rPh>
    <phoneticPr fontId="43"/>
  </si>
  <si>
    <t>基本１</t>
    <rPh sb="0" eb="2">
      <t>キホン</t>
    </rPh>
    <phoneticPr fontId="43"/>
  </si>
  <si>
    <t>基本２</t>
    <rPh sb="0" eb="2">
      <t>キホン</t>
    </rPh>
    <phoneticPr fontId="43"/>
  </si>
  <si>
    <t>基本３</t>
    <rPh sb="0" eb="2">
      <t>キホン</t>
    </rPh>
    <phoneticPr fontId="43"/>
  </si>
  <si>
    <t>一般１</t>
    <rPh sb="0" eb="2">
      <t>イッパン</t>
    </rPh>
    <phoneticPr fontId="43"/>
  </si>
  <si>
    <t>一般２</t>
    <rPh sb="0" eb="2">
      <t>イッパン</t>
    </rPh>
    <phoneticPr fontId="43"/>
  </si>
  <si>
    <t>特定２</t>
    <rPh sb="0" eb="2">
      <t>トクテイ</t>
    </rPh>
    <phoneticPr fontId="43"/>
  </si>
  <si>
    <t>４月</t>
  </si>
  <si>
    <t>５月</t>
    <rPh sb="1" eb="2">
      <t>ガツ</t>
    </rPh>
    <phoneticPr fontId="43"/>
  </si>
  <si>
    <t>６月</t>
  </si>
  <si>
    <t>７月</t>
  </si>
  <si>
    <t>８月</t>
  </si>
  <si>
    <t>９月</t>
  </si>
  <si>
    <t>１０月</t>
  </si>
  <si>
    <t>１１月</t>
  </si>
  <si>
    <t>１２月</t>
  </si>
  <si>
    <t>１月</t>
  </si>
  <si>
    <t>２月</t>
  </si>
  <si>
    <t>３月</t>
  </si>
  <si>
    <t>2歳
(満3歳含む)</t>
    <rPh sb="1" eb="2">
      <t>サイ</t>
    </rPh>
    <rPh sb="4" eb="5">
      <t>マン</t>
    </rPh>
    <rPh sb="6" eb="7">
      <t>サイ</t>
    </rPh>
    <rPh sb="7" eb="8">
      <t>フク</t>
    </rPh>
    <phoneticPr fontId="15"/>
  </si>
  <si>
    <t>調理員等</t>
    <rPh sb="0" eb="2">
      <t>チョウリ</t>
    </rPh>
    <rPh sb="2" eb="3">
      <t>イン</t>
    </rPh>
    <rPh sb="3" eb="4">
      <t>トウ</t>
    </rPh>
    <phoneticPr fontId="1"/>
  </si>
  <si>
    <t>事務員等</t>
    <rPh sb="0" eb="3">
      <t>ジムイン</t>
    </rPh>
    <rPh sb="3" eb="4">
      <t>トウ</t>
    </rPh>
    <phoneticPr fontId="1"/>
  </si>
  <si>
    <t>高齢者等活躍促進加算</t>
    <phoneticPr fontId="1"/>
  </si>
  <si>
    <t>高齢者等活躍促進加算</t>
    <rPh sb="0" eb="3">
      <t>コウレイシャ</t>
    </rPh>
    <rPh sb="3" eb="4">
      <t>トウ</t>
    </rPh>
    <rPh sb="4" eb="6">
      <t>カツヤク</t>
    </rPh>
    <rPh sb="6" eb="8">
      <t>ソクシン</t>
    </rPh>
    <rPh sb="8" eb="10">
      <t>カサン</t>
    </rPh>
    <phoneticPr fontId="15"/>
  </si>
  <si>
    <t>F5～Ｋ5セル</t>
    <phoneticPr fontId="1"/>
  </si>
  <si>
    <t>F列～Ｋ列の７行目以下の各セル</t>
    <rPh sb="1" eb="2">
      <t>レツ</t>
    </rPh>
    <rPh sb="4" eb="5">
      <t>レツ</t>
    </rPh>
    <rPh sb="7" eb="11">
      <t>ギョウメイカ</t>
    </rPh>
    <rPh sb="12" eb="13">
      <t>カク</t>
    </rPh>
    <phoneticPr fontId="1"/>
  </si>
  <si>
    <t>【入力用】　配置基準補助金入力データ</t>
    <rPh sb="1" eb="4">
      <t>ニュウリョクヨウ</t>
    </rPh>
    <rPh sb="6" eb="10">
      <t>ｋｊ</t>
    </rPh>
    <rPh sb="10" eb="13">
      <t>ホジョキン</t>
    </rPh>
    <rPh sb="13" eb="15">
      <t>ニュウリョク</t>
    </rPh>
    <phoneticPr fontId="1"/>
  </si>
  <si>
    <t>月</t>
    <rPh sb="0" eb="1">
      <t>ツキ</t>
    </rPh>
    <phoneticPr fontId="1"/>
  </si>
  <si>
    <t>保育士等（定数内）</t>
    <rPh sb="5" eb="7">
      <t>テイスウ</t>
    </rPh>
    <rPh sb="7" eb="8">
      <t>ナイ</t>
    </rPh>
    <phoneticPr fontId="1"/>
  </si>
  <si>
    <t>定数外</t>
    <rPh sb="0" eb="2">
      <t>テイスウ</t>
    </rPh>
    <rPh sb="2" eb="3">
      <t>ソト</t>
    </rPh>
    <phoneticPr fontId="1"/>
  </si>
  <si>
    <t>要件
緩和</t>
    <rPh sb="0" eb="2">
      <t>ヨウケン</t>
    </rPh>
    <rPh sb="3" eb="5">
      <t>カンワ</t>
    </rPh>
    <phoneticPr fontId="43"/>
  </si>
  <si>
    <t>要件</t>
    <rPh sb="0" eb="2">
      <t>ヨウケン</t>
    </rPh>
    <phoneticPr fontId="1"/>
  </si>
  <si>
    <t>看護</t>
    <rPh sb="0" eb="2">
      <t>カンゴ</t>
    </rPh>
    <phoneticPr fontId="1"/>
  </si>
  <si>
    <t>実雇用数
合計
（Ａ）</t>
    <rPh sb="0" eb="1">
      <t>ジツ</t>
    </rPh>
    <rPh sb="1" eb="3">
      <t>コヨウ</t>
    </rPh>
    <rPh sb="3" eb="4">
      <t>スウ</t>
    </rPh>
    <rPh sb="5" eb="7">
      <t>ゴウケイ</t>
    </rPh>
    <phoneticPr fontId="43"/>
  </si>
  <si>
    <t>最大
補助数
（Ｂ）</t>
    <rPh sb="0" eb="2">
      <t>サイダイ</t>
    </rPh>
    <rPh sb="3" eb="5">
      <t>ホジョ</t>
    </rPh>
    <rPh sb="5" eb="6">
      <t>スウ</t>
    </rPh>
    <phoneticPr fontId="1"/>
  </si>
  <si>
    <t>特定１
①</t>
    <rPh sb="0" eb="2">
      <t>トクテイ</t>
    </rPh>
    <phoneticPr fontId="43"/>
  </si>
  <si>
    <t>特定１
②</t>
    <rPh sb="0" eb="2">
      <t>トクテイ</t>
    </rPh>
    <phoneticPr fontId="43"/>
  </si>
  <si>
    <t>特定１
③</t>
    <rPh sb="0" eb="2">
      <t>トクテイ</t>
    </rPh>
    <phoneticPr fontId="43"/>
  </si>
  <si>
    <t>児童数</t>
    <rPh sb="0" eb="2">
      <t>ジドウ</t>
    </rPh>
    <rPh sb="2" eb="3">
      <t>スウ</t>
    </rPh>
    <phoneticPr fontId="1"/>
  </si>
  <si>
    <t>最大補助数</t>
    <rPh sb="0" eb="2">
      <t>サイダイ</t>
    </rPh>
    <rPh sb="2" eb="4">
      <t>ホジョ</t>
    </rPh>
    <rPh sb="4" eb="5">
      <t>スウ</t>
    </rPh>
    <phoneticPr fontId="1"/>
  </si>
  <si>
    <t>特定加算分２の判定</t>
    <rPh sb="0" eb="2">
      <t>トクテイ</t>
    </rPh>
    <rPh sb="2" eb="4">
      <t>カサン</t>
    </rPh>
    <rPh sb="4" eb="5">
      <t>ブン</t>
    </rPh>
    <rPh sb="7" eb="9">
      <t>ハンテイ</t>
    </rPh>
    <phoneticPr fontId="1"/>
  </si>
  <si>
    <t>　</t>
    <phoneticPr fontId="1"/>
  </si>
  <si>
    <t>（画面上では黄色）の部分の入力をお願いします。</t>
    <rPh sb="1" eb="4">
      <t>ガメンジョウ</t>
    </rPh>
    <rPh sb="6" eb="8">
      <t>キイロ</t>
    </rPh>
    <rPh sb="10" eb="12">
      <t>ブブン</t>
    </rPh>
    <rPh sb="13" eb="15">
      <t>ニュウリョク</t>
    </rPh>
    <rPh sb="17" eb="18">
      <t>ネガ</t>
    </rPh>
    <phoneticPr fontId="15"/>
  </si>
  <si>
    <t>（画面上では水色）の部分は、「園毎の固有番号」に基づいて、千葉市が把握している情報が表示されます。
念のためご確認いただき、万が一誤りがあれば、関数の上からご修正ください。</t>
    <rPh sb="1" eb="4">
      <t>ガメンジョウ</t>
    </rPh>
    <rPh sb="6" eb="8">
      <t>ミズイロ</t>
    </rPh>
    <rPh sb="10" eb="12">
      <t>ブブン</t>
    </rPh>
    <phoneticPr fontId="15"/>
  </si>
  <si>
    <t>※該当箇所につきまして、いずれも3月は見込みでご記載ください。</t>
    <rPh sb="1" eb="3">
      <t>ガイトウ</t>
    </rPh>
    <rPh sb="3" eb="5">
      <t>カショ</t>
    </rPh>
    <rPh sb="17" eb="18">
      <t>ガツ</t>
    </rPh>
    <rPh sb="19" eb="21">
      <t>ミコ</t>
    </rPh>
    <rPh sb="24" eb="26">
      <t>キサイ</t>
    </rPh>
    <phoneticPr fontId="1"/>
  </si>
  <si>
    <t>２　参考資料</t>
    <rPh sb="2" eb="4">
      <t>サンコウ</t>
    </rPh>
    <rPh sb="4" eb="6">
      <t>シリョウ</t>
    </rPh>
    <phoneticPr fontId="1"/>
  </si>
  <si>
    <t>　各シートに記載の記載方法のほか、別途配布する留意事項も参考にしてください。</t>
    <rPh sb="1" eb="2">
      <t>カク</t>
    </rPh>
    <rPh sb="6" eb="8">
      <t>キサイ</t>
    </rPh>
    <rPh sb="9" eb="11">
      <t>キサイ</t>
    </rPh>
    <rPh sb="11" eb="13">
      <t>ホウホウ</t>
    </rPh>
    <rPh sb="17" eb="19">
      <t>ベット</t>
    </rPh>
    <rPh sb="19" eb="21">
      <t>ハイフ</t>
    </rPh>
    <rPh sb="23" eb="25">
      <t>リュウイ</t>
    </rPh>
    <rPh sb="25" eb="27">
      <t>ジコウ</t>
    </rPh>
    <rPh sb="28" eb="30">
      <t>サンコウ</t>
    </rPh>
    <phoneticPr fontId="1"/>
  </si>
  <si>
    <t>３　提出期限</t>
    <rPh sb="2" eb="4">
      <t>テイシュツ</t>
    </rPh>
    <rPh sb="4" eb="6">
      <t>キゲン</t>
    </rPh>
    <phoneticPr fontId="1"/>
  </si>
  <si>
    <t>データを提出いただき、内容確認後に別途紙提出のご連絡をいたしますので、幼保運営課からの連絡をお待ちください。</t>
    <rPh sb="4" eb="6">
      <t>テイシュツ</t>
    </rPh>
    <rPh sb="11" eb="13">
      <t>ナイヨウ</t>
    </rPh>
    <rPh sb="13" eb="15">
      <t>カクニン</t>
    </rPh>
    <rPh sb="15" eb="16">
      <t>ノチ</t>
    </rPh>
    <rPh sb="17" eb="19">
      <t>ベット</t>
    </rPh>
    <rPh sb="19" eb="20">
      <t>カミ</t>
    </rPh>
    <rPh sb="20" eb="22">
      <t>テイシュツ</t>
    </rPh>
    <rPh sb="24" eb="26">
      <t>レンラク</t>
    </rPh>
    <rPh sb="35" eb="40">
      <t>ヨウホ</t>
    </rPh>
    <rPh sb="43" eb="45">
      <t>レンラク</t>
    </rPh>
    <rPh sb="47" eb="48">
      <t>マ</t>
    </rPh>
    <phoneticPr fontId="1"/>
  </si>
  <si>
    <r>
      <t>　※紙提出の際は、</t>
    </r>
    <r>
      <rPr>
        <u val="double"/>
        <sz val="14"/>
        <rFont val="HG丸ｺﾞｼｯｸM-PRO"/>
        <family val="3"/>
        <charset val="128"/>
      </rPr>
      <t>代表者印を押印したもの</t>
    </r>
    <r>
      <rPr>
        <sz val="14"/>
        <rFont val="HG丸ｺﾞｼｯｸM-PRO"/>
        <family val="3"/>
        <charset val="128"/>
      </rPr>
      <t>を提出いただきます。</t>
    </r>
    <rPh sb="2" eb="3">
      <t>カミ</t>
    </rPh>
    <rPh sb="3" eb="5">
      <t>テイシュツ</t>
    </rPh>
    <rPh sb="6" eb="7">
      <t>サイ</t>
    </rPh>
    <rPh sb="9" eb="11">
      <t>ダイヒョウ</t>
    </rPh>
    <rPh sb="11" eb="12">
      <t>シャ</t>
    </rPh>
    <rPh sb="12" eb="13">
      <t>イン</t>
    </rPh>
    <rPh sb="14" eb="16">
      <t>オウイン</t>
    </rPh>
    <rPh sb="21" eb="23">
      <t>テイシュツ</t>
    </rPh>
    <phoneticPr fontId="1"/>
  </si>
  <si>
    <t>キッズガード</t>
    <phoneticPr fontId="1"/>
  </si>
  <si>
    <t>宗教法人　日本聖公会横浜教区</t>
  </si>
  <si>
    <t>KFA44671</t>
  </si>
  <si>
    <t>（学）芦童学園</t>
  </si>
  <si>
    <t>千葉市花見川区さつきが丘２－１３</t>
  </si>
  <si>
    <t>芦谷　牧人</t>
  </si>
  <si>
    <t>幼保連携型認定こども園　ふたば保育園</t>
    <rPh sb="0" eb="2">
      <t>ヨウホ</t>
    </rPh>
    <rPh sb="2" eb="4">
      <t>レンケイ</t>
    </rPh>
    <rPh sb="4" eb="5">
      <t>ガタ</t>
    </rPh>
    <rPh sb="5" eb="7">
      <t>ニンテイ</t>
    </rPh>
    <rPh sb="10" eb="11">
      <t>エン</t>
    </rPh>
    <rPh sb="15" eb="18">
      <t>ホイクエン</t>
    </rPh>
    <phoneticPr fontId="4"/>
  </si>
  <si>
    <t>認定こども園　おゆみ野南幼稚園</t>
    <rPh sb="0" eb="2">
      <t>ニンテイ</t>
    </rPh>
    <rPh sb="5" eb="6">
      <t>エン</t>
    </rPh>
    <rPh sb="10" eb="11">
      <t>ノ</t>
    </rPh>
    <rPh sb="11" eb="12">
      <t>ミナミ</t>
    </rPh>
    <rPh sb="12" eb="15">
      <t>ヨウチエン</t>
    </rPh>
    <phoneticPr fontId="4"/>
  </si>
  <si>
    <t>千葉県千葉市緑区大金沢町３８１－１</t>
  </si>
  <si>
    <t>宇野　御本書</t>
  </si>
  <si>
    <t>【入力用】　配置基準補助金入力データ</t>
    <rPh sb="1" eb="4">
      <t>ニュウリョクヨウ</t>
    </rPh>
    <rPh sb="6" eb="8">
      <t>ハイチ</t>
    </rPh>
    <rPh sb="8" eb="10">
      <t>キジュン</t>
    </rPh>
    <rPh sb="10" eb="13">
      <t>ホジョキン</t>
    </rPh>
    <rPh sb="13" eb="15">
      <t>ニュウリョク</t>
    </rPh>
    <phoneticPr fontId="1"/>
  </si>
  <si>
    <t>　　　　　　↓　　幼保運営課職員が内容を確認し、各施設様へ連絡</t>
    <rPh sb="9" eb="14">
      <t>ヨウホ</t>
    </rPh>
    <rPh sb="14" eb="16">
      <t>ショクイン</t>
    </rPh>
    <rPh sb="17" eb="19">
      <t>ナイヨウ</t>
    </rPh>
    <rPh sb="20" eb="22">
      <t>カクニン</t>
    </rPh>
    <rPh sb="24" eb="25">
      <t>カク</t>
    </rPh>
    <rPh sb="25" eb="27">
      <t>シセツ</t>
    </rPh>
    <rPh sb="27" eb="28">
      <t>サマ</t>
    </rPh>
    <rPh sb="29" eb="31">
      <t>レンラク</t>
    </rPh>
    <phoneticPr fontId="1"/>
  </si>
  <si>
    <t>【実績報告時】</t>
    <rPh sb="1" eb="3">
      <t>ジッセキ</t>
    </rPh>
    <rPh sb="3" eb="5">
      <t>ホウコク</t>
    </rPh>
    <rPh sb="5" eb="6">
      <t>ジ</t>
    </rPh>
    <phoneticPr fontId="1"/>
  </si>
  <si>
    <t>【当初申請時】</t>
    <rPh sb="1" eb="3">
      <t>トウショ</t>
    </rPh>
    <rPh sb="3" eb="5">
      <t>シンセイ</t>
    </rPh>
    <rPh sb="5" eb="6">
      <t>ジ</t>
    </rPh>
    <phoneticPr fontId="1"/>
  </si>
  <si>
    <t>F5セル</t>
    <phoneticPr fontId="1"/>
  </si>
  <si>
    <t>F列の７行目以下の各セル</t>
    <rPh sb="1" eb="2">
      <t>レツ</t>
    </rPh>
    <rPh sb="4" eb="8">
      <t>ギョウメイカ</t>
    </rPh>
    <rPh sb="9" eb="10">
      <t>カク</t>
    </rPh>
    <phoneticPr fontId="1"/>
  </si>
  <si>
    <t>全て〇</t>
    <rPh sb="0" eb="1">
      <t>スベ</t>
    </rPh>
    <phoneticPr fontId="1"/>
  </si>
  <si>
    <t>基本１の入力なし</t>
    <rPh sb="0" eb="2">
      <t>キホン</t>
    </rPh>
    <rPh sb="4" eb="6">
      <t>ニュウリョク</t>
    </rPh>
    <phoneticPr fontId="1"/>
  </si>
  <si>
    <t>通常の月単価</t>
    <rPh sb="0" eb="2">
      <t>ツウジョウ</t>
    </rPh>
    <rPh sb="3" eb="4">
      <t>ツキ</t>
    </rPh>
    <rPh sb="4" eb="6">
      <t>タンカ</t>
    </rPh>
    <phoneticPr fontId="1"/>
  </si>
  <si>
    <t>要配慮が１</t>
    <rPh sb="0" eb="1">
      <t>ヨウ</t>
    </rPh>
    <rPh sb="1" eb="3">
      <t>ハイリョ</t>
    </rPh>
    <phoneticPr fontId="1"/>
  </si>
  <si>
    <t>基本１の入力</t>
    <rPh sb="0" eb="2">
      <t>キホン</t>
    </rPh>
    <rPh sb="4" eb="6">
      <t>ニュウリョク</t>
    </rPh>
    <phoneticPr fontId="1"/>
  </si>
  <si>
    <t>それ以外ない</t>
    <rPh sb="2" eb="4">
      <t>イガイ</t>
    </rPh>
    <phoneticPr fontId="1"/>
  </si>
  <si>
    <t>栄養管理加算を除いた場合の月の単価</t>
    <rPh sb="0" eb="2">
      <t>エイヨウ</t>
    </rPh>
    <rPh sb="2" eb="4">
      <t>カンリ</t>
    </rPh>
    <rPh sb="4" eb="6">
      <t>カサン</t>
    </rPh>
    <rPh sb="7" eb="8">
      <t>ノゾ</t>
    </rPh>
    <rPh sb="10" eb="12">
      <t>バアイ</t>
    </rPh>
    <rPh sb="13" eb="14">
      <t>ツキ</t>
    </rPh>
    <rPh sb="15" eb="17">
      <t>タンカ</t>
    </rPh>
    <phoneticPr fontId="1"/>
  </si>
  <si>
    <t>カウント</t>
    <phoneticPr fontId="1"/>
  </si>
  <si>
    <t>保育士等の合計</t>
    <rPh sb="0" eb="3">
      <t>ホイクシ</t>
    </rPh>
    <rPh sb="3" eb="4">
      <t>トウ</t>
    </rPh>
    <rPh sb="5" eb="7">
      <t>ゴウケイ</t>
    </rPh>
    <phoneticPr fontId="1"/>
  </si>
  <si>
    <t>戻入額</t>
    <rPh sb="0" eb="2">
      <t>レイニュウ</t>
    </rPh>
    <rPh sb="2" eb="3">
      <t>ガク</t>
    </rPh>
    <phoneticPr fontId="1"/>
  </si>
  <si>
    <t>配置基準補助金　第2期分割請求の可否確認データ</t>
    <rPh sb="0" eb="4">
      <t>ｋｊ</t>
    </rPh>
    <rPh sb="4" eb="7">
      <t>ホジョキン</t>
    </rPh>
    <rPh sb="8" eb="9">
      <t>ダイ</t>
    </rPh>
    <rPh sb="10" eb="11">
      <t>キ</t>
    </rPh>
    <rPh sb="11" eb="13">
      <t>ブンカツ</t>
    </rPh>
    <rPh sb="13" eb="15">
      <t>セイキュウ</t>
    </rPh>
    <rPh sb="16" eb="18">
      <t>カヒ</t>
    </rPh>
    <rPh sb="18" eb="20">
      <t>カクニン</t>
    </rPh>
    <phoneticPr fontId="1"/>
  </si>
  <si>
    <r>
      <rPr>
        <b/>
        <sz val="14"/>
        <rFont val="HG丸ｺﾞｼｯｸM-PRO"/>
        <family val="3"/>
        <charset val="128"/>
      </rPr>
      <t>【概要】</t>
    </r>
    <r>
      <rPr>
        <b/>
        <sz val="12"/>
        <rFont val="HG丸ｺﾞｼｯｸM-PRO"/>
        <family val="3"/>
        <charset val="128"/>
      </rPr>
      <t xml:space="preserve">
■第二期の分割請求を希望</t>
    </r>
    <r>
      <rPr>
        <b/>
        <u/>
        <sz val="12"/>
        <rFont val="HG丸ｺﾞｼｯｸM-PRO"/>
        <family val="3"/>
        <charset val="128"/>
      </rPr>
      <t>しない</t>
    </r>
    <r>
      <rPr>
        <b/>
        <sz val="12"/>
        <rFont val="HG丸ｺﾞｼｯｸM-PRO"/>
        <family val="3"/>
        <charset val="128"/>
      </rPr>
      <t xml:space="preserve">場合
</t>
    </r>
    <r>
      <rPr>
        <sz val="12"/>
        <rFont val="HG丸ｺﾞｼｯｸM-PRO"/>
        <family val="3"/>
        <charset val="128"/>
      </rPr>
      <t>　</t>
    </r>
    <r>
      <rPr>
        <b/>
        <sz val="12"/>
        <color rgb="FFFF0000"/>
        <rFont val="HG丸ｺﾞｼｯｸM-PRO"/>
        <family val="3"/>
        <charset val="128"/>
      </rPr>
      <t>このExcelは入力不要</t>
    </r>
    <r>
      <rPr>
        <sz val="12"/>
        <rFont val="HG丸ｺﾞｼｯｸM-PRO"/>
        <family val="3"/>
        <charset val="128"/>
      </rPr>
      <t xml:space="preserve">です（特段の作業は発生しません）。
</t>
    </r>
    <r>
      <rPr>
        <b/>
        <sz val="12"/>
        <rFont val="HG丸ｺﾞｼｯｸM-PRO"/>
        <family val="3"/>
        <charset val="128"/>
      </rPr>
      <t>■第二期の分割請求を希望</t>
    </r>
    <r>
      <rPr>
        <b/>
        <u/>
        <sz val="12"/>
        <rFont val="HG丸ｺﾞｼｯｸM-PRO"/>
        <family val="3"/>
        <charset val="128"/>
      </rPr>
      <t>する</t>
    </r>
    <r>
      <rPr>
        <b/>
        <sz val="12"/>
        <rFont val="HG丸ｺﾞｼｯｸM-PRO"/>
        <family val="3"/>
        <charset val="128"/>
      </rPr>
      <t>場合</t>
    </r>
    <r>
      <rPr>
        <sz val="12"/>
        <rFont val="HG丸ｺﾞｼｯｸM-PRO"/>
        <family val="3"/>
        <charset val="128"/>
      </rPr>
      <t xml:space="preserve">
　①～⑨のシートを入力の上、</t>
    </r>
    <r>
      <rPr>
        <b/>
        <sz val="12"/>
        <color rgb="FFFF0000"/>
        <rFont val="HG丸ｺﾞｼｯｸM-PRO"/>
        <family val="3"/>
        <charset val="128"/>
      </rPr>
      <t>「様式３（一番右のシート）」の１７行目</t>
    </r>
    <r>
      <rPr>
        <sz val="12"/>
        <rFont val="HG丸ｺﾞｼｯｸM-PRO"/>
        <family val="3"/>
        <charset val="128"/>
      </rPr>
      <t>をご確認ください。
　→　特にメッセージが無ければ、第２期の分割請求が可能です。
　　　このエクセルをメールにて提出の上、「様式３」を印刷・押印の上、ご郵送ください
　　　（詳細は「様式３」シート欄外参照）。
　→　メッセージが表示された場合は、戻入の可能性があるため、第２期の分割請求は不可です。
　　　（メッセージが表示されるものの、当初交付申請時（令和５年４月～５月）の当課との
　　　　やり取りを踏まえ、戻入の可能性がないと思われる場合は、データを送付の上、
　　　　お電話等でご相談ください。）</t>
    </r>
    <rPh sb="1" eb="3">
      <t>ガイヨウ</t>
    </rPh>
    <rPh sb="12" eb="14">
      <t>セイキュウ</t>
    </rPh>
    <rPh sb="32" eb="34">
      <t>ニュウリョク</t>
    </rPh>
    <rPh sb="34" eb="36">
      <t>フヨウ</t>
    </rPh>
    <rPh sb="39" eb="41">
      <t>トクダン</t>
    </rPh>
    <rPh sb="42" eb="44">
      <t>サギョウ</t>
    </rPh>
    <rPh sb="45" eb="47">
      <t>ハッセイ</t>
    </rPh>
    <rPh sb="62" eb="64">
      <t>セイキュウ</t>
    </rPh>
    <rPh sb="81" eb="83">
      <t>ニュウリョク</t>
    </rPh>
    <rPh sb="84" eb="85">
      <t>ウエ</t>
    </rPh>
    <rPh sb="87" eb="89">
      <t>ヨウシキ</t>
    </rPh>
    <rPh sb="91" eb="93">
      <t>イチバン</t>
    </rPh>
    <rPh sb="93" eb="94">
      <t>ミギ</t>
    </rPh>
    <rPh sb="103" eb="105">
      <t>ギョウメ</t>
    </rPh>
    <rPh sb="107" eb="109">
      <t>カクニン</t>
    </rPh>
    <rPh sb="219" eb="221">
      <t>ヒョウジ</t>
    </rPh>
    <rPh sb="224" eb="226">
      <t>バアイ</t>
    </rPh>
    <rPh sb="228" eb="230">
      <t>レイニュウ</t>
    </rPh>
    <rPh sb="231" eb="234">
      <t>カノウセイ</t>
    </rPh>
    <rPh sb="249" eb="251">
      <t>フカ</t>
    </rPh>
    <phoneticPr fontId="1"/>
  </si>
  <si>
    <t>※該当箇所につきまして、いずれも10月以降は9月の数字が反映されます。</t>
    <rPh sb="1" eb="3">
      <t>ガイトウ</t>
    </rPh>
    <rPh sb="3" eb="5">
      <t>カショ</t>
    </rPh>
    <rPh sb="18" eb="19">
      <t>ガツ</t>
    </rPh>
    <rPh sb="19" eb="21">
      <t>イコウ</t>
    </rPh>
    <rPh sb="23" eb="24">
      <t>ガツ</t>
    </rPh>
    <rPh sb="25" eb="27">
      <t>スウジ</t>
    </rPh>
    <rPh sb="28" eb="30">
      <t>ハンエイ</t>
    </rPh>
    <phoneticPr fontId="1"/>
  </si>
  <si>
    <t>２　第二期の分割請求を行う場合の提出期限</t>
    <rPh sb="2" eb="3">
      <t>ダイ</t>
    </rPh>
    <rPh sb="3" eb="5">
      <t>ニキ</t>
    </rPh>
    <rPh sb="6" eb="8">
      <t>ブンカツ</t>
    </rPh>
    <rPh sb="8" eb="10">
      <t>セイキュウ</t>
    </rPh>
    <rPh sb="11" eb="12">
      <t>オコナ</t>
    </rPh>
    <rPh sb="13" eb="15">
      <t>バアイ</t>
    </rPh>
    <rPh sb="16" eb="18">
      <t>テイシュツ</t>
    </rPh>
    <rPh sb="18" eb="20">
      <t>キゲン</t>
    </rPh>
    <phoneticPr fontId="1"/>
  </si>
  <si>
    <t>　　令和２年3月16日（月）　　　</t>
    <rPh sb="2" eb="4">
      <t>レイワ</t>
    </rPh>
    <rPh sb="5" eb="6">
      <t>ネン</t>
    </rPh>
    <rPh sb="7" eb="8">
      <t>ガツ</t>
    </rPh>
    <rPh sb="10" eb="11">
      <t>ニチ</t>
    </rPh>
    <rPh sb="12" eb="13">
      <t>ゲツ</t>
    </rPh>
    <phoneticPr fontId="1"/>
  </si>
  <si>
    <r>
      <t>※様式第４号、６号、８号について、万一訂正があった際には至急差し替えをお願いすることとなります（</t>
    </r>
    <r>
      <rPr>
        <u val="double"/>
        <sz val="12"/>
        <color rgb="FFFF0000"/>
        <rFont val="HG丸ｺﾞｼｯｸM-PRO"/>
        <family val="3"/>
        <charset val="128"/>
      </rPr>
      <t>最悪、当日中に対応いただきま</t>
    </r>
    <r>
      <rPr>
        <sz val="12"/>
        <color rgb="FFFF0000"/>
        <rFont val="HG丸ｺﾞｼｯｸM-PRO"/>
        <family val="3"/>
        <charset val="128"/>
      </rPr>
      <t>す</t>
    </r>
    <r>
      <rPr>
        <sz val="12"/>
        <rFont val="HG丸ｺﾞｼｯｸM-PRO"/>
        <family val="3"/>
        <charset val="128"/>
      </rPr>
      <t>）。
　代表者印押印に時間を要する場合などには、事前に押印を手配する等、対応（準備）をお願いします。
　なお、様式第4号、６号、８号の提出が遅れる場合、補助金の支給が出来かねることがありますので、ご注意ください。</t>
    </r>
    <rPh sb="17" eb="19">
      <t>マンイチ</t>
    </rPh>
    <rPh sb="19" eb="21">
      <t>テイセイ</t>
    </rPh>
    <rPh sb="25" eb="26">
      <t>サイ</t>
    </rPh>
    <rPh sb="28" eb="30">
      <t>シキュウ</t>
    </rPh>
    <rPh sb="30" eb="31">
      <t>サ</t>
    </rPh>
    <rPh sb="32" eb="33">
      <t>カ</t>
    </rPh>
    <rPh sb="36" eb="37">
      <t>ネガ</t>
    </rPh>
    <rPh sb="48" eb="50">
      <t>サイアク</t>
    </rPh>
    <rPh sb="51" eb="54">
      <t>トウジツチュウ</t>
    </rPh>
    <rPh sb="55" eb="57">
      <t>タイオウ</t>
    </rPh>
    <rPh sb="67" eb="69">
      <t>ダイヒョウ</t>
    </rPh>
    <rPh sb="69" eb="70">
      <t>モノ</t>
    </rPh>
    <rPh sb="70" eb="71">
      <t>イン</t>
    </rPh>
    <rPh sb="71" eb="73">
      <t>オウイン</t>
    </rPh>
    <rPh sb="74" eb="76">
      <t>ジカン</t>
    </rPh>
    <rPh sb="77" eb="78">
      <t>ヨウ</t>
    </rPh>
    <rPh sb="80" eb="82">
      <t>バアイ</t>
    </rPh>
    <rPh sb="87" eb="89">
      <t>ジゼン</t>
    </rPh>
    <rPh sb="90" eb="92">
      <t>オウイン</t>
    </rPh>
    <rPh sb="93" eb="95">
      <t>テハイ</t>
    </rPh>
    <rPh sb="97" eb="98">
      <t>ナド</t>
    </rPh>
    <rPh sb="99" eb="101">
      <t>タイオウ</t>
    </rPh>
    <rPh sb="102" eb="104">
      <t>ジュンビ</t>
    </rPh>
    <rPh sb="107" eb="108">
      <t>ネガ</t>
    </rPh>
    <rPh sb="118" eb="120">
      <t>ヨウシキ</t>
    </rPh>
    <rPh sb="120" eb="121">
      <t>ダイ</t>
    </rPh>
    <rPh sb="122" eb="123">
      <t>ゴウ</t>
    </rPh>
    <rPh sb="125" eb="126">
      <t>ゴウ</t>
    </rPh>
    <rPh sb="128" eb="129">
      <t>ゴウ</t>
    </rPh>
    <rPh sb="130" eb="132">
      <t>テイシュツ</t>
    </rPh>
    <rPh sb="133" eb="134">
      <t>オク</t>
    </rPh>
    <rPh sb="136" eb="138">
      <t>バアイ</t>
    </rPh>
    <rPh sb="139" eb="142">
      <t>ホジョキン</t>
    </rPh>
    <rPh sb="143" eb="145">
      <t>シキュウ</t>
    </rPh>
    <rPh sb="146" eb="148">
      <t>デキ</t>
    </rPh>
    <rPh sb="162" eb="164">
      <t>チュウイ</t>
    </rPh>
    <phoneticPr fontId="1"/>
  </si>
  <si>
    <t xml:space="preserve"> </t>
  </si>
  <si>
    <r>
      <t>（画面上では黄色）の部分のうち、</t>
    </r>
    <r>
      <rPr>
        <b/>
        <u val="double"/>
        <sz val="16"/>
        <color rgb="FFFF0000"/>
        <rFont val="HG丸ｺﾞｼｯｸM-PRO"/>
        <family val="3"/>
        <charset val="128"/>
      </rPr>
      <t>「4月～９月分」</t>
    </r>
    <r>
      <rPr>
        <sz val="14"/>
        <rFont val="HG丸ｺﾞｼｯｸM-PRO"/>
        <family val="3"/>
        <charset val="128"/>
      </rPr>
      <t>入力をお願いします。</t>
    </r>
    <rPh sb="1" eb="4">
      <t>ガメンジョウ</t>
    </rPh>
    <rPh sb="6" eb="8">
      <t>キイロ</t>
    </rPh>
    <rPh sb="10" eb="12">
      <t>ブブン</t>
    </rPh>
    <rPh sb="18" eb="19">
      <t>ガツ</t>
    </rPh>
    <rPh sb="21" eb="23">
      <t>ガツブン</t>
    </rPh>
    <rPh sb="24" eb="26">
      <t>ニュウリョク</t>
    </rPh>
    <rPh sb="28" eb="29">
      <t>ネガ</t>
    </rPh>
    <phoneticPr fontId="15"/>
  </si>
  <si>
    <r>
      <t>※該当箇所につきまして、いずれも</t>
    </r>
    <r>
      <rPr>
        <u/>
        <sz val="16"/>
        <color rgb="FFFF0000"/>
        <rFont val="HGP創英角ﾎﾟｯﾌﾟ体"/>
        <family val="3"/>
        <charset val="128"/>
      </rPr>
      <t>入力日時点</t>
    </r>
    <r>
      <rPr>
        <sz val="12"/>
        <color rgb="FFFF0000"/>
        <rFont val="HGP創英角ﾎﾟｯﾌﾟ体"/>
        <family val="3"/>
        <charset val="128"/>
      </rPr>
      <t>の状況をご記載ください。</t>
    </r>
    <rPh sb="1" eb="3">
      <t>ガイトウ</t>
    </rPh>
    <rPh sb="3" eb="5">
      <t>カショ</t>
    </rPh>
    <rPh sb="16" eb="18">
      <t>ニュウリョク</t>
    </rPh>
    <rPh sb="18" eb="19">
      <t>ビ</t>
    </rPh>
    <rPh sb="19" eb="21">
      <t>ジテン</t>
    </rPh>
    <rPh sb="22" eb="24">
      <t>ジョウキョウ</t>
    </rPh>
    <rPh sb="26" eb="28">
      <t>キサイ</t>
    </rPh>
    <phoneticPr fontId="1"/>
  </si>
  <si>
    <t>２　提出期限</t>
    <rPh sb="2" eb="4">
      <t>テイシュツ</t>
    </rPh>
    <rPh sb="4" eb="6">
      <t>キゲン</t>
    </rPh>
    <phoneticPr fontId="1"/>
  </si>
  <si>
    <t>全ての補助有</t>
  </si>
  <si>
    <t>一般型・余裕活用型・-</t>
    <rPh sb="0" eb="3">
      <t>イッパンガタ</t>
    </rPh>
    <rPh sb="4" eb="6">
      <t>ヨユウ</t>
    </rPh>
    <rPh sb="6" eb="9">
      <t>カツヨウガタ</t>
    </rPh>
    <phoneticPr fontId="2"/>
  </si>
  <si>
    <t>有・無・-</t>
    <rPh sb="0" eb="1">
      <t>アリ</t>
    </rPh>
    <rPh sb="2" eb="3">
      <t>ナシ</t>
    </rPh>
    <phoneticPr fontId="2"/>
  </si>
  <si>
    <t>数字</t>
    <rPh sb="0" eb="2">
      <t>スウジ</t>
    </rPh>
    <phoneticPr fontId="2"/>
  </si>
  <si>
    <t>一時預かり実施形態（４月）</t>
    <rPh sb="0" eb="2">
      <t>イチジ</t>
    </rPh>
    <rPh sb="2" eb="3">
      <t>アズ</t>
    </rPh>
    <rPh sb="5" eb="7">
      <t>ジッシ</t>
    </rPh>
    <rPh sb="7" eb="9">
      <t>ケイタイ</t>
    </rPh>
    <rPh sb="11" eb="12">
      <t>ガツ</t>
    </rPh>
    <phoneticPr fontId="2"/>
  </si>
  <si>
    <t>一時預かり実施形態（５月）</t>
    <rPh sb="0" eb="2">
      <t>イチジ</t>
    </rPh>
    <rPh sb="2" eb="3">
      <t>アズ</t>
    </rPh>
    <rPh sb="5" eb="7">
      <t>ジッシ</t>
    </rPh>
    <rPh sb="7" eb="9">
      <t>ケイタイ</t>
    </rPh>
    <rPh sb="11" eb="12">
      <t>ガツ</t>
    </rPh>
    <phoneticPr fontId="2"/>
  </si>
  <si>
    <t>一時預かり実施形態（６月）</t>
    <rPh sb="0" eb="2">
      <t>イチジ</t>
    </rPh>
    <rPh sb="2" eb="3">
      <t>アズ</t>
    </rPh>
    <rPh sb="5" eb="7">
      <t>ジッシ</t>
    </rPh>
    <rPh sb="7" eb="9">
      <t>ケイタイ</t>
    </rPh>
    <rPh sb="11" eb="12">
      <t>ガツ</t>
    </rPh>
    <phoneticPr fontId="2"/>
  </si>
  <si>
    <t>一時預かり実施形態（７月）</t>
    <rPh sb="0" eb="2">
      <t>イチジ</t>
    </rPh>
    <rPh sb="2" eb="3">
      <t>アズ</t>
    </rPh>
    <rPh sb="5" eb="7">
      <t>ジッシ</t>
    </rPh>
    <rPh sb="7" eb="9">
      <t>ケイタイ</t>
    </rPh>
    <rPh sb="11" eb="12">
      <t>ガツ</t>
    </rPh>
    <phoneticPr fontId="2"/>
  </si>
  <si>
    <t>一時預かり実施形態（８月）</t>
    <rPh sb="0" eb="2">
      <t>イチジ</t>
    </rPh>
    <rPh sb="2" eb="3">
      <t>アズ</t>
    </rPh>
    <rPh sb="5" eb="7">
      <t>ジッシ</t>
    </rPh>
    <rPh sb="7" eb="9">
      <t>ケイタイ</t>
    </rPh>
    <rPh sb="11" eb="12">
      <t>ガツ</t>
    </rPh>
    <phoneticPr fontId="2"/>
  </si>
  <si>
    <t>一時預かり実施形態（９月）</t>
    <rPh sb="0" eb="2">
      <t>イチジ</t>
    </rPh>
    <rPh sb="2" eb="3">
      <t>アズ</t>
    </rPh>
    <rPh sb="5" eb="7">
      <t>ジッシ</t>
    </rPh>
    <rPh sb="7" eb="9">
      <t>ケイタイ</t>
    </rPh>
    <rPh sb="11" eb="12">
      <t>ガツ</t>
    </rPh>
    <phoneticPr fontId="2"/>
  </si>
  <si>
    <t>一時預かり実施形態（１０月）</t>
    <rPh sb="0" eb="2">
      <t>イチジ</t>
    </rPh>
    <rPh sb="2" eb="3">
      <t>アズ</t>
    </rPh>
    <rPh sb="5" eb="7">
      <t>ジッシ</t>
    </rPh>
    <rPh sb="7" eb="9">
      <t>ケイタイ</t>
    </rPh>
    <rPh sb="12" eb="13">
      <t>ガツ</t>
    </rPh>
    <phoneticPr fontId="2"/>
  </si>
  <si>
    <t>一時預かり実施形態（１１月）</t>
    <rPh sb="0" eb="2">
      <t>イチジ</t>
    </rPh>
    <rPh sb="2" eb="3">
      <t>アズ</t>
    </rPh>
    <rPh sb="5" eb="7">
      <t>ジッシ</t>
    </rPh>
    <rPh sb="7" eb="9">
      <t>ケイタイ</t>
    </rPh>
    <rPh sb="12" eb="13">
      <t>ガツ</t>
    </rPh>
    <phoneticPr fontId="2"/>
  </si>
  <si>
    <t>一時預かり実施形態（１２月）</t>
    <rPh sb="0" eb="2">
      <t>イチジ</t>
    </rPh>
    <rPh sb="2" eb="3">
      <t>アズ</t>
    </rPh>
    <rPh sb="5" eb="7">
      <t>ジッシ</t>
    </rPh>
    <rPh sb="7" eb="9">
      <t>ケイタイ</t>
    </rPh>
    <rPh sb="12" eb="13">
      <t>ガツ</t>
    </rPh>
    <phoneticPr fontId="2"/>
  </si>
  <si>
    <t>一時預かり実施形態（１月）</t>
    <rPh sb="0" eb="2">
      <t>イチジ</t>
    </rPh>
    <rPh sb="2" eb="3">
      <t>アズ</t>
    </rPh>
    <rPh sb="5" eb="7">
      <t>ジッシ</t>
    </rPh>
    <rPh sb="7" eb="9">
      <t>ケイタイ</t>
    </rPh>
    <rPh sb="11" eb="12">
      <t>ガツ</t>
    </rPh>
    <phoneticPr fontId="2"/>
  </si>
  <si>
    <t>一時預かり実施形態（２月）</t>
    <rPh sb="0" eb="2">
      <t>イチジ</t>
    </rPh>
    <rPh sb="2" eb="3">
      <t>アズ</t>
    </rPh>
    <rPh sb="5" eb="7">
      <t>ジッシ</t>
    </rPh>
    <rPh sb="7" eb="9">
      <t>ケイタイ</t>
    </rPh>
    <rPh sb="11" eb="12">
      <t>ガツ</t>
    </rPh>
    <phoneticPr fontId="2"/>
  </si>
  <si>
    <t>一時預かり実施形態（３月）</t>
    <rPh sb="0" eb="2">
      <t>イチジ</t>
    </rPh>
    <rPh sb="2" eb="3">
      <t>アズ</t>
    </rPh>
    <rPh sb="5" eb="7">
      <t>ジッシ</t>
    </rPh>
    <rPh sb="7" eb="9">
      <t>ケイタイ</t>
    </rPh>
    <rPh sb="11" eb="12">
      <t>ガツ</t>
    </rPh>
    <phoneticPr fontId="2"/>
  </si>
  <si>
    <t>1人加配の適用（一般型のみ・４月）</t>
    <rPh sb="1" eb="2">
      <t>ニン</t>
    </rPh>
    <rPh sb="2" eb="4">
      <t>カハイ</t>
    </rPh>
    <rPh sb="5" eb="7">
      <t>テキヨウ</t>
    </rPh>
    <rPh sb="8" eb="11">
      <t>イッパンガタ</t>
    </rPh>
    <rPh sb="15" eb="16">
      <t>ガツ</t>
    </rPh>
    <phoneticPr fontId="2"/>
  </si>
  <si>
    <t>1人加配の適用（一般型のみ・５月）</t>
    <rPh sb="1" eb="2">
      <t>ニン</t>
    </rPh>
    <rPh sb="2" eb="4">
      <t>カハイ</t>
    </rPh>
    <rPh sb="5" eb="7">
      <t>テキヨウ</t>
    </rPh>
    <rPh sb="8" eb="11">
      <t>イッパンガタ</t>
    </rPh>
    <rPh sb="15" eb="16">
      <t>ガツ</t>
    </rPh>
    <phoneticPr fontId="2"/>
  </si>
  <si>
    <t>1人加配の適用（一般型のみ・６月）</t>
    <rPh sb="1" eb="2">
      <t>ニン</t>
    </rPh>
    <rPh sb="2" eb="4">
      <t>カハイ</t>
    </rPh>
    <rPh sb="5" eb="7">
      <t>テキヨウ</t>
    </rPh>
    <rPh sb="8" eb="11">
      <t>イッパンガタ</t>
    </rPh>
    <rPh sb="15" eb="16">
      <t>ガツ</t>
    </rPh>
    <phoneticPr fontId="2"/>
  </si>
  <si>
    <t>1人加配の適用（一般型のみ・７月）</t>
    <rPh sb="1" eb="2">
      <t>ニン</t>
    </rPh>
    <rPh sb="2" eb="4">
      <t>カハイ</t>
    </rPh>
    <rPh sb="5" eb="7">
      <t>テキヨウ</t>
    </rPh>
    <rPh sb="8" eb="11">
      <t>イッパンガタ</t>
    </rPh>
    <rPh sb="15" eb="16">
      <t>ガツ</t>
    </rPh>
    <phoneticPr fontId="2"/>
  </si>
  <si>
    <t>1人加配の適用（一般型のみ・８月）</t>
    <rPh sb="1" eb="2">
      <t>ニン</t>
    </rPh>
    <rPh sb="2" eb="4">
      <t>カハイ</t>
    </rPh>
    <rPh sb="5" eb="7">
      <t>テキヨウ</t>
    </rPh>
    <rPh sb="8" eb="11">
      <t>イッパンガタ</t>
    </rPh>
    <rPh sb="15" eb="16">
      <t>ガツ</t>
    </rPh>
    <phoneticPr fontId="2"/>
  </si>
  <si>
    <t>1人加配の適用（一般型のみ・９月）</t>
    <rPh sb="1" eb="2">
      <t>ニン</t>
    </rPh>
    <rPh sb="2" eb="4">
      <t>カハイ</t>
    </rPh>
    <rPh sb="5" eb="7">
      <t>テキヨウ</t>
    </rPh>
    <rPh sb="8" eb="11">
      <t>イッパンガタ</t>
    </rPh>
    <rPh sb="15" eb="16">
      <t>ガツ</t>
    </rPh>
    <phoneticPr fontId="2"/>
  </si>
  <si>
    <t>1人加配の適用（一般型のみ・１０月）</t>
    <rPh sb="1" eb="2">
      <t>ニン</t>
    </rPh>
    <rPh sb="2" eb="4">
      <t>カハイ</t>
    </rPh>
    <rPh sb="5" eb="7">
      <t>テキヨウ</t>
    </rPh>
    <rPh sb="8" eb="11">
      <t>イッパンガタ</t>
    </rPh>
    <rPh sb="16" eb="17">
      <t>ガツ</t>
    </rPh>
    <phoneticPr fontId="2"/>
  </si>
  <si>
    <t>1人加配の適用（一般型のみ・１１月）</t>
    <rPh sb="1" eb="2">
      <t>ニン</t>
    </rPh>
    <rPh sb="2" eb="4">
      <t>カハイ</t>
    </rPh>
    <rPh sb="5" eb="7">
      <t>テキヨウ</t>
    </rPh>
    <rPh sb="8" eb="11">
      <t>イッパンガタ</t>
    </rPh>
    <rPh sb="16" eb="17">
      <t>ガツ</t>
    </rPh>
    <phoneticPr fontId="2"/>
  </si>
  <si>
    <t>1人加配の適用（一般型のみ・１２月）</t>
    <rPh sb="1" eb="2">
      <t>ニン</t>
    </rPh>
    <rPh sb="2" eb="4">
      <t>カハイ</t>
    </rPh>
    <rPh sb="5" eb="7">
      <t>テキヨウ</t>
    </rPh>
    <rPh sb="8" eb="11">
      <t>イッパンガタ</t>
    </rPh>
    <rPh sb="16" eb="17">
      <t>ガツ</t>
    </rPh>
    <phoneticPr fontId="2"/>
  </si>
  <si>
    <t>1人加配の適用（一般型のみ・１月）</t>
    <rPh sb="1" eb="2">
      <t>ニン</t>
    </rPh>
    <rPh sb="2" eb="4">
      <t>カハイ</t>
    </rPh>
    <rPh sb="5" eb="7">
      <t>テキヨウ</t>
    </rPh>
    <rPh sb="8" eb="11">
      <t>イッパンガタ</t>
    </rPh>
    <rPh sb="15" eb="16">
      <t>ガツ</t>
    </rPh>
    <phoneticPr fontId="2"/>
  </si>
  <si>
    <t>1人加配の適用（一般型のみ・２月）</t>
    <rPh sb="1" eb="2">
      <t>ニン</t>
    </rPh>
    <rPh sb="2" eb="4">
      <t>カハイ</t>
    </rPh>
    <rPh sb="5" eb="7">
      <t>テキヨウ</t>
    </rPh>
    <rPh sb="8" eb="11">
      <t>イッパンガタ</t>
    </rPh>
    <rPh sb="15" eb="16">
      <t>ガツ</t>
    </rPh>
    <phoneticPr fontId="2"/>
  </si>
  <si>
    <t>1人加配の適用（一般型のみ・３月）</t>
    <rPh sb="1" eb="2">
      <t>ニン</t>
    </rPh>
    <rPh sb="2" eb="4">
      <t>カハイ</t>
    </rPh>
    <rPh sb="5" eb="7">
      <t>テキヨウ</t>
    </rPh>
    <rPh sb="8" eb="11">
      <t>イッパンガタ</t>
    </rPh>
    <rPh sb="15" eb="16">
      <t>ガツ</t>
    </rPh>
    <phoneticPr fontId="2"/>
  </si>
  <si>
    <t>市要配慮(保育士)加配数
(4月）</t>
    <rPh sb="0" eb="1">
      <t>シ</t>
    </rPh>
    <rPh sb="1" eb="2">
      <t>ヨウ</t>
    </rPh>
    <rPh sb="2" eb="4">
      <t>ハイリョ</t>
    </rPh>
    <rPh sb="5" eb="8">
      <t>ホイクシ</t>
    </rPh>
    <rPh sb="9" eb="11">
      <t>カハイ</t>
    </rPh>
    <rPh sb="11" eb="12">
      <t>スウ</t>
    </rPh>
    <rPh sb="15" eb="16">
      <t>ガツ</t>
    </rPh>
    <phoneticPr fontId="2"/>
  </si>
  <si>
    <t>市要配慮(保育士)加配数
(5月）</t>
    <rPh sb="0" eb="1">
      <t>シ</t>
    </rPh>
    <rPh sb="1" eb="2">
      <t>ヨウ</t>
    </rPh>
    <rPh sb="2" eb="4">
      <t>ハイリョ</t>
    </rPh>
    <rPh sb="5" eb="8">
      <t>ホイクシ</t>
    </rPh>
    <rPh sb="9" eb="11">
      <t>カハイ</t>
    </rPh>
    <rPh sb="11" eb="12">
      <t>スウ</t>
    </rPh>
    <rPh sb="15" eb="16">
      <t>ガツ</t>
    </rPh>
    <phoneticPr fontId="2"/>
  </si>
  <si>
    <t>市要配慮(保育士)加配数
(6月）</t>
    <rPh sb="0" eb="1">
      <t>シ</t>
    </rPh>
    <rPh sb="1" eb="2">
      <t>ヨウ</t>
    </rPh>
    <rPh sb="2" eb="4">
      <t>ハイリョ</t>
    </rPh>
    <rPh sb="5" eb="8">
      <t>ホイクシ</t>
    </rPh>
    <rPh sb="9" eb="11">
      <t>カハイ</t>
    </rPh>
    <rPh sb="11" eb="12">
      <t>スウ</t>
    </rPh>
    <rPh sb="15" eb="16">
      <t>ガツ</t>
    </rPh>
    <phoneticPr fontId="2"/>
  </si>
  <si>
    <t>市要配慮(保育士)加配数
(7月）</t>
    <rPh sb="0" eb="1">
      <t>シ</t>
    </rPh>
    <rPh sb="1" eb="2">
      <t>ヨウ</t>
    </rPh>
    <rPh sb="2" eb="4">
      <t>ハイリョ</t>
    </rPh>
    <rPh sb="5" eb="8">
      <t>ホイクシ</t>
    </rPh>
    <rPh sb="9" eb="11">
      <t>カハイ</t>
    </rPh>
    <rPh sb="11" eb="12">
      <t>スウ</t>
    </rPh>
    <rPh sb="15" eb="16">
      <t>ガツ</t>
    </rPh>
    <phoneticPr fontId="2"/>
  </si>
  <si>
    <t>市要配慮(保育士)加配数
(8月）</t>
    <rPh sb="0" eb="1">
      <t>シ</t>
    </rPh>
    <rPh sb="1" eb="2">
      <t>ヨウ</t>
    </rPh>
    <rPh sb="2" eb="4">
      <t>ハイリョ</t>
    </rPh>
    <rPh sb="5" eb="8">
      <t>ホイクシ</t>
    </rPh>
    <rPh sb="9" eb="11">
      <t>カハイ</t>
    </rPh>
    <rPh sb="11" eb="12">
      <t>スウ</t>
    </rPh>
    <rPh sb="15" eb="16">
      <t>ガツ</t>
    </rPh>
    <phoneticPr fontId="2"/>
  </si>
  <si>
    <t>市要配慮(保育士)加配数
(9月）</t>
    <rPh sb="0" eb="1">
      <t>シ</t>
    </rPh>
    <rPh sb="1" eb="2">
      <t>ヨウ</t>
    </rPh>
    <rPh sb="2" eb="4">
      <t>ハイリョ</t>
    </rPh>
    <rPh sb="5" eb="8">
      <t>ホイクシ</t>
    </rPh>
    <rPh sb="9" eb="11">
      <t>カハイ</t>
    </rPh>
    <rPh sb="11" eb="12">
      <t>スウ</t>
    </rPh>
    <rPh sb="15" eb="16">
      <t>ガツ</t>
    </rPh>
    <phoneticPr fontId="2"/>
  </si>
  <si>
    <t>市要配慮(保育士)加配数
(10月）</t>
    <rPh sb="0" eb="1">
      <t>シ</t>
    </rPh>
    <rPh sb="1" eb="2">
      <t>ヨウ</t>
    </rPh>
    <rPh sb="2" eb="4">
      <t>ハイリョ</t>
    </rPh>
    <rPh sb="5" eb="8">
      <t>ホイクシ</t>
    </rPh>
    <rPh sb="9" eb="11">
      <t>カハイ</t>
    </rPh>
    <rPh sb="11" eb="12">
      <t>スウ</t>
    </rPh>
    <rPh sb="16" eb="17">
      <t>ガツ</t>
    </rPh>
    <phoneticPr fontId="2"/>
  </si>
  <si>
    <t>市要配慮(保育士)加配数
(11月）</t>
    <rPh sb="0" eb="1">
      <t>シ</t>
    </rPh>
    <rPh sb="1" eb="2">
      <t>ヨウ</t>
    </rPh>
    <rPh sb="2" eb="4">
      <t>ハイリョ</t>
    </rPh>
    <rPh sb="5" eb="8">
      <t>ホイクシ</t>
    </rPh>
    <rPh sb="9" eb="11">
      <t>カハイ</t>
    </rPh>
    <rPh sb="11" eb="12">
      <t>スウ</t>
    </rPh>
    <rPh sb="16" eb="17">
      <t>ガツ</t>
    </rPh>
    <phoneticPr fontId="2"/>
  </si>
  <si>
    <t>市要配慮(保育士)加配数
(12月）</t>
    <rPh sb="0" eb="1">
      <t>シ</t>
    </rPh>
    <rPh sb="1" eb="2">
      <t>ヨウ</t>
    </rPh>
    <rPh sb="2" eb="4">
      <t>ハイリョ</t>
    </rPh>
    <rPh sb="5" eb="8">
      <t>ホイクシ</t>
    </rPh>
    <rPh sb="9" eb="11">
      <t>カハイ</t>
    </rPh>
    <rPh sb="11" eb="12">
      <t>スウ</t>
    </rPh>
    <rPh sb="16" eb="17">
      <t>ガツ</t>
    </rPh>
    <phoneticPr fontId="2"/>
  </si>
  <si>
    <t>市要配慮(保育士)加配数
(1月）</t>
    <rPh sb="0" eb="1">
      <t>シ</t>
    </rPh>
    <rPh sb="1" eb="2">
      <t>ヨウ</t>
    </rPh>
    <rPh sb="2" eb="4">
      <t>ハイリョ</t>
    </rPh>
    <rPh sb="5" eb="8">
      <t>ホイクシ</t>
    </rPh>
    <rPh sb="9" eb="11">
      <t>カハイ</t>
    </rPh>
    <rPh sb="11" eb="12">
      <t>スウ</t>
    </rPh>
    <rPh sb="15" eb="16">
      <t>ガツ</t>
    </rPh>
    <phoneticPr fontId="2"/>
  </si>
  <si>
    <t>市要配慮(保育士)加配数
(2月）</t>
    <rPh sb="0" eb="1">
      <t>シ</t>
    </rPh>
    <rPh sb="1" eb="2">
      <t>ヨウ</t>
    </rPh>
    <rPh sb="2" eb="4">
      <t>ハイリョ</t>
    </rPh>
    <rPh sb="5" eb="8">
      <t>ホイクシ</t>
    </rPh>
    <rPh sb="9" eb="11">
      <t>カハイ</t>
    </rPh>
    <rPh sb="11" eb="12">
      <t>スウ</t>
    </rPh>
    <rPh sb="15" eb="16">
      <t>ガツ</t>
    </rPh>
    <phoneticPr fontId="2"/>
  </si>
  <si>
    <t>市要配慮(保育士)加配数
(3月）</t>
    <rPh sb="0" eb="1">
      <t>シ</t>
    </rPh>
    <rPh sb="1" eb="2">
      <t>ヨウ</t>
    </rPh>
    <rPh sb="2" eb="4">
      <t>ハイリョ</t>
    </rPh>
    <rPh sb="5" eb="8">
      <t>ホイクシ</t>
    </rPh>
    <rPh sb="9" eb="11">
      <t>カハイ</t>
    </rPh>
    <rPh sb="11" eb="12">
      <t>スウ</t>
    </rPh>
    <rPh sb="15" eb="16">
      <t>ガツ</t>
    </rPh>
    <phoneticPr fontId="2"/>
  </si>
  <si>
    <t>余裕活用型</t>
    <rPh sb="0" eb="2">
      <t>ヨユウ</t>
    </rPh>
    <rPh sb="2" eb="5">
      <t>カツヨウガタ</t>
    </rPh>
    <phoneticPr fontId="2"/>
  </si>
  <si>
    <t>一般型</t>
    <rPh sb="0" eb="3">
      <t>イッパンガタ</t>
    </rPh>
    <phoneticPr fontId="2"/>
  </si>
  <si>
    <t>有</t>
    <rPh sb="0" eb="1">
      <t>アリ</t>
    </rPh>
    <phoneticPr fontId="2"/>
  </si>
  <si>
    <t>無</t>
    <rPh sb="0" eb="1">
      <t>ナシ</t>
    </rPh>
    <phoneticPr fontId="2"/>
  </si>
  <si>
    <t>有・無</t>
    <rPh sb="0" eb="1">
      <t>アリ</t>
    </rPh>
    <rPh sb="2" eb="3">
      <t>ナシ</t>
    </rPh>
    <phoneticPr fontId="2"/>
  </si>
  <si>
    <t>増員・賃金改善・-</t>
    <rPh sb="0" eb="2">
      <t>ゾウイン</t>
    </rPh>
    <rPh sb="3" eb="5">
      <t>チンギン</t>
    </rPh>
    <rPh sb="5" eb="7">
      <t>カイゼン</t>
    </rPh>
    <phoneticPr fontId="2"/>
  </si>
  <si>
    <t>配置・兼務・嘱託</t>
    <rPh sb="0" eb="2">
      <t>ハイチ</t>
    </rPh>
    <rPh sb="3" eb="5">
      <t>ケンム</t>
    </rPh>
    <rPh sb="6" eb="8">
      <t>ショクタク</t>
    </rPh>
    <phoneticPr fontId="2"/>
  </si>
  <si>
    <t>医ケア児童数
(4月）</t>
    <rPh sb="0" eb="1">
      <t>イ</t>
    </rPh>
    <rPh sb="3" eb="5">
      <t>ジドウ</t>
    </rPh>
    <rPh sb="5" eb="6">
      <t>スウ</t>
    </rPh>
    <phoneticPr fontId="2"/>
  </si>
  <si>
    <t>医ケア児童数
(5月）</t>
    <rPh sb="0" eb="1">
      <t>イ</t>
    </rPh>
    <rPh sb="3" eb="5">
      <t>ジドウ</t>
    </rPh>
    <rPh sb="5" eb="6">
      <t>スウ</t>
    </rPh>
    <phoneticPr fontId="2"/>
  </si>
  <si>
    <t>医ケア児童数
(6月）</t>
    <rPh sb="0" eb="1">
      <t>イ</t>
    </rPh>
    <rPh sb="3" eb="5">
      <t>ジドウ</t>
    </rPh>
    <rPh sb="5" eb="6">
      <t>スウ</t>
    </rPh>
    <phoneticPr fontId="2"/>
  </si>
  <si>
    <t>医ケア児童数
(7月）</t>
    <rPh sb="0" eb="1">
      <t>イ</t>
    </rPh>
    <rPh sb="3" eb="5">
      <t>ジドウ</t>
    </rPh>
    <rPh sb="5" eb="6">
      <t>スウ</t>
    </rPh>
    <phoneticPr fontId="2"/>
  </si>
  <si>
    <t>医ケア児童数
(8月）</t>
    <rPh sb="0" eb="1">
      <t>イ</t>
    </rPh>
    <rPh sb="3" eb="5">
      <t>ジドウ</t>
    </rPh>
    <rPh sb="5" eb="6">
      <t>スウ</t>
    </rPh>
    <phoneticPr fontId="2"/>
  </si>
  <si>
    <t>医ケア児童数
(9月）</t>
    <rPh sb="0" eb="1">
      <t>イ</t>
    </rPh>
    <rPh sb="3" eb="5">
      <t>ジドウ</t>
    </rPh>
    <rPh sb="5" eb="6">
      <t>スウ</t>
    </rPh>
    <phoneticPr fontId="2"/>
  </si>
  <si>
    <t>医ケア児童数
(10月）</t>
    <rPh sb="0" eb="1">
      <t>イ</t>
    </rPh>
    <rPh sb="3" eb="5">
      <t>ジドウ</t>
    </rPh>
    <rPh sb="5" eb="6">
      <t>スウ</t>
    </rPh>
    <rPh sb="10" eb="11">
      <t>ガツ</t>
    </rPh>
    <phoneticPr fontId="2"/>
  </si>
  <si>
    <t>医ケア児童数
(11月）</t>
    <rPh sb="0" eb="1">
      <t>イ</t>
    </rPh>
    <rPh sb="3" eb="5">
      <t>ジドウ</t>
    </rPh>
    <rPh sb="5" eb="6">
      <t>スウ</t>
    </rPh>
    <rPh sb="10" eb="11">
      <t>ガツ</t>
    </rPh>
    <phoneticPr fontId="2"/>
  </si>
  <si>
    <t>医ケア児童数
(12月）</t>
    <rPh sb="0" eb="1">
      <t>イ</t>
    </rPh>
    <rPh sb="3" eb="5">
      <t>ジドウ</t>
    </rPh>
    <rPh sb="5" eb="6">
      <t>スウ</t>
    </rPh>
    <rPh sb="10" eb="11">
      <t>ガツ</t>
    </rPh>
    <phoneticPr fontId="2"/>
  </si>
  <si>
    <t>医ケア児童数
(1月）</t>
    <rPh sb="0" eb="1">
      <t>イ</t>
    </rPh>
    <rPh sb="3" eb="5">
      <t>ジドウ</t>
    </rPh>
    <rPh sb="5" eb="6">
      <t>スウ</t>
    </rPh>
    <rPh sb="9" eb="10">
      <t>ガツ</t>
    </rPh>
    <phoneticPr fontId="2"/>
  </si>
  <si>
    <t>医ケア児童数
(2月）</t>
    <rPh sb="0" eb="1">
      <t>イ</t>
    </rPh>
    <rPh sb="3" eb="5">
      <t>ジドウ</t>
    </rPh>
    <rPh sb="5" eb="6">
      <t>スウ</t>
    </rPh>
    <rPh sb="9" eb="10">
      <t>ガツ</t>
    </rPh>
    <phoneticPr fontId="2"/>
  </si>
  <si>
    <t>医ケア児童数
(3月）</t>
    <rPh sb="0" eb="1">
      <t>イ</t>
    </rPh>
    <rPh sb="3" eb="5">
      <t>ジドウ</t>
    </rPh>
    <rPh sb="5" eb="6">
      <t>スウ</t>
    </rPh>
    <rPh sb="9" eb="10">
      <t>ガツ</t>
    </rPh>
    <phoneticPr fontId="2"/>
  </si>
  <si>
    <t>地域子育て支援センター実施</t>
    <rPh sb="0" eb="2">
      <t>チイキ</t>
    </rPh>
    <rPh sb="2" eb="4">
      <t>コソダ</t>
    </rPh>
    <rPh sb="5" eb="7">
      <t>シエン</t>
    </rPh>
    <rPh sb="11" eb="13">
      <t>ジッシ</t>
    </rPh>
    <phoneticPr fontId="2"/>
  </si>
  <si>
    <t>高齢者等活躍促進加算該当者数</t>
    <rPh sb="0" eb="3">
      <t>コウレイシャ</t>
    </rPh>
    <rPh sb="3" eb="4">
      <t>トウ</t>
    </rPh>
    <rPh sb="4" eb="6">
      <t>カツヤク</t>
    </rPh>
    <rPh sb="6" eb="8">
      <t>ソクシン</t>
    </rPh>
    <rPh sb="8" eb="10">
      <t>カサン</t>
    </rPh>
    <rPh sb="10" eb="12">
      <t>ガイトウ</t>
    </rPh>
    <rPh sb="12" eb="13">
      <t>シャ</t>
    </rPh>
    <rPh sb="13" eb="14">
      <t>スウ</t>
    </rPh>
    <phoneticPr fontId="2"/>
  </si>
  <si>
    <t>主任保育士加算適用
（4月）</t>
    <rPh sb="0" eb="2">
      <t>シュニン</t>
    </rPh>
    <rPh sb="2" eb="5">
      <t>ホイクシ</t>
    </rPh>
    <rPh sb="5" eb="7">
      <t>カサン</t>
    </rPh>
    <rPh sb="7" eb="9">
      <t>テキヨウ</t>
    </rPh>
    <rPh sb="12" eb="13">
      <t>ガツ</t>
    </rPh>
    <phoneticPr fontId="2"/>
  </si>
  <si>
    <t>主任保育士加算適用
（5月）</t>
    <rPh sb="0" eb="2">
      <t>シュニン</t>
    </rPh>
    <rPh sb="2" eb="5">
      <t>ホイクシ</t>
    </rPh>
    <rPh sb="5" eb="7">
      <t>カサン</t>
    </rPh>
    <rPh sb="7" eb="9">
      <t>テキヨウ</t>
    </rPh>
    <rPh sb="12" eb="13">
      <t>ガツ</t>
    </rPh>
    <phoneticPr fontId="2"/>
  </si>
  <si>
    <t>主任保育士加算適用
（6月）</t>
    <rPh sb="0" eb="2">
      <t>シュニン</t>
    </rPh>
    <rPh sb="2" eb="5">
      <t>ホイクシ</t>
    </rPh>
    <rPh sb="5" eb="7">
      <t>カサン</t>
    </rPh>
    <rPh sb="7" eb="9">
      <t>テキヨウ</t>
    </rPh>
    <rPh sb="12" eb="13">
      <t>ガツ</t>
    </rPh>
    <phoneticPr fontId="2"/>
  </si>
  <si>
    <t>主任保育士加算適用
（7月）</t>
    <rPh sb="0" eb="2">
      <t>シュニン</t>
    </rPh>
    <rPh sb="2" eb="5">
      <t>ホイクシ</t>
    </rPh>
    <rPh sb="5" eb="7">
      <t>カサン</t>
    </rPh>
    <rPh sb="7" eb="9">
      <t>テキヨウ</t>
    </rPh>
    <rPh sb="12" eb="13">
      <t>ガツ</t>
    </rPh>
    <phoneticPr fontId="2"/>
  </si>
  <si>
    <t>主任保育士加算適用
（8月）</t>
    <rPh sb="0" eb="2">
      <t>シュニン</t>
    </rPh>
    <rPh sb="2" eb="5">
      <t>ホイクシ</t>
    </rPh>
    <rPh sb="5" eb="7">
      <t>カサン</t>
    </rPh>
    <rPh sb="7" eb="9">
      <t>テキヨウ</t>
    </rPh>
    <rPh sb="12" eb="13">
      <t>ガツ</t>
    </rPh>
    <phoneticPr fontId="2"/>
  </si>
  <si>
    <t>主任保育士加算適用
（9月）</t>
    <rPh sb="0" eb="2">
      <t>シュニン</t>
    </rPh>
    <rPh sb="2" eb="5">
      <t>ホイクシ</t>
    </rPh>
    <rPh sb="5" eb="7">
      <t>カサン</t>
    </rPh>
    <rPh sb="7" eb="9">
      <t>テキヨウ</t>
    </rPh>
    <rPh sb="12" eb="13">
      <t>ガツ</t>
    </rPh>
    <phoneticPr fontId="2"/>
  </si>
  <si>
    <t>主任保育士加算適用
（10月）</t>
    <rPh sb="0" eb="2">
      <t>シュニン</t>
    </rPh>
    <rPh sb="2" eb="5">
      <t>ホイクシ</t>
    </rPh>
    <rPh sb="5" eb="7">
      <t>カサン</t>
    </rPh>
    <rPh sb="7" eb="9">
      <t>テキヨウ</t>
    </rPh>
    <rPh sb="13" eb="14">
      <t>ガツ</t>
    </rPh>
    <phoneticPr fontId="2"/>
  </si>
  <si>
    <t>主任保育士加算適用
（11月）</t>
    <rPh sb="0" eb="2">
      <t>シュニン</t>
    </rPh>
    <rPh sb="2" eb="5">
      <t>ホイクシ</t>
    </rPh>
    <rPh sb="5" eb="7">
      <t>カサン</t>
    </rPh>
    <rPh sb="7" eb="9">
      <t>テキヨウ</t>
    </rPh>
    <rPh sb="13" eb="14">
      <t>ガツ</t>
    </rPh>
    <phoneticPr fontId="2"/>
  </si>
  <si>
    <t>主任保育士加算適用
（12月）</t>
    <rPh sb="0" eb="2">
      <t>シュニン</t>
    </rPh>
    <rPh sb="2" eb="5">
      <t>ホイクシ</t>
    </rPh>
    <rPh sb="5" eb="7">
      <t>カサン</t>
    </rPh>
    <rPh sb="7" eb="9">
      <t>テキヨウ</t>
    </rPh>
    <rPh sb="13" eb="14">
      <t>ガツ</t>
    </rPh>
    <phoneticPr fontId="2"/>
  </si>
  <si>
    <t>主任保育士加算適用
（1月）</t>
    <rPh sb="0" eb="2">
      <t>シュニン</t>
    </rPh>
    <rPh sb="2" eb="5">
      <t>ホイクシ</t>
    </rPh>
    <rPh sb="5" eb="7">
      <t>カサン</t>
    </rPh>
    <rPh sb="7" eb="9">
      <t>テキヨウ</t>
    </rPh>
    <rPh sb="12" eb="13">
      <t>ガツ</t>
    </rPh>
    <phoneticPr fontId="2"/>
  </si>
  <si>
    <t>主任保育士加算適用
（2月）</t>
    <rPh sb="0" eb="2">
      <t>シュニン</t>
    </rPh>
    <rPh sb="2" eb="5">
      <t>ホイクシ</t>
    </rPh>
    <rPh sb="5" eb="7">
      <t>カサン</t>
    </rPh>
    <rPh sb="7" eb="9">
      <t>テキヨウ</t>
    </rPh>
    <rPh sb="12" eb="13">
      <t>ガツ</t>
    </rPh>
    <phoneticPr fontId="2"/>
  </si>
  <si>
    <t>主任保育士加算適用
（3月）</t>
    <rPh sb="0" eb="2">
      <t>シュニン</t>
    </rPh>
    <rPh sb="2" eb="5">
      <t>ホイクシ</t>
    </rPh>
    <rPh sb="5" eb="7">
      <t>カサン</t>
    </rPh>
    <rPh sb="7" eb="9">
      <t>テキヨウ</t>
    </rPh>
    <rPh sb="12" eb="13">
      <t>ガツ</t>
    </rPh>
    <phoneticPr fontId="2"/>
  </si>
  <si>
    <t>チーム保育　適用内容
（4月）</t>
    <rPh sb="3" eb="5">
      <t>ホイク</t>
    </rPh>
    <rPh sb="6" eb="8">
      <t>テキヨウ</t>
    </rPh>
    <rPh sb="8" eb="10">
      <t>ナイヨウ</t>
    </rPh>
    <rPh sb="13" eb="14">
      <t>ガツ</t>
    </rPh>
    <phoneticPr fontId="2"/>
  </si>
  <si>
    <t>チーム保育　適用内容
（5月）</t>
    <rPh sb="3" eb="5">
      <t>ホイク</t>
    </rPh>
    <rPh sb="6" eb="8">
      <t>テキヨウ</t>
    </rPh>
    <rPh sb="13" eb="14">
      <t>ガツ</t>
    </rPh>
    <phoneticPr fontId="2"/>
  </si>
  <si>
    <t>チーム保育　適用内容
（6月）</t>
    <rPh sb="3" eb="5">
      <t>ホイク</t>
    </rPh>
    <rPh sb="6" eb="8">
      <t>テキヨウ</t>
    </rPh>
    <rPh sb="13" eb="14">
      <t>ガツ</t>
    </rPh>
    <phoneticPr fontId="2"/>
  </si>
  <si>
    <t>チーム保育　適用内容
（7月）</t>
    <rPh sb="3" eb="5">
      <t>ホイク</t>
    </rPh>
    <rPh sb="6" eb="8">
      <t>テキヨウ</t>
    </rPh>
    <rPh sb="13" eb="14">
      <t>ガツ</t>
    </rPh>
    <phoneticPr fontId="2"/>
  </si>
  <si>
    <t>チーム保育　適用内容
（8月）</t>
    <rPh sb="3" eb="5">
      <t>ホイク</t>
    </rPh>
    <rPh sb="6" eb="8">
      <t>テキヨウ</t>
    </rPh>
    <rPh sb="13" eb="14">
      <t>ガツ</t>
    </rPh>
    <phoneticPr fontId="2"/>
  </si>
  <si>
    <t>チーム保育　適用内容
（9月）</t>
    <rPh sb="3" eb="5">
      <t>ホイク</t>
    </rPh>
    <rPh sb="6" eb="8">
      <t>テキヨウ</t>
    </rPh>
    <rPh sb="13" eb="14">
      <t>ガツ</t>
    </rPh>
    <phoneticPr fontId="2"/>
  </si>
  <si>
    <t>チーム保育　適用内容
（10月）</t>
    <rPh sb="3" eb="5">
      <t>ホイク</t>
    </rPh>
    <rPh sb="6" eb="8">
      <t>テキヨウ</t>
    </rPh>
    <rPh sb="14" eb="15">
      <t>ガツ</t>
    </rPh>
    <phoneticPr fontId="2"/>
  </si>
  <si>
    <t>チーム保育　適用内容
（11月）</t>
    <rPh sb="3" eb="5">
      <t>ホイク</t>
    </rPh>
    <rPh sb="6" eb="8">
      <t>テキヨウ</t>
    </rPh>
    <rPh sb="14" eb="15">
      <t>ガツ</t>
    </rPh>
    <phoneticPr fontId="2"/>
  </si>
  <si>
    <t>チーム保育　適用内容
（12月）</t>
    <rPh sb="3" eb="5">
      <t>ホイク</t>
    </rPh>
    <rPh sb="6" eb="8">
      <t>テキヨウ</t>
    </rPh>
    <rPh sb="14" eb="15">
      <t>ガツ</t>
    </rPh>
    <phoneticPr fontId="2"/>
  </si>
  <si>
    <t>チーム保育　適用内容
（1月）</t>
    <rPh sb="3" eb="5">
      <t>ホイク</t>
    </rPh>
    <rPh sb="6" eb="8">
      <t>テキヨウ</t>
    </rPh>
    <rPh sb="13" eb="14">
      <t>ガツ</t>
    </rPh>
    <phoneticPr fontId="2"/>
  </si>
  <si>
    <t>チーム保育　適用内容
（2月）</t>
    <rPh sb="3" eb="5">
      <t>ホイク</t>
    </rPh>
    <rPh sb="6" eb="8">
      <t>テキヨウ</t>
    </rPh>
    <rPh sb="13" eb="14">
      <t>ガツ</t>
    </rPh>
    <phoneticPr fontId="2"/>
  </si>
  <si>
    <t>チーム保育　適用内容
（3月）</t>
    <rPh sb="3" eb="5">
      <t>ホイク</t>
    </rPh>
    <rPh sb="6" eb="8">
      <t>テキヨウ</t>
    </rPh>
    <rPh sb="13" eb="14">
      <t>ガツ</t>
    </rPh>
    <phoneticPr fontId="2"/>
  </si>
  <si>
    <t>３歳児配置改善　適用有無
（4月）</t>
    <rPh sb="1" eb="3">
      <t>サイジ</t>
    </rPh>
    <rPh sb="3" eb="5">
      <t>ハイチ</t>
    </rPh>
    <rPh sb="5" eb="7">
      <t>カイゼン</t>
    </rPh>
    <rPh sb="8" eb="10">
      <t>テキヨウ</t>
    </rPh>
    <rPh sb="10" eb="12">
      <t>ウム</t>
    </rPh>
    <rPh sb="15" eb="16">
      <t>ガツ</t>
    </rPh>
    <phoneticPr fontId="2"/>
  </si>
  <si>
    <t>３歳児配置改善　適用有無
（5月）</t>
    <rPh sb="1" eb="3">
      <t>サイジ</t>
    </rPh>
    <rPh sb="3" eb="5">
      <t>ハイチ</t>
    </rPh>
    <rPh sb="5" eb="7">
      <t>カイゼン</t>
    </rPh>
    <rPh sb="8" eb="10">
      <t>テキヨウ</t>
    </rPh>
    <rPh sb="10" eb="12">
      <t>ウム</t>
    </rPh>
    <rPh sb="15" eb="16">
      <t>ガツ</t>
    </rPh>
    <phoneticPr fontId="2"/>
  </si>
  <si>
    <t>３歳児配置改善　適用有無
（6月）</t>
    <rPh sb="1" eb="3">
      <t>サイジ</t>
    </rPh>
    <rPh sb="3" eb="5">
      <t>ハイチ</t>
    </rPh>
    <rPh sb="5" eb="7">
      <t>カイゼン</t>
    </rPh>
    <rPh sb="8" eb="10">
      <t>テキヨウ</t>
    </rPh>
    <rPh sb="10" eb="12">
      <t>ウム</t>
    </rPh>
    <rPh sb="15" eb="16">
      <t>ガツ</t>
    </rPh>
    <phoneticPr fontId="2"/>
  </si>
  <si>
    <t>３歳児配置改善　適用有無
（7月）</t>
    <rPh sb="1" eb="3">
      <t>サイジ</t>
    </rPh>
    <rPh sb="3" eb="5">
      <t>ハイチ</t>
    </rPh>
    <rPh sb="5" eb="7">
      <t>カイゼン</t>
    </rPh>
    <rPh sb="8" eb="10">
      <t>テキヨウ</t>
    </rPh>
    <rPh sb="10" eb="12">
      <t>ウム</t>
    </rPh>
    <rPh sb="15" eb="16">
      <t>ガツ</t>
    </rPh>
    <phoneticPr fontId="2"/>
  </si>
  <si>
    <t>３歳児配置改善　適用有無
（9月）</t>
    <rPh sb="1" eb="3">
      <t>サイジ</t>
    </rPh>
    <rPh sb="3" eb="5">
      <t>ハイチ</t>
    </rPh>
    <rPh sb="5" eb="7">
      <t>カイゼン</t>
    </rPh>
    <rPh sb="8" eb="10">
      <t>テキヨウ</t>
    </rPh>
    <rPh sb="10" eb="12">
      <t>ウム</t>
    </rPh>
    <rPh sb="15" eb="16">
      <t>ガツ</t>
    </rPh>
    <phoneticPr fontId="2"/>
  </si>
  <si>
    <t>３歳児配置改善　適用有無
（10月）</t>
    <rPh sb="1" eb="3">
      <t>サイジ</t>
    </rPh>
    <rPh sb="3" eb="5">
      <t>ハイチ</t>
    </rPh>
    <rPh sb="5" eb="7">
      <t>カイゼン</t>
    </rPh>
    <rPh sb="8" eb="10">
      <t>テキヨウ</t>
    </rPh>
    <rPh sb="10" eb="12">
      <t>ウム</t>
    </rPh>
    <rPh sb="16" eb="17">
      <t>ガツ</t>
    </rPh>
    <phoneticPr fontId="2"/>
  </si>
  <si>
    <t>３歳児配置改善　適用有無
（11月）</t>
    <rPh sb="1" eb="3">
      <t>サイジ</t>
    </rPh>
    <rPh sb="3" eb="5">
      <t>ハイチ</t>
    </rPh>
    <rPh sb="5" eb="7">
      <t>カイゼン</t>
    </rPh>
    <rPh sb="8" eb="10">
      <t>テキヨウ</t>
    </rPh>
    <rPh sb="10" eb="12">
      <t>ウム</t>
    </rPh>
    <rPh sb="16" eb="17">
      <t>ガツ</t>
    </rPh>
    <phoneticPr fontId="2"/>
  </si>
  <si>
    <t>３歳児配置改善　適用有無
（12月）</t>
    <rPh sb="1" eb="3">
      <t>サイジ</t>
    </rPh>
    <rPh sb="3" eb="5">
      <t>ハイチ</t>
    </rPh>
    <rPh sb="5" eb="7">
      <t>カイゼン</t>
    </rPh>
    <rPh sb="8" eb="10">
      <t>テキヨウ</t>
    </rPh>
    <rPh sb="10" eb="12">
      <t>ウム</t>
    </rPh>
    <rPh sb="16" eb="17">
      <t>ガツ</t>
    </rPh>
    <phoneticPr fontId="2"/>
  </si>
  <si>
    <t>３歳児配置改善　適用有無
（1月）</t>
    <rPh sb="1" eb="3">
      <t>サイジ</t>
    </rPh>
    <rPh sb="3" eb="5">
      <t>ハイチ</t>
    </rPh>
    <rPh sb="5" eb="7">
      <t>カイゼン</t>
    </rPh>
    <rPh sb="8" eb="10">
      <t>テキヨウ</t>
    </rPh>
    <rPh sb="10" eb="12">
      <t>ウム</t>
    </rPh>
    <rPh sb="15" eb="16">
      <t>ガツ</t>
    </rPh>
    <phoneticPr fontId="2"/>
  </si>
  <si>
    <t>３歳児配置改善　適用有無
（2月）</t>
    <rPh sb="1" eb="3">
      <t>サイジ</t>
    </rPh>
    <rPh sb="3" eb="5">
      <t>ハイチ</t>
    </rPh>
    <rPh sb="5" eb="7">
      <t>カイゼン</t>
    </rPh>
    <rPh sb="8" eb="10">
      <t>テキヨウ</t>
    </rPh>
    <rPh sb="10" eb="12">
      <t>ウム</t>
    </rPh>
    <rPh sb="15" eb="16">
      <t>ガツ</t>
    </rPh>
    <phoneticPr fontId="2"/>
  </si>
  <si>
    <t>３歳児配置改善　適用有無
（3月）</t>
    <rPh sb="1" eb="3">
      <t>サイジ</t>
    </rPh>
    <rPh sb="3" eb="5">
      <t>ハイチ</t>
    </rPh>
    <rPh sb="5" eb="7">
      <t>カイゼン</t>
    </rPh>
    <rPh sb="8" eb="10">
      <t>テキヨウ</t>
    </rPh>
    <rPh sb="10" eb="12">
      <t>ウム</t>
    </rPh>
    <rPh sb="15" eb="16">
      <t>ガツ</t>
    </rPh>
    <phoneticPr fontId="2"/>
  </si>
  <si>
    <t>栄養管理加算
内容（4月）</t>
    <rPh sb="0" eb="2">
      <t>エイヨウ</t>
    </rPh>
    <rPh sb="2" eb="4">
      <t>カンリ</t>
    </rPh>
    <rPh sb="4" eb="6">
      <t>カサン</t>
    </rPh>
    <rPh sb="7" eb="9">
      <t>ナイヨウ</t>
    </rPh>
    <rPh sb="11" eb="12">
      <t>ガツ</t>
    </rPh>
    <phoneticPr fontId="2"/>
  </si>
  <si>
    <t>栄養管理加算
内容（5月）</t>
    <rPh sb="0" eb="2">
      <t>エイヨウ</t>
    </rPh>
    <rPh sb="2" eb="4">
      <t>カンリ</t>
    </rPh>
    <rPh sb="4" eb="6">
      <t>カサン</t>
    </rPh>
    <rPh sb="7" eb="9">
      <t>ナイヨウ</t>
    </rPh>
    <rPh sb="11" eb="12">
      <t>ガツ</t>
    </rPh>
    <phoneticPr fontId="2"/>
  </si>
  <si>
    <t>栄養管理加算
内容（6月）</t>
    <rPh sb="0" eb="2">
      <t>エイヨウ</t>
    </rPh>
    <rPh sb="2" eb="4">
      <t>カンリ</t>
    </rPh>
    <rPh sb="4" eb="6">
      <t>カサン</t>
    </rPh>
    <rPh sb="7" eb="9">
      <t>ナイヨウ</t>
    </rPh>
    <rPh sb="11" eb="12">
      <t>ガツ</t>
    </rPh>
    <phoneticPr fontId="2"/>
  </si>
  <si>
    <t>栄養管理加算
内容（7月）</t>
    <rPh sb="0" eb="2">
      <t>エイヨウ</t>
    </rPh>
    <rPh sb="2" eb="4">
      <t>カンリ</t>
    </rPh>
    <rPh sb="4" eb="6">
      <t>カサン</t>
    </rPh>
    <rPh sb="7" eb="9">
      <t>ナイヨウ</t>
    </rPh>
    <rPh sb="11" eb="12">
      <t>ガツ</t>
    </rPh>
    <phoneticPr fontId="2"/>
  </si>
  <si>
    <t>栄養管理加算
内容（8月）</t>
    <rPh sb="0" eb="2">
      <t>エイヨウ</t>
    </rPh>
    <rPh sb="2" eb="4">
      <t>カンリ</t>
    </rPh>
    <rPh sb="4" eb="6">
      <t>カサン</t>
    </rPh>
    <rPh sb="7" eb="9">
      <t>ナイヨウ</t>
    </rPh>
    <rPh sb="11" eb="12">
      <t>ガツ</t>
    </rPh>
    <phoneticPr fontId="2"/>
  </si>
  <si>
    <t>栄養管理加算
内容（9月）</t>
    <rPh sb="0" eb="2">
      <t>エイヨウ</t>
    </rPh>
    <rPh sb="2" eb="4">
      <t>カンリ</t>
    </rPh>
    <rPh sb="4" eb="6">
      <t>カサン</t>
    </rPh>
    <rPh sb="7" eb="9">
      <t>ナイヨウ</t>
    </rPh>
    <rPh sb="11" eb="12">
      <t>ガツ</t>
    </rPh>
    <phoneticPr fontId="2"/>
  </si>
  <si>
    <t>栄養管理加算
内容（10月）</t>
    <rPh sb="0" eb="2">
      <t>エイヨウ</t>
    </rPh>
    <rPh sb="2" eb="4">
      <t>カンリ</t>
    </rPh>
    <rPh sb="4" eb="6">
      <t>カサン</t>
    </rPh>
    <rPh sb="7" eb="9">
      <t>ナイヨウ</t>
    </rPh>
    <rPh sb="12" eb="13">
      <t>ガツ</t>
    </rPh>
    <phoneticPr fontId="2"/>
  </si>
  <si>
    <t>栄養管理加算
内容（11月）</t>
    <rPh sb="0" eb="2">
      <t>エイヨウ</t>
    </rPh>
    <rPh sb="2" eb="4">
      <t>カンリ</t>
    </rPh>
    <rPh sb="4" eb="6">
      <t>カサン</t>
    </rPh>
    <rPh sb="7" eb="9">
      <t>ナイヨウ</t>
    </rPh>
    <rPh sb="12" eb="13">
      <t>ガツ</t>
    </rPh>
    <phoneticPr fontId="2"/>
  </si>
  <si>
    <t>栄養管理加算
内容（12月）</t>
    <rPh sb="0" eb="2">
      <t>エイヨウ</t>
    </rPh>
    <rPh sb="2" eb="4">
      <t>カンリ</t>
    </rPh>
    <rPh sb="4" eb="6">
      <t>カサン</t>
    </rPh>
    <rPh sb="7" eb="9">
      <t>ナイヨウ</t>
    </rPh>
    <rPh sb="12" eb="13">
      <t>ガツ</t>
    </rPh>
    <phoneticPr fontId="2"/>
  </si>
  <si>
    <t>栄養管理加算
内容（1月）</t>
    <rPh sb="0" eb="2">
      <t>エイヨウ</t>
    </rPh>
    <rPh sb="2" eb="4">
      <t>カンリ</t>
    </rPh>
    <rPh sb="4" eb="6">
      <t>カサン</t>
    </rPh>
    <rPh sb="7" eb="9">
      <t>ナイヨウ</t>
    </rPh>
    <rPh sb="11" eb="12">
      <t>ガツ</t>
    </rPh>
    <phoneticPr fontId="2"/>
  </si>
  <si>
    <t>栄養管理加算
内容（2月）</t>
    <rPh sb="0" eb="2">
      <t>エイヨウ</t>
    </rPh>
    <rPh sb="2" eb="4">
      <t>カンリ</t>
    </rPh>
    <rPh sb="4" eb="6">
      <t>カサン</t>
    </rPh>
    <rPh sb="7" eb="9">
      <t>ナイヨウ</t>
    </rPh>
    <rPh sb="11" eb="12">
      <t>ガツ</t>
    </rPh>
    <phoneticPr fontId="2"/>
  </si>
  <si>
    <t>栄養管理加算
内容（3月）</t>
    <rPh sb="0" eb="2">
      <t>エイヨウ</t>
    </rPh>
    <rPh sb="2" eb="4">
      <t>カンリ</t>
    </rPh>
    <rPh sb="4" eb="6">
      <t>カサン</t>
    </rPh>
    <rPh sb="7" eb="9">
      <t>ナイヨウ</t>
    </rPh>
    <rPh sb="11" eb="12">
      <t>ガツ</t>
    </rPh>
    <phoneticPr fontId="2"/>
  </si>
  <si>
    <t>嘱託</t>
    <rPh sb="0" eb="2">
      <t>ショクタク</t>
    </rPh>
    <phoneticPr fontId="2"/>
  </si>
  <si>
    <t>配置</t>
    <rPh sb="0" eb="2">
      <t>ハイチ</t>
    </rPh>
    <phoneticPr fontId="2"/>
  </si>
  <si>
    <t>兼務</t>
    <rPh sb="0" eb="2">
      <t>ケンム</t>
    </rPh>
    <phoneticPr fontId="2"/>
  </si>
  <si>
    <t>増員</t>
    <rPh sb="0" eb="2">
      <t>ゾウイン</t>
    </rPh>
    <phoneticPr fontId="2"/>
  </si>
  <si>
    <t>賃金改善</t>
    <rPh sb="0" eb="2">
      <t>チンギン</t>
    </rPh>
    <rPh sb="2" eb="4">
      <t>カイゼン</t>
    </rPh>
    <phoneticPr fontId="2"/>
  </si>
  <si>
    <t>〒260-8722　千葉市中央区千葉港１－１　本庁舎８F</t>
    <rPh sb="10" eb="13">
      <t>チバシ</t>
    </rPh>
    <rPh sb="13" eb="16">
      <t>チュウオウク</t>
    </rPh>
    <rPh sb="16" eb="19">
      <t>チバミナト</t>
    </rPh>
    <rPh sb="23" eb="24">
      <t>ホン</t>
    </rPh>
    <rPh sb="24" eb="26">
      <t>チョウシャ</t>
    </rPh>
    <phoneticPr fontId="1"/>
  </si>
  <si>
    <t>千葉市こども未来局幼児教育・保育部幼保運営課</t>
    <rPh sb="9" eb="13">
      <t>ヨウジキョウイク</t>
    </rPh>
    <rPh sb="14" eb="16">
      <t>ホイク</t>
    </rPh>
    <phoneticPr fontId="1"/>
  </si>
  <si>
    <t>認定こども園　おゆみ野南幼稚園</t>
  </si>
  <si>
    <t>幼保連携型認定こども園　ふたば保育園</t>
  </si>
  <si>
    <t>認定こども園　青い鳥第二幼稚園</t>
  </si>
  <si>
    <t>認定こども園　土気中央幼稚園</t>
  </si>
  <si>
    <t>認定こども園　双葉幼稚園</t>
  </si>
  <si>
    <t>この行より下には入力しないこと！！　行を増やしたいときは、ここより上の行で挿入すること。</t>
    <rPh sb="2" eb="3">
      <t>ギョウ</t>
    </rPh>
    <rPh sb="5" eb="6">
      <t>シタ</t>
    </rPh>
    <rPh sb="8" eb="10">
      <t>ニュウリョク</t>
    </rPh>
    <rPh sb="18" eb="19">
      <t>ギョウ</t>
    </rPh>
    <rPh sb="20" eb="21">
      <t>フ</t>
    </rPh>
    <rPh sb="33" eb="34">
      <t>ウエ</t>
    </rPh>
    <rPh sb="35" eb="36">
      <t>ギョウ</t>
    </rPh>
    <rPh sb="37" eb="39">
      <t>ソウニュウ</t>
    </rPh>
    <phoneticPr fontId="1"/>
  </si>
  <si>
    <t>VFJ49880</t>
  </si>
  <si>
    <t>ZFQ36082</t>
  </si>
  <si>
    <t>YTS31250</t>
  </si>
  <si>
    <t>（福）　愛の園福祉会</t>
  </si>
  <si>
    <t>（福）　健育会</t>
  </si>
  <si>
    <t>（学）　増田学園</t>
  </si>
  <si>
    <t>（福）　創成会</t>
  </si>
  <si>
    <t>NPO法人虹の丘ワールド・ケア・ファミリー</t>
  </si>
  <si>
    <t>（学）聖メリー学園</t>
  </si>
  <si>
    <t>（学）畠山学園</t>
  </si>
  <si>
    <t>（学）仁愛学園</t>
  </si>
  <si>
    <t>（学）香林学園</t>
  </si>
  <si>
    <t>（学）塩田学園</t>
  </si>
  <si>
    <t>（学）宍倉学園</t>
  </si>
  <si>
    <t>（学）アゼリー学園</t>
  </si>
  <si>
    <t>（学）西郡学園</t>
  </si>
  <si>
    <t>（学）古川学園</t>
  </si>
  <si>
    <t>（学）松ヶ丘学園</t>
  </si>
  <si>
    <t>（学）能勢学園</t>
  </si>
  <si>
    <t>（学）羽田学園</t>
  </si>
  <si>
    <t>（学）石原学園</t>
  </si>
  <si>
    <t>（学）大森学園</t>
  </si>
  <si>
    <t>（学）もっこく学園</t>
  </si>
  <si>
    <t>（学）山口学園</t>
  </si>
  <si>
    <t>（学）西沢学園</t>
  </si>
  <si>
    <t>（学）浜田学園</t>
  </si>
  <si>
    <t>（学）山王学園</t>
  </si>
  <si>
    <t>（学）土岐学園</t>
  </si>
  <si>
    <t>（学）鏡戸学園</t>
  </si>
  <si>
    <t>（学）千葉敬愛学園</t>
  </si>
  <si>
    <t>（学）信愛学園</t>
  </si>
  <si>
    <t>（学）小川学園</t>
  </si>
  <si>
    <t>小川治政</t>
  </si>
  <si>
    <t>〒260-8722　千葉市中央区千葉港１－１　本庁舎８F</t>
    <rPh sb="10" eb="13">
      <t>チバシ</t>
    </rPh>
    <rPh sb="13" eb="16">
      <t>チュウオウク</t>
    </rPh>
    <rPh sb="16" eb="19">
      <t>チバミナト</t>
    </rPh>
    <rPh sb="23" eb="26">
      <t>ホンチョウシャ</t>
    </rPh>
    <phoneticPr fontId="1"/>
  </si>
  <si>
    <t>認定こども園　敬愛短期大学附属幼稚園</t>
    <rPh sb="0" eb="2">
      <t>ニンテイ</t>
    </rPh>
    <rPh sb="5" eb="6">
      <t>エン</t>
    </rPh>
    <rPh sb="7" eb="9">
      <t>ケイアイ</t>
    </rPh>
    <rPh sb="9" eb="11">
      <t>タンキ</t>
    </rPh>
    <rPh sb="11" eb="13">
      <t>ダイガク</t>
    </rPh>
    <rPh sb="13" eb="15">
      <t>フゾク</t>
    </rPh>
    <rPh sb="15" eb="18">
      <t>ヨウチエン</t>
    </rPh>
    <phoneticPr fontId="1"/>
  </si>
  <si>
    <t>認定こども園　土気中央幼稚園</t>
    <rPh sb="0" eb="2">
      <t>ニンテイ</t>
    </rPh>
    <rPh sb="5" eb="6">
      <t>エン</t>
    </rPh>
    <rPh sb="7" eb="9">
      <t>トケ</t>
    </rPh>
    <rPh sb="9" eb="11">
      <t>チュウオウ</t>
    </rPh>
    <rPh sb="11" eb="14">
      <t>ヨウチエン</t>
    </rPh>
    <phoneticPr fontId="4"/>
  </si>
  <si>
    <t>認定こども園　あすみ中央幼稚園</t>
    <rPh sb="0" eb="2">
      <t>ニンテイ</t>
    </rPh>
    <rPh sb="5" eb="6">
      <t>エン</t>
    </rPh>
    <rPh sb="10" eb="12">
      <t>チュウオウ</t>
    </rPh>
    <rPh sb="12" eb="15">
      <t>ヨウチエン</t>
    </rPh>
    <phoneticPr fontId="4"/>
  </si>
  <si>
    <t>チーム保育　適用内容（2人目）
（4月）</t>
    <rPh sb="3" eb="5">
      <t>ホイク</t>
    </rPh>
    <rPh sb="6" eb="8">
      <t>テキヨウ</t>
    </rPh>
    <rPh sb="18" eb="19">
      <t>ガツ</t>
    </rPh>
    <phoneticPr fontId="2"/>
  </si>
  <si>
    <t>チーム保育　適用内容（2人目）
（5月）</t>
    <rPh sb="3" eb="5">
      <t>ホイク</t>
    </rPh>
    <rPh sb="6" eb="8">
      <t>テキヨウ</t>
    </rPh>
    <rPh sb="18" eb="19">
      <t>ガツ</t>
    </rPh>
    <phoneticPr fontId="2"/>
  </si>
  <si>
    <t>チーム保育　適用内容（2人目）
（6月）</t>
    <rPh sb="3" eb="5">
      <t>ホイク</t>
    </rPh>
    <rPh sb="6" eb="8">
      <t>テキヨウ</t>
    </rPh>
    <rPh sb="18" eb="19">
      <t>ガツ</t>
    </rPh>
    <phoneticPr fontId="2"/>
  </si>
  <si>
    <t>チーム保育　適用内容（2人目）
（7月）</t>
    <rPh sb="3" eb="5">
      <t>ホイク</t>
    </rPh>
    <rPh sb="6" eb="8">
      <t>テキヨウ</t>
    </rPh>
    <rPh sb="18" eb="19">
      <t>ガツ</t>
    </rPh>
    <phoneticPr fontId="2"/>
  </si>
  <si>
    <t>チーム保育　適用内容（2人目）
（8月）</t>
    <rPh sb="3" eb="5">
      <t>ホイク</t>
    </rPh>
    <rPh sb="6" eb="8">
      <t>テキヨウ</t>
    </rPh>
    <rPh sb="18" eb="19">
      <t>ガツ</t>
    </rPh>
    <phoneticPr fontId="2"/>
  </si>
  <si>
    <t>チーム保育　適用内容（2人目）
（9月）</t>
    <rPh sb="3" eb="5">
      <t>ホイク</t>
    </rPh>
    <rPh sb="6" eb="8">
      <t>テキヨウ</t>
    </rPh>
    <rPh sb="18" eb="19">
      <t>ガツ</t>
    </rPh>
    <phoneticPr fontId="2"/>
  </si>
  <si>
    <t>チーム保育　適用内容（2人目）
（10月）</t>
    <rPh sb="3" eb="5">
      <t>ホイク</t>
    </rPh>
    <rPh sb="6" eb="8">
      <t>テキヨウ</t>
    </rPh>
    <rPh sb="19" eb="20">
      <t>ガツ</t>
    </rPh>
    <phoneticPr fontId="2"/>
  </si>
  <si>
    <t>チーム保育　適用内容（2人目）
（11月）</t>
    <rPh sb="3" eb="5">
      <t>ホイク</t>
    </rPh>
    <rPh sb="6" eb="8">
      <t>テキヨウ</t>
    </rPh>
    <rPh sb="19" eb="20">
      <t>ガツ</t>
    </rPh>
    <phoneticPr fontId="2"/>
  </si>
  <si>
    <t>チーム保育　適用内容（2人目）
（12月）</t>
    <rPh sb="3" eb="5">
      <t>ホイク</t>
    </rPh>
    <rPh sb="6" eb="8">
      <t>テキヨウ</t>
    </rPh>
    <rPh sb="19" eb="20">
      <t>ガツ</t>
    </rPh>
    <phoneticPr fontId="2"/>
  </si>
  <si>
    <t>チーム保育　適用内容（2人目）
（1月）</t>
    <rPh sb="3" eb="5">
      <t>ホイク</t>
    </rPh>
    <rPh sb="6" eb="8">
      <t>テキヨウ</t>
    </rPh>
    <rPh sb="18" eb="19">
      <t>ガツ</t>
    </rPh>
    <phoneticPr fontId="2"/>
  </si>
  <si>
    <t>チーム保育　適用内容（2人目）
（2月）</t>
    <rPh sb="3" eb="5">
      <t>ホイク</t>
    </rPh>
    <rPh sb="6" eb="8">
      <t>テキヨウ</t>
    </rPh>
    <rPh sb="18" eb="19">
      <t>ガツ</t>
    </rPh>
    <phoneticPr fontId="2"/>
  </si>
  <si>
    <t>チーム保育　適用内容（2人目）
（3月）</t>
    <rPh sb="3" eb="5">
      <t>ホイク</t>
    </rPh>
    <rPh sb="6" eb="8">
      <t>テキヨウ</t>
    </rPh>
    <rPh sb="18" eb="19">
      <t>ガツ</t>
    </rPh>
    <phoneticPr fontId="2"/>
  </si>
  <si>
    <t>幼保連携型認定こども園　幕張海浜こども園</t>
    <rPh sb="0" eb="1">
      <t>ヨウ</t>
    </rPh>
    <rPh sb="1" eb="2">
      <t>ホ</t>
    </rPh>
    <rPh sb="2" eb="5">
      <t>レンケイガタ</t>
    </rPh>
    <rPh sb="5" eb="7">
      <t>ニンテイ</t>
    </rPh>
    <rPh sb="10" eb="11">
      <t>エン</t>
    </rPh>
    <rPh sb="12" eb="14">
      <t>マクハリ</t>
    </rPh>
    <rPh sb="14" eb="16">
      <t>カイヒン</t>
    </rPh>
    <rPh sb="19" eb="20">
      <t>エン</t>
    </rPh>
    <phoneticPr fontId="9"/>
  </si>
  <si>
    <t>幼保連携型認定こども園　打瀬保育園</t>
    <rPh sb="0" eb="1">
      <t>ヨウ</t>
    </rPh>
    <rPh sb="1" eb="2">
      <t>ホ</t>
    </rPh>
    <rPh sb="2" eb="5">
      <t>レンケイガタ</t>
    </rPh>
    <rPh sb="5" eb="7">
      <t>ニンテイ</t>
    </rPh>
    <rPh sb="10" eb="11">
      <t>エン</t>
    </rPh>
    <rPh sb="12" eb="13">
      <t>ウ</t>
    </rPh>
    <rPh sb="13" eb="14">
      <t>セ</t>
    </rPh>
    <rPh sb="14" eb="17">
      <t>ホイクエン</t>
    </rPh>
    <phoneticPr fontId="9"/>
  </si>
  <si>
    <t>幼保連携型認定こども園　千葉女子専門学校附属聖こども園</t>
    <rPh sb="0" eb="1">
      <t>ヨウ</t>
    </rPh>
    <rPh sb="1" eb="2">
      <t>ホ</t>
    </rPh>
    <rPh sb="2" eb="5">
      <t>レンケイガタ</t>
    </rPh>
    <rPh sb="5" eb="7">
      <t>ニンテイ</t>
    </rPh>
    <rPh sb="10" eb="11">
      <t>エン</t>
    </rPh>
    <rPh sb="12" eb="14">
      <t>チバ</t>
    </rPh>
    <rPh sb="14" eb="16">
      <t>ジョシ</t>
    </rPh>
    <rPh sb="16" eb="18">
      <t>センモン</t>
    </rPh>
    <rPh sb="18" eb="20">
      <t>ガッコウ</t>
    </rPh>
    <rPh sb="20" eb="22">
      <t>フゾク</t>
    </rPh>
    <rPh sb="22" eb="23">
      <t>ヒジリ</t>
    </rPh>
    <rPh sb="26" eb="27">
      <t>エン</t>
    </rPh>
    <phoneticPr fontId="9"/>
  </si>
  <si>
    <t>幼保連携型認定こども園　ウィズダムナーサリースクール</t>
    <rPh sb="0" eb="1">
      <t>ヨウ</t>
    </rPh>
    <rPh sb="1" eb="2">
      <t>ホ</t>
    </rPh>
    <rPh sb="2" eb="5">
      <t>レンケイガタ</t>
    </rPh>
    <rPh sb="5" eb="7">
      <t>ニンテイ</t>
    </rPh>
    <rPh sb="10" eb="11">
      <t>エン</t>
    </rPh>
    <phoneticPr fontId="9"/>
  </si>
  <si>
    <t>認定こども園かしの木学園　カトライアキンダーガルテン</t>
    <rPh sb="0" eb="2">
      <t>ニンテイ</t>
    </rPh>
    <rPh sb="5" eb="6">
      <t>エン</t>
    </rPh>
    <rPh sb="9" eb="10">
      <t>キ</t>
    </rPh>
    <rPh sb="10" eb="12">
      <t>ガクエン</t>
    </rPh>
    <phoneticPr fontId="14"/>
  </si>
  <si>
    <t>認定こども園　千葉明徳短期大学附属幼稚園</t>
    <rPh sb="7" eb="9">
      <t>チバ</t>
    </rPh>
    <rPh sb="9" eb="11">
      <t>メイトク</t>
    </rPh>
    <rPh sb="11" eb="13">
      <t>タンキ</t>
    </rPh>
    <rPh sb="13" eb="15">
      <t>ダイガク</t>
    </rPh>
    <rPh sb="15" eb="17">
      <t>フゾク</t>
    </rPh>
    <rPh sb="17" eb="20">
      <t>ヨウチエン</t>
    </rPh>
    <phoneticPr fontId="10"/>
  </si>
  <si>
    <t>認定こども園　登戸幼稚園</t>
    <rPh sb="7" eb="9">
      <t>ノブト</t>
    </rPh>
    <rPh sb="9" eb="12">
      <t>ヨウチエン</t>
    </rPh>
    <phoneticPr fontId="10"/>
  </si>
  <si>
    <t>認定こども園　さつきが丘幼稚園</t>
    <rPh sb="11" eb="12">
      <t>オカ</t>
    </rPh>
    <rPh sb="12" eb="15">
      <t>ヨウチエン</t>
    </rPh>
    <phoneticPr fontId="10"/>
  </si>
  <si>
    <t>認定こども園　まこと第三幼稚園</t>
    <rPh sb="10" eb="11">
      <t>ダイ</t>
    </rPh>
    <rPh sb="11" eb="12">
      <t>サン</t>
    </rPh>
    <rPh sb="12" eb="15">
      <t>ヨウチエン</t>
    </rPh>
    <phoneticPr fontId="10"/>
  </si>
  <si>
    <t>認定こども園　稲毛すみれ幼稚園</t>
    <rPh sb="7" eb="9">
      <t>イナゲ</t>
    </rPh>
    <rPh sb="12" eb="15">
      <t>ヨウチエン</t>
    </rPh>
    <phoneticPr fontId="10"/>
  </si>
  <si>
    <t>認定こども園　かしの木学園　かしの木園</t>
    <rPh sb="11" eb="13">
      <t>ガクエン</t>
    </rPh>
    <rPh sb="17" eb="18">
      <t>キ</t>
    </rPh>
    <rPh sb="18" eb="19">
      <t>エン</t>
    </rPh>
    <phoneticPr fontId="8"/>
  </si>
  <si>
    <t>認定こども園　双葉幼稚園</t>
    <rPh sb="0" eb="2">
      <t>ニンテイ</t>
    </rPh>
    <rPh sb="5" eb="6">
      <t>エン</t>
    </rPh>
    <rPh sb="7" eb="9">
      <t>フタバ</t>
    </rPh>
    <rPh sb="9" eb="12">
      <t>ヨウチエン</t>
    </rPh>
    <phoneticPr fontId="4"/>
  </si>
  <si>
    <t>認定こども園　青い鳥第二幼稚園</t>
    <rPh sb="0" eb="2">
      <t>ニンテイ</t>
    </rPh>
    <rPh sb="5" eb="6">
      <t>エン</t>
    </rPh>
    <rPh sb="7" eb="8">
      <t>アオ</t>
    </rPh>
    <rPh sb="9" eb="10">
      <t>トリ</t>
    </rPh>
    <rPh sb="10" eb="11">
      <t>ダイ</t>
    </rPh>
    <rPh sb="11" eb="12">
      <t>２</t>
    </rPh>
    <rPh sb="12" eb="15">
      <t>ヨウチエン</t>
    </rPh>
    <phoneticPr fontId="4"/>
  </si>
  <si>
    <t>千葉市緑区土気町1630-1</t>
  </si>
  <si>
    <t>塩　順子</t>
  </si>
  <si>
    <r>
      <t xml:space="preserve"> （このエクセルをメール提出）　</t>
    </r>
    <r>
      <rPr>
        <sz val="12"/>
        <color rgb="FFFF0000"/>
        <rFont val="HGP創英角ﾎﾟｯﾌﾟ体"/>
        <family val="3"/>
        <charset val="128"/>
      </rPr>
      <t>※押印省略に伴い、紙の提出は不要です。</t>
    </r>
    <rPh sb="17" eb="19">
      <t>オウイン</t>
    </rPh>
    <rPh sb="19" eb="21">
      <t>ショウリャク</t>
    </rPh>
    <rPh sb="22" eb="23">
      <t>トモナ</t>
    </rPh>
    <rPh sb="25" eb="26">
      <t>カミ</t>
    </rPh>
    <rPh sb="27" eb="29">
      <t>テイシュツ</t>
    </rPh>
    <rPh sb="30" eb="32">
      <t>フヨウ</t>
    </rPh>
    <phoneticPr fontId="15"/>
  </si>
  <si>
    <t>幼保運営課 助成第１班　髙木</t>
    <rPh sb="12" eb="14">
      <t>タカギ</t>
    </rPh>
    <phoneticPr fontId="1"/>
  </si>
  <si>
    <t>高齢者等活躍促進加算の対象職員数を入力してください。
単位（人）は入力不要です。</t>
    <rPh sb="0" eb="3">
      <t>コウレイシャ</t>
    </rPh>
    <rPh sb="3" eb="4">
      <t>トウ</t>
    </rPh>
    <rPh sb="4" eb="6">
      <t>カツヤク</t>
    </rPh>
    <rPh sb="6" eb="8">
      <t>ソクシン</t>
    </rPh>
    <rPh sb="8" eb="10">
      <t>カサン</t>
    </rPh>
    <rPh sb="11" eb="13">
      <t>タイショウ</t>
    </rPh>
    <rPh sb="13" eb="15">
      <t>ショクイン</t>
    </rPh>
    <rPh sb="15" eb="16">
      <t>スウ</t>
    </rPh>
    <rPh sb="17" eb="19">
      <t>ニュウリョク</t>
    </rPh>
    <rPh sb="27" eb="29">
      <t>タンイ</t>
    </rPh>
    <rPh sb="30" eb="31">
      <t>ニン</t>
    </rPh>
    <rPh sb="33" eb="37">
      <t>ニュウリョクフヨウ</t>
    </rPh>
    <phoneticPr fontId="1"/>
  </si>
  <si>
    <t>4歳以上児加算有無
（4月）</t>
    <rPh sb="1" eb="7">
      <t>サイイジョウジカサン</t>
    </rPh>
    <rPh sb="7" eb="9">
      <t>ウム</t>
    </rPh>
    <rPh sb="12" eb="13">
      <t>ツキ</t>
    </rPh>
    <phoneticPr fontId="1"/>
  </si>
  <si>
    <t>4歳以上児加算有無
（5月）</t>
    <rPh sb="1" eb="7">
      <t>サイイジョウジカサン</t>
    </rPh>
    <rPh sb="7" eb="9">
      <t>ウム</t>
    </rPh>
    <rPh sb="12" eb="13">
      <t>ツキ</t>
    </rPh>
    <phoneticPr fontId="1"/>
  </si>
  <si>
    <t>4歳以上児加算有無
（6月）</t>
    <rPh sb="1" eb="7">
      <t>サイイジョウジカサン</t>
    </rPh>
    <rPh sb="7" eb="9">
      <t>ウム</t>
    </rPh>
    <rPh sb="12" eb="13">
      <t>ツキ</t>
    </rPh>
    <phoneticPr fontId="1"/>
  </si>
  <si>
    <t>4歳以上児加算有無
（7月）</t>
    <rPh sb="1" eb="7">
      <t>サイイジョウジカサン</t>
    </rPh>
    <rPh sb="7" eb="9">
      <t>ウム</t>
    </rPh>
    <rPh sb="12" eb="13">
      <t>ツキ</t>
    </rPh>
    <phoneticPr fontId="1"/>
  </si>
  <si>
    <t>4歳以上児加算有無
（8月）</t>
    <rPh sb="1" eb="7">
      <t>サイイジョウジカサン</t>
    </rPh>
    <rPh sb="7" eb="9">
      <t>ウム</t>
    </rPh>
    <rPh sb="12" eb="13">
      <t>ツキ</t>
    </rPh>
    <phoneticPr fontId="1"/>
  </si>
  <si>
    <t>4歳以上児加算有無
（9月）</t>
    <rPh sb="1" eb="7">
      <t>サイイジョウジカサン</t>
    </rPh>
    <rPh sb="7" eb="9">
      <t>ウム</t>
    </rPh>
    <rPh sb="12" eb="13">
      <t>ツキ</t>
    </rPh>
    <phoneticPr fontId="1"/>
  </si>
  <si>
    <t>4歳以上児加算有無
（10月）</t>
    <rPh sb="1" eb="7">
      <t>サイイジョウジカサン</t>
    </rPh>
    <rPh sb="7" eb="9">
      <t>ウム</t>
    </rPh>
    <rPh sb="13" eb="14">
      <t>ツキ</t>
    </rPh>
    <phoneticPr fontId="1"/>
  </si>
  <si>
    <t>4歳以上児加算有無
（11月）</t>
    <rPh sb="1" eb="7">
      <t>サイイジョウジカサン</t>
    </rPh>
    <rPh sb="7" eb="9">
      <t>ウム</t>
    </rPh>
    <rPh sb="13" eb="14">
      <t>ツキ</t>
    </rPh>
    <phoneticPr fontId="1"/>
  </si>
  <si>
    <t>4歳以上児加算有無
（12月）</t>
    <rPh sb="1" eb="7">
      <t>サイイジョウジカサン</t>
    </rPh>
    <rPh sb="7" eb="9">
      <t>ウム</t>
    </rPh>
    <rPh sb="13" eb="14">
      <t>ツキ</t>
    </rPh>
    <phoneticPr fontId="1"/>
  </si>
  <si>
    <t>4歳以上児加算有無
（1月）</t>
    <rPh sb="1" eb="7">
      <t>サイイジョウジカサン</t>
    </rPh>
    <rPh sb="7" eb="9">
      <t>ウム</t>
    </rPh>
    <rPh sb="12" eb="13">
      <t>ツキ</t>
    </rPh>
    <phoneticPr fontId="1"/>
  </si>
  <si>
    <t>4歳以上児加算有無
（2月）</t>
    <rPh sb="1" eb="7">
      <t>サイイジョウジカサン</t>
    </rPh>
    <rPh sb="7" eb="9">
      <t>ウム</t>
    </rPh>
    <rPh sb="12" eb="13">
      <t>ツキ</t>
    </rPh>
    <phoneticPr fontId="1"/>
  </si>
  <si>
    <t>4歳以上児加算有無
（3月）</t>
    <rPh sb="1" eb="7">
      <t>サイイジョウジカサン</t>
    </rPh>
    <rPh sb="7" eb="9">
      <t>ウム</t>
    </rPh>
    <rPh sb="12" eb="13">
      <t>ツキ</t>
    </rPh>
    <phoneticPr fontId="1"/>
  </si>
  <si>
    <t>無</t>
  </si>
  <si>
    <t>配置</t>
  </si>
  <si>
    <t>嘱託</t>
  </si>
  <si>
    <t>兼務</t>
  </si>
  <si>
    <t>←栄養管理加算　基本額</t>
    <rPh sb="1" eb="5">
      <t>エイヨウカンリ</t>
    </rPh>
    <rPh sb="5" eb="7">
      <t>カサン</t>
    </rPh>
    <rPh sb="8" eb="11">
      <t>キホンガク</t>
    </rPh>
    <phoneticPr fontId="1"/>
  </si>
  <si>
    <t>様式４</t>
    <phoneticPr fontId="1"/>
  </si>
  <si>
    <t>様式６</t>
    <phoneticPr fontId="1"/>
  </si>
  <si>
    <t>様式８</t>
    <rPh sb="0" eb="2">
      <t>ヨウシキ</t>
    </rPh>
    <phoneticPr fontId="1"/>
  </si>
  <si>
    <t>精算書</t>
    <rPh sb="0" eb="3">
      <t>セイサンショ</t>
    </rPh>
    <phoneticPr fontId="1"/>
  </si>
  <si>
    <t>【よく使う文言】</t>
    <rPh sb="3" eb="4">
      <t>ツカ</t>
    </rPh>
    <rPh sb="5" eb="7">
      <t>モンゴン</t>
    </rPh>
    <phoneticPr fontId="1"/>
  </si>
  <si>
    <t>加算有無</t>
    <rPh sb="0" eb="2">
      <t>カサン</t>
    </rPh>
    <rPh sb="2" eb="4">
      <t>ウム</t>
    </rPh>
    <phoneticPr fontId="1"/>
  </si>
  <si>
    <t>４・５歳児児童数</t>
    <rPh sb="3" eb="5">
      <t>サイジ</t>
    </rPh>
    <rPh sb="5" eb="8">
      <t>ジドウスウ</t>
    </rPh>
    <phoneticPr fontId="1"/>
  </si>
  <si>
    <t>加算単価</t>
    <rPh sb="0" eb="4">
      <t>カサンタンカ</t>
    </rPh>
    <phoneticPr fontId="1"/>
  </si>
  <si>
    <t>加算額</t>
    <rPh sb="0" eb="3">
      <t>カサンガク</t>
    </rPh>
    <phoneticPr fontId="1"/>
  </si>
  <si>
    <t>４月</t>
    <rPh sb="1" eb="2">
      <t>ツキ</t>
    </rPh>
    <phoneticPr fontId="1"/>
  </si>
  <si>
    <t>５月</t>
    <rPh sb="1" eb="2">
      <t>ツキ</t>
    </rPh>
    <phoneticPr fontId="1"/>
  </si>
  <si>
    <t>（園ごとの固有番号）</t>
    <rPh sb="1" eb="2">
      <t>エン</t>
    </rPh>
    <rPh sb="5" eb="9">
      <t>コユウバンゴウ</t>
    </rPh>
    <phoneticPr fontId="1"/>
  </si>
  <si>
    <t>公定価格加算分</t>
    <rPh sb="0" eb="7">
      <t>コウテイカカクカサンブン</t>
    </rPh>
    <phoneticPr fontId="28"/>
  </si>
  <si>
    <t>(園ごとの固有番号)</t>
    <rPh sb="1" eb="2">
      <t>エン</t>
    </rPh>
    <rPh sb="5" eb="9">
      <t>コユウバンゴウ</t>
    </rPh>
    <phoneticPr fontId="15"/>
  </si>
  <si>
    <t>（園ごとの固有番号）</t>
    <rPh sb="1" eb="2">
      <t>エン</t>
    </rPh>
    <rPh sb="5" eb="9">
      <t>コユウバンゴウ</t>
    </rPh>
    <rPh sb="9" eb="10">
      <t>ヤスナ</t>
    </rPh>
    <phoneticPr fontId="15"/>
  </si>
  <si>
    <t>（あて先）千 葉 市 長</t>
    <rPh sb="3" eb="4">
      <t>サキ</t>
    </rPh>
    <rPh sb="5" eb="6">
      <t>セン</t>
    </rPh>
    <rPh sb="7" eb="8">
      <t>ハ</t>
    </rPh>
    <rPh sb="9" eb="10">
      <t>シ</t>
    </rPh>
    <rPh sb="11" eb="12">
      <t>チョウ</t>
    </rPh>
    <phoneticPr fontId="6"/>
  </si>
  <si>
    <t>千葉市施設型給付対象施設保育士等配置基準改善費算出内訳書（１０）</t>
    <rPh sb="0" eb="12">
      <t>＠</t>
    </rPh>
    <rPh sb="12" eb="15">
      <t>ホイクシ</t>
    </rPh>
    <rPh sb="15" eb="16">
      <t>トウ</t>
    </rPh>
    <rPh sb="16" eb="18">
      <t>ハイチ</t>
    </rPh>
    <rPh sb="18" eb="20">
      <t>キジュン</t>
    </rPh>
    <rPh sb="20" eb="23">
      <t>カイゼンヒ</t>
    </rPh>
    <rPh sb="23" eb="25">
      <t>サンシュツ</t>
    </rPh>
    <rPh sb="25" eb="28">
      <t>ウチワケショ</t>
    </rPh>
    <phoneticPr fontId="15"/>
  </si>
  <si>
    <t>8．</t>
    <phoneticPr fontId="1"/>
  </si>
  <si>
    <t>公定価格加算分</t>
    <rPh sb="0" eb="4">
      <t>コウテイカカク</t>
    </rPh>
    <rPh sb="4" eb="7">
      <t>カサンブン</t>
    </rPh>
    <phoneticPr fontId="1"/>
  </si>
  <si>
    <t>①4歳以上児配置改善加算額相当額</t>
    <rPh sb="2" eb="5">
      <t>サイイジョウ</t>
    </rPh>
    <rPh sb="5" eb="6">
      <t>ジ</t>
    </rPh>
    <rPh sb="6" eb="8">
      <t>ハイチ</t>
    </rPh>
    <rPh sb="8" eb="10">
      <t>カイゼン</t>
    </rPh>
    <rPh sb="10" eb="12">
      <t>カサン</t>
    </rPh>
    <rPh sb="12" eb="13">
      <t>ガク</t>
    </rPh>
    <rPh sb="13" eb="16">
      <t>ソウトウガク</t>
    </rPh>
    <phoneticPr fontId="1"/>
  </si>
  <si>
    <t>このシートは貴園は対象外ですので入力の必要はありません。</t>
    <phoneticPr fontId="1"/>
  </si>
  <si>
    <t>調理員等判定</t>
    <rPh sb="0" eb="3">
      <t>チョウリイン</t>
    </rPh>
    <rPh sb="3" eb="4">
      <t>トウ</t>
    </rPh>
    <rPh sb="4" eb="6">
      <t>ハンテイ</t>
    </rPh>
    <phoneticPr fontId="1"/>
  </si>
  <si>
    <t>４歳以上児配置改善加算の適用</t>
    <rPh sb="1" eb="4">
      <t>サイイジョウ</t>
    </rPh>
    <rPh sb="4" eb="5">
      <t>ジ</t>
    </rPh>
    <rPh sb="5" eb="7">
      <t>ハイチ</t>
    </rPh>
    <rPh sb="7" eb="9">
      <t>カイゼン</t>
    </rPh>
    <rPh sb="9" eb="11">
      <t>カサン</t>
    </rPh>
    <rPh sb="12" eb="14">
      <t>テキヨウ</t>
    </rPh>
    <phoneticPr fontId="1"/>
  </si>
  <si>
    <t>×の合計</t>
    <rPh sb="2" eb="4">
      <t>ゴウケイ</t>
    </rPh>
    <phoneticPr fontId="1"/>
  </si>
  <si>
    <t>×の数</t>
    <rPh sb="2" eb="3">
      <t>カズ</t>
    </rPh>
    <phoneticPr fontId="1"/>
  </si>
  <si>
    <t>判定</t>
    <rPh sb="0" eb="2">
      <t>ハンテイ</t>
    </rPh>
    <phoneticPr fontId="1"/>
  </si>
  <si>
    <t>認定こども園　梅乃園幼稚園</t>
    <rPh sb="0" eb="2">
      <t>ニンテイ</t>
    </rPh>
    <rPh sb="5" eb="6">
      <t>エン</t>
    </rPh>
    <rPh sb="7" eb="8">
      <t>ウメ</t>
    </rPh>
    <rPh sb="8" eb="9">
      <t>ノ</t>
    </rPh>
    <rPh sb="9" eb="10">
      <t>ソノ</t>
    </rPh>
    <rPh sb="10" eb="13">
      <t>ヨウチエン</t>
    </rPh>
    <phoneticPr fontId="4"/>
  </si>
  <si>
    <t>認定こども園　大巌寺幼稚園</t>
    <rPh sb="0" eb="2">
      <t>ニンテイ</t>
    </rPh>
    <rPh sb="5" eb="6">
      <t>エン</t>
    </rPh>
    <rPh sb="7" eb="10">
      <t>ダイガンジ</t>
    </rPh>
    <rPh sb="10" eb="13">
      <t>ヨウチエン</t>
    </rPh>
    <phoneticPr fontId="4"/>
  </si>
  <si>
    <t>認定こども園　あやめ台幼稚園</t>
    <rPh sb="0" eb="2">
      <t>ニンテイ</t>
    </rPh>
    <rPh sb="5" eb="6">
      <t>エン</t>
    </rPh>
    <rPh sb="10" eb="11">
      <t>ダイ</t>
    </rPh>
    <rPh sb="11" eb="14">
      <t>ヨウチエン</t>
    </rPh>
    <phoneticPr fontId="4"/>
  </si>
  <si>
    <t>認定こども園　弥生幼稚園</t>
    <rPh sb="0" eb="2">
      <t>ニンテイ</t>
    </rPh>
    <rPh sb="5" eb="6">
      <t>エン</t>
    </rPh>
    <rPh sb="7" eb="9">
      <t>ヤヨイ</t>
    </rPh>
    <rPh sb="9" eb="12">
      <t>ヨウチエン</t>
    </rPh>
    <phoneticPr fontId="4"/>
  </si>
  <si>
    <t>認定こども園　園生幼稚園</t>
    <rPh sb="0" eb="2">
      <t>ニンテイ</t>
    </rPh>
    <rPh sb="5" eb="6">
      <t>エン</t>
    </rPh>
    <rPh sb="7" eb="9">
      <t>ソンノウ</t>
    </rPh>
    <rPh sb="9" eb="12">
      <t>ヨウチエン</t>
    </rPh>
    <phoneticPr fontId="4"/>
  </si>
  <si>
    <t>みのり認定こども園</t>
    <rPh sb="3" eb="5">
      <t>ニンテイ</t>
    </rPh>
    <rPh sb="8" eb="9">
      <t>エン</t>
    </rPh>
    <phoneticPr fontId="4"/>
  </si>
  <si>
    <t>幼保連携型認定こども園　ChaCha Children Makuhari</t>
    <rPh sb="0" eb="5">
      <t>ヨウホレンケイガタ</t>
    </rPh>
    <rPh sb="5" eb="7">
      <t>ニンテイ</t>
    </rPh>
    <rPh sb="10" eb="11">
      <t>エン</t>
    </rPh>
    <phoneticPr fontId="1"/>
  </si>
  <si>
    <t>みのり認定こども園</t>
  </si>
  <si>
    <t>岩舘正雄</t>
  </si>
  <si>
    <t>幼保連携型認定こども園　しらぎく</t>
  </si>
  <si>
    <t>（学）千葉白菊学園</t>
  </si>
  <si>
    <t>鳰川　泰也</t>
  </si>
  <si>
    <t>（福）富岳会</t>
  </si>
  <si>
    <t>吉江　規隆</t>
  </si>
  <si>
    <t>認定こども園　梅乃園幼稚園</t>
  </si>
  <si>
    <t>（学）梅園学園</t>
  </si>
  <si>
    <t>杉本　卓美</t>
  </si>
  <si>
    <t>幼保連携型認定こども園　ChaCha Children Makuhari</t>
  </si>
  <si>
    <t>（福）ChaCha Children ＆ Co.</t>
  </si>
  <si>
    <t>幼保連携型認定こども園　さざれ幼稚園</t>
  </si>
  <si>
    <t>設置者</t>
  </si>
  <si>
    <t>大野晴永</t>
  </si>
  <si>
    <t>認定こども園　大巌寺幼稚園</t>
  </si>
  <si>
    <t>（学）大巌寺学園</t>
  </si>
  <si>
    <t>長谷川　俊哉</t>
  </si>
  <si>
    <t>幼保連携型認定こども園
チューリップこども園</t>
  </si>
  <si>
    <t>（福）聖心福祉会</t>
  </si>
  <si>
    <t>藤井二佐枝</t>
  </si>
  <si>
    <t>認定こども園　あやめ台幼稚園</t>
  </si>
  <si>
    <t>（学）神栄学園</t>
  </si>
  <si>
    <t>神野茂美</t>
  </si>
  <si>
    <t>認定こども園　弥生幼稚園</t>
  </si>
  <si>
    <t>（学）神美学園</t>
  </si>
  <si>
    <t>神野　茂美</t>
  </si>
  <si>
    <t>認定こども園　園生幼稚園</t>
  </si>
  <si>
    <t>（学）笠川学園</t>
  </si>
  <si>
    <t>笠川　正和</t>
  </si>
  <si>
    <t>千葉県千葉市若葉区都賀５丁目２０－２６</t>
  </si>
  <si>
    <t>千葉県千葉市美浜区幸町２丁目１２－８</t>
  </si>
  <si>
    <t>千葉県千葉市美浜区高洲４丁目５－９</t>
  </si>
  <si>
    <t>千葉県千葉市中央区矢作町９３９－６</t>
  </si>
  <si>
    <t>千葉県千葉市花見川区幕張町５丁目２４１</t>
  </si>
  <si>
    <t>千葉県千葉市中央区大巌寺町１８６</t>
  </si>
  <si>
    <t>千葉県千葉市美浜区真砂３丁目１５－１４</t>
  </si>
  <si>
    <t>千葉県千葉市稲毛区園生町４６８－１</t>
  </si>
  <si>
    <t>千葉県千葉市稲毛区穴川１丁目４－６</t>
  </si>
  <si>
    <t>千葉県千葉市稲毛区園生町９５６－６</t>
  </si>
  <si>
    <t>QLX45547</t>
  </si>
  <si>
    <t>KVH27015</t>
  </si>
  <si>
    <t>EWC62326</t>
  </si>
  <si>
    <t>FBD94893</t>
  </si>
  <si>
    <t>ZBQ23069</t>
  </si>
  <si>
    <t>GRV11412</t>
  </si>
  <si>
    <t>SON76613</t>
  </si>
  <si>
    <t>SXE89646</t>
  </si>
  <si>
    <t>GUK78994</t>
  </si>
  <si>
    <t>SQX70835</t>
  </si>
  <si>
    <t>RST17069</t>
  </si>
  <si>
    <t>幼稚</t>
    <rPh sb="0" eb="2">
      <t>ヨウチ</t>
    </rPh>
    <phoneticPr fontId="4"/>
  </si>
  <si>
    <t>幼保</t>
    <rPh sb="0" eb="2">
      <t>ヨウホ</t>
    </rPh>
    <phoneticPr fontId="4"/>
  </si>
  <si>
    <t>幼保</t>
    <rPh sb="0" eb="1">
      <t>ヨウ</t>
    </rPh>
    <rPh sb="1" eb="2">
      <t>ホ</t>
    </rPh>
    <phoneticPr fontId="5"/>
  </si>
  <si>
    <t>幼稚</t>
    <rPh sb="0" eb="2">
      <t>ヨウチ</t>
    </rPh>
    <phoneticPr fontId="5"/>
  </si>
  <si>
    <t>F30セル</t>
    <phoneticPr fontId="1"/>
  </si>
  <si>
    <t>F31セル</t>
    <phoneticPr fontId="1"/>
  </si>
  <si>
    <t>F32セル</t>
    <phoneticPr fontId="1"/>
  </si>
  <si>
    <t>F34セル</t>
    <phoneticPr fontId="1"/>
  </si>
  <si>
    <r>
      <t>・「正」、「-」と表記のセルは操作する必要はありません。
・「見込を入力」と記載されているセルについて、各月の勤務実績時間を記載してください。
・勤務実績時間は、</t>
    </r>
    <r>
      <rPr>
        <b/>
        <u/>
        <sz val="12"/>
        <color theme="1"/>
        <rFont val="BIZ UDPゴシック"/>
        <family val="3"/>
        <charset val="128"/>
      </rPr>
      <t>延長保育事業に係る勤務時間を除いた時間数</t>
    </r>
    <r>
      <rPr>
        <sz val="12"/>
        <color theme="1"/>
        <rFont val="BIZ UDPゴシック"/>
        <family val="3"/>
        <charset val="128"/>
      </rPr>
      <t>となります。</t>
    </r>
    <rPh sb="2" eb="3">
      <t>セイ</t>
    </rPh>
    <rPh sb="9" eb="11">
      <t>ヒョウキ</t>
    </rPh>
    <rPh sb="15" eb="17">
      <t>ソウサ</t>
    </rPh>
    <rPh sb="19" eb="21">
      <t>ヒツヨウ</t>
    </rPh>
    <rPh sb="31" eb="33">
      <t>ミコ</t>
    </rPh>
    <rPh sb="38" eb="40">
      <t>キサイ</t>
    </rPh>
    <rPh sb="52" eb="54">
      <t>カクツキ</t>
    </rPh>
    <rPh sb="55" eb="57">
      <t>キンム</t>
    </rPh>
    <rPh sb="57" eb="59">
      <t>ジッセキ</t>
    </rPh>
    <rPh sb="59" eb="61">
      <t>ジカン</t>
    </rPh>
    <rPh sb="62" eb="64">
      <t>キサイ</t>
    </rPh>
    <rPh sb="73" eb="75">
      <t>キンム</t>
    </rPh>
    <rPh sb="75" eb="77">
      <t>ジッセキ</t>
    </rPh>
    <rPh sb="77" eb="79">
      <t>ジカン</t>
    </rPh>
    <rPh sb="81" eb="83">
      <t>エンチョウ</t>
    </rPh>
    <rPh sb="83" eb="85">
      <t>ホイク</t>
    </rPh>
    <rPh sb="85" eb="87">
      <t>ジギョウ</t>
    </rPh>
    <rPh sb="88" eb="89">
      <t>カカ</t>
    </rPh>
    <rPh sb="90" eb="92">
      <t>キンム</t>
    </rPh>
    <rPh sb="92" eb="94">
      <t>ジカン</t>
    </rPh>
    <rPh sb="95" eb="96">
      <t>ノゾ</t>
    </rPh>
    <rPh sb="98" eb="101">
      <t>ジカンスウ</t>
    </rPh>
    <phoneticPr fontId="1"/>
  </si>
  <si>
    <t>各園が就業規則に定める月ごとの「常勤時間数」を記載してください。</t>
    <rPh sb="0" eb="2">
      <t>カクエン</t>
    </rPh>
    <rPh sb="3" eb="5">
      <t>シュウギョウ</t>
    </rPh>
    <rPh sb="5" eb="7">
      <t>キソク</t>
    </rPh>
    <rPh sb="8" eb="9">
      <t>サダ</t>
    </rPh>
    <rPh sb="11" eb="12">
      <t>ツキ</t>
    </rPh>
    <rPh sb="16" eb="18">
      <t>ジョウキン</t>
    </rPh>
    <rPh sb="18" eb="21">
      <t>ジカンスウ</t>
    </rPh>
    <rPh sb="23" eb="25">
      <t>キサイ</t>
    </rPh>
    <phoneticPr fontId="1"/>
  </si>
  <si>
    <t>【当初①基本情報】</t>
    <rPh sb="1" eb="3">
      <t>トウショ</t>
    </rPh>
    <rPh sb="4" eb="8">
      <t>キホンジョウホウ</t>
    </rPh>
    <phoneticPr fontId="1"/>
  </si>
  <si>
    <t>【当初⑤基本加算１、⑥基本加算２、⑦基本加算３、⑩特定加算１、⑪特定加算２】</t>
    <rPh sb="1" eb="3">
      <t>トウショ</t>
    </rPh>
    <rPh sb="4" eb="6">
      <t>キホン</t>
    </rPh>
    <rPh sb="6" eb="8">
      <t>カサン</t>
    </rPh>
    <rPh sb="11" eb="13">
      <t>キホン</t>
    </rPh>
    <rPh sb="13" eb="15">
      <t>カサン</t>
    </rPh>
    <rPh sb="18" eb="20">
      <t>キホン</t>
    </rPh>
    <rPh sb="20" eb="22">
      <t>カサン</t>
    </rPh>
    <rPh sb="25" eb="29">
      <t>トクテイカサン</t>
    </rPh>
    <rPh sb="32" eb="36">
      <t>トクテイカサン</t>
    </rPh>
    <phoneticPr fontId="1"/>
  </si>
  <si>
    <t>プルダウンメニューから、担当職員を選択してください。
【担当職員について】
なるべく、Ｃ列に記載の職種の職員を選択して下さい（短時間の非常勤の場合は、複数者を選択してください）。
なお、補助基準額に達しない場合、他職種の方でも構いませんが、複数の職種の方の混在はできません。</t>
    <rPh sb="12" eb="14">
      <t>タントウ</t>
    </rPh>
    <rPh sb="14" eb="16">
      <t>ショクイン</t>
    </rPh>
    <rPh sb="17" eb="19">
      <t>センタク</t>
    </rPh>
    <rPh sb="28" eb="30">
      <t>タントウ</t>
    </rPh>
    <rPh sb="30" eb="32">
      <t>ショクイン</t>
    </rPh>
    <rPh sb="44" eb="45">
      <t>レツ</t>
    </rPh>
    <rPh sb="46" eb="48">
      <t>キサイ</t>
    </rPh>
    <rPh sb="49" eb="51">
      <t>ショクシュ</t>
    </rPh>
    <rPh sb="52" eb="54">
      <t>ショクイン</t>
    </rPh>
    <rPh sb="55" eb="57">
      <t>センタク</t>
    </rPh>
    <rPh sb="59" eb="60">
      <t>クダ</t>
    </rPh>
    <rPh sb="63" eb="66">
      <t>タンジカン</t>
    </rPh>
    <rPh sb="67" eb="70">
      <t>ヒジョウキン</t>
    </rPh>
    <rPh sb="71" eb="73">
      <t>バアイ</t>
    </rPh>
    <rPh sb="75" eb="77">
      <t>フクスウ</t>
    </rPh>
    <rPh sb="77" eb="78">
      <t>モノ</t>
    </rPh>
    <rPh sb="79" eb="81">
      <t>センタク</t>
    </rPh>
    <rPh sb="93" eb="95">
      <t>ホジョ</t>
    </rPh>
    <rPh sb="95" eb="97">
      <t>キジュン</t>
    </rPh>
    <rPh sb="97" eb="98">
      <t>ガク</t>
    </rPh>
    <rPh sb="99" eb="100">
      <t>タッ</t>
    </rPh>
    <rPh sb="103" eb="105">
      <t>バアイ</t>
    </rPh>
    <rPh sb="106" eb="107">
      <t>ホカ</t>
    </rPh>
    <rPh sb="107" eb="109">
      <t>ショクシュ</t>
    </rPh>
    <rPh sb="110" eb="111">
      <t>カタ</t>
    </rPh>
    <rPh sb="113" eb="114">
      <t>カマ</t>
    </rPh>
    <rPh sb="120" eb="122">
      <t>フクスウ</t>
    </rPh>
    <rPh sb="123" eb="125">
      <t>ショクシュ</t>
    </rPh>
    <rPh sb="126" eb="127">
      <t>カタ</t>
    </rPh>
    <rPh sb="128" eb="130">
      <t>コンザイ</t>
    </rPh>
    <phoneticPr fontId="1"/>
  </si>
  <si>
    <r>
      <t>「賃金単価を記載」と表示されているセルに、職員の賃金単価を記載してください（非常勤職員のみ）。
なお、賃金単価を入力する際には、</t>
    </r>
    <r>
      <rPr>
        <sz val="11"/>
        <color rgb="FFFF0000"/>
        <rFont val="Meiryo UI"/>
        <family val="3"/>
        <charset val="128"/>
      </rPr>
      <t>処遇改善等加算Ⅰ～Ⅲや千葉市手当など、他制度による支援額を除いた額</t>
    </r>
    <r>
      <rPr>
        <sz val="11"/>
        <color theme="1"/>
        <rFont val="Meiryo UI"/>
        <family val="3"/>
        <charset val="128"/>
      </rPr>
      <t>を入力ください。</t>
    </r>
    <rPh sb="10" eb="12">
      <t>ヒョウジ</t>
    </rPh>
    <rPh sb="21" eb="23">
      <t>ショクイン</t>
    </rPh>
    <rPh sb="24" eb="26">
      <t>チンギン</t>
    </rPh>
    <rPh sb="26" eb="28">
      <t>タンカ</t>
    </rPh>
    <rPh sb="29" eb="31">
      <t>キサイ</t>
    </rPh>
    <rPh sb="38" eb="41">
      <t>ヒジョウキン</t>
    </rPh>
    <rPh sb="41" eb="43">
      <t>ショクイン</t>
    </rPh>
    <phoneticPr fontId="1"/>
  </si>
  <si>
    <t>【当初⑧一般加算１、一般加算２】</t>
    <rPh sb="1" eb="3">
      <t>トウショ</t>
    </rPh>
    <rPh sb="4" eb="8">
      <t>イッパンカサン</t>
    </rPh>
    <rPh sb="10" eb="14">
      <t>イッパンカサン</t>
    </rPh>
    <phoneticPr fontId="1"/>
  </si>
  <si>
    <t>プルダウンメニューから、担当職員を選択してください。
【担当職員について】
なるべく、Ｄ列に記載の職種の職員を選択して下さい（短時間の非常勤の場合は、複数者を選択してください）。
なお、補助基準額に達しない場合、他職種の方でも構いませんが、複数の職種の方の混在はできません。</t>
    <phoneticPr fontId="1"/>
  </si>
  <si>
    <t>「勤務日数を記載（定期利用の場合、1と記載)」と表示されているセルに、職員の勤務日数を記載してください
（非常勤職員のみ）。
通勤に定期券を利用する者については、便宜上「1」を記載してください。</t>
    <rPh sb="24" eb="26">
      <t>ヒョウジ</t>
    </rPh>
    <rPh sb="35" eb="37">
      <t>ショクイン</t>
    </rPh>
    <rPh sb="38" eb="40">
      <t>キンム</t>
    </rPh>
    <rPh sb="40" eb="42">
      <t>ニッスウ</t>
    </rPh>
    <rPh sb="43" eb="45">
      <t>キサイ</t>
    </rPh>
    <rPh sb="53" eb="56">
      <t>ヒジョウキン</t>
    </rPh>
    <rPh sb="56" eb="58">
      <t>ショクイン</t>
    </rPh>
    <rPh sb="63" eb="65">
      <t>ツウキン</t>
    </rPh>
    <rPh sb="66" eb="69">
      <t>テイキケン</t>
    </rPh>
    <rPh sb="70" eb="72">
      <t>リヨウ</t>
    </rPh>
    <rPh sb="74" eb="75">
      <t>モノ</t>
    </rPh>
    <rPh sb="81" eb="83">
      <t>ベンギ</t>
    </rPh>
    <rPh sb="83" eb="84">
      <t>ジョウ</t>
    </rPh>
    <rPh sb="88" eb="90">
      <t>キサイ</t>
    </rPh>
    <phoneticPr fontId="1"/>
  </si>
  <si>
    <t>「日額の交通費を記載（定期利用の場合は月額)」と表示されているセルに、職員の交通費を記載してください
（非常勤職員のみ）。
通勤に定期券を利用する者については、定期券の金額（1カ月分）を記載してください。</t>
    <rPh sb="24" eb="26">
      <t>ヒョウジ</t>
    </rPh>
    <rPh sb="35" eb="37">
      <t>ショクイン</t>
    </rPh>
    <rPh sb="38" eb="41">
      <t>コウツウヒ</t>
    </rPh>
    <rPh sb="42" eb="44">
      <t>キサイ</t>
    </rPh>
    <rPh sb="52" eb="55">
      <t>ヒジョウキン</t>
    </rPh>
    <rPh sb="55" eb="57">
      <t>ショクイン</t>
    </rPh>
    <rPh sb="62" eb="64">
      <t>ツウキン</t>
    </rPh>
    <rPh sb="65" eb="68">
      <t>テイキケン</t>
    </rPh>
    <rPh sb="69" eb="71">
      <t>リヨウ</t>
    </rPh>
    <rPh sb="73" eb="74">
      <t>モノ</t>
    </rPh>
    <rPh sb="80" eb="83">
      <t>テイキケン</t>
    </rPh>
    <rPh sb="84" eb="86">
      <t>キンガク</t>
    </rPh>
    <rPh sb="89" eb="90">
      <t>ゲツ</t>
    </rPh>
    <rPh sb="90" eb="91">
      <t>ブン</t>
    </rPh>
    <rPh sb="93" eb="95">
      <t>キサイ</t>
    </rPh>
    <phoneticPr fontId="1"/>
  </si>
  <si>
    <t>(園ごとの固有番号）</t>
    <rPh sb="1" eb="2">
      <t>エン</t>
    </rPh>
    <rPh sb="5" eb="9">
      <t>コユウバンゴウ</t>
    </rPh>
    <phoneticPr fontId="15"/>
  </si>
  <si>
    <t>公定価格加算分</t>
    <rPh sb="0" eb="7">
      <t>コウテイカカクカサンブン</t>
    </rPh>
    <phoneticPr fontId="1"/>
  </si>
  <si>
    <t>公定価格加算分</t>
    <rPh sb="0" eb="7">
      <t>コウテイカカクカサンブン</t>
    </rPh>
    <phoneticPr fontId="15"/>
  </si>
  <si>
    <t>保育士等合計</t>
    <rPh sb="0" eb="4">
      <t>ホイクシトウ</t>
    </rPh>
    <rPh sb="4" eb="6">
      <t>ゴウケイ</t>
    </rPh>
    <phoneticPr fontId="1"/>
  </si>
  <si>
    <t>概算払いを希望しない場合は、現行の入力で問題ありません。</t>
    <rPh sb="0" eb="2">
      <t>ガイサン</t>
    </rPh>
    <rPh sb="2" eb="3">
      <t>バラ</t>
    </rPh>
    <rPh sb="5" eb="7">
      <t>キボウ</t>
    </rPh>
    <rPh sb="10" eb="12">
      <t>バアイ</t>
    </rPh>
    <rPh sb="14" eb="16">
      <t>ゲンコウ</t>
    </rPh>
    <rPh sb="17" eb="19">
      <t>ニュウリョク</t>
    </rPh>
    <rPh sb="20" eb="22">
      <t>モンダイ</t>
    </rPh>
    <phoneticPr fontId="1"/>
  </si>
  <si>
    <t>　令和７年度千葉市施設型給付対象施設保育士等配置基準改善事業補助金の交付を受けたいので、千葉市施設型給付対象施設運営事業補助金交付要綱第４条の規定により次のとおり申請します。　　</t>
    <rPh sb="1" eb="3">
      <t>レイワ</t>
    </rPh>
    <rPh sb="9" eb="12">
      <t>シセツガタ</t>
    </rPh>
    <rPh sb="12" eb="14">
      <t>キュウフ</t>
    </rPh>
    <rPh sb="14" eb="16">
      <t>タイショウ</t>
    </rPh>
    <rPh sb="16" eb="18">
      <t>シセツ</t>
    </rPh>
    <rPh sb="47" eb="50">
      <t>シセツガタ</t>
    </rPh>
    <rPh sb="50" eb="52">
      <t>キュウフ</t>
    </rPh>
    <rPh sb="52" eb="54">
      <t>タイショウ</t>
    </rPh>
    <rPh sb="54" eb="56">
      <t>シセツ</t>
    </rPh>
    <phoneticPr fontId="6"/>
  </si>
  <si>
    <t>（園ごとの固有番号）</t>
    <phoneticPr fontId="1"/>
  </si>
  <si>
    <t>幼保連携型認定こども園　若梅こども園</t>
  </si>
  <si>
    <t>（学）幸正学園</t>
  </si>
  <si>
    <t>さざれ幼稚園</t>
    <rPh sb="3" eb="6">
      <t>ヨウチエン</t>
    </rPh>
    <phoneticPr fontId="7"/>
  </si>
  <si>
    <t>千葉県旭市見広4226-2</t>
  </si>
  <si>
    <t>千葉市美浜区高洲１－１－２０</t>
  </si>
  <si>
    <t>千葉県八千代市八千代台東2-5-2</t>
  </si>
  <si>
    <t>東京都新宿区新宿5丁目1番1　202号</t>
  </si>
  <si>
    <t>伊藤　健彦</t>
  </si>
  <si>
    <t>大橋陽子</t>
  </si>
  <si>
    <t>リストチェック</t>
    <phoneticPr fontId="1"/>
  </si>
  <si>
    <t>判定</t>
    <rPh sb="0" eb="2">
      <t>ハンテイ</t>
    </rPh>
    <phoneticPr fontId="15"/>
  </si>
  <si>
    <t>幼保連携型認定こども園</t>
    <rPh sb="0" eb="1">
      <t>ヨウ</t>
    </rPh>
    <rPh sb="1" eb="2">
      <t>ホ</t>
    </rPh>
    <rPh sb="2" eb="5">
      <t>レンケイガタ</t>
    </rPh>
    <rPh sb="5" eb="7">
      <t>ニンテイ</t>
    </rPh>
    <rPh sb="10" eb="11">
      <t>エン</t>
    </rPh>
    <phoneticPr fontId="37"/>
  </si>
  <si>
    <t>保育所型認定こども園</t>
    <rPh sb="0" eb="2">
      <t>ホイク</t>
    </rPh>
    <rPh sb="2" eb="3">
      <t>ショ</t>
    </rPh>
    <rPh sb="3" eb="4">
      <t>ガタ</t>
    </rPh>
    <rPh sb="4" eb="6">
      <t>ニンテイ</t>
    </rPh>
    <rPh sb="9" eb="10">
      <t>エン</t>
    </rPh>
    <phoneticPr fontId="37"/>
  </si>
  <si>
    <t>地方裁量型認定こども園</t>
    <rPh sb="0" eb="2">
      <t>チホウ</t>
    </rPh>
    <rPh sb="2" eb="5">
      <t>サイリョウガタ</t>
    </rPh>
    <rPh sb="5" eb="7">
      <t>ニンテイ</t>
    </rPh>
    <rPh sb="10" eb="11">
      <t>エン</t>
    </rPh>
    <phoneticPr fontId="37"/>
  </si>
  <si>
    <t>認定こども園　あすみ中央幼稚園</t>
  </si>
  <si>
    <t>認定こども園　敬愛短期大学附属幼稚園</t>
  </si>
  <si>
    <t>1歳児加算単価</t>
    <rPh sb="5" eb="7">
      <t>タンカ</t>
    </rPh>
    <phoneticPr fontId="1"/>
  </si>
  <si>
    <t>1歳児加算有無
（4月）</t>
    <rPh sb="5" eb="7">
      <t>ウム</t>
    </rPh>
    <rPh sb="10" eb="11">
      <t>ツキ</t>
    </rPh>
    <phoneticPr fontId="1"/>
  </si>
  <si>
    <t>1歳児加算有無
（5月）</t>
    <rPh sb="5" eb="7">
      <t>ウム</t>
    </rPh>
    <rPh sb="10" eb="11">
      <t>ツキ</t>
    </rPh>
    <phoneticPr fontId="1"/>
  </si>
  <si>
    <t>1歳児加算有無
（6月）</t>
    <rPh sb="5" eb="7">
      <t>ウム</t>
    </rPh>
    <rPh sb="10" eb="11">
      <t>ツキ</t>
    </rPh>
    <phoneticPr fontId="1"/>
  </si>
  <si>
    <t>1歳児加算有無
（7月）</t>
    <rPh sb="5" eb="7">
      <t>ウム</t>
    </rPh>
    <rPh sb="10" eb="11">
      <t>ツキ</t>
    </rPh>
    <phoneticPr fontId="1"/>
  </si>
  <si>
    <t>1歳児加算有無
（8月）</t>
    <rPh sb="5" eb="7">
      <t>ウム</t>
    </rPh>
    <rPh sb="10" eb="11">
      <t>ツキ</t>
    </rPh>
    <phoneticPr fontId="1"/>
  </si>
  <si>
    <t>1歳児加算有無
（9月）</t>
    <rPh sb="5" eb="7">
      <t>ウム</t>
    </rPh>
    <rPh sb="10" eb="11">
      <t>ツキ</t>
    </rPh>
    <phoneticPr fontId="1"/>
  </si>
  <si>
    <t>1歳児加算有無
（10月）</t>
    <rPh sb="5" eb="7">
      <t>ウム</t>
    </rPh>
    <rPh sb="11" eb="12">
      <t>ツキ</t>
    </rPh>
    <phoneticPr fontId="1"/>
  </si>
  <si>
    <t>1歳児加算有無
（11月）</t>
    <rPh sb="5" eb="7">
      <t>ウム</t>
    </rPh>
    <rPh sb="11" eb="12">
      <t>ツキ</t>
    </rPh>
    <phoneticPr fontId="1"/>
  </si>
  <si>
    <t>1歳児加算有無
（12月）</t>
    <rPh sb="5" eb="7">
      <t>ウム</t>
    </rPh>
    <rPh sb="11" eb="12">
      <t>ツキ</t>
    </rPh>
    <phoneticPr fontId="1"/>
  </si>
  <si>
    <t>1歳児加算有無
（1月）</t>
    <rPh sb="5" eb="7">
      <t>ウム</t>
    </rPh>
    <rPh sb="10" eb="11">
      <t>ツキ</t>
    </rPh>
    <phoneticPr fontId="1"/>
  </si>
  <si>
    <t>1歳児加算有無
（2月）</t>
    <rPh sb="5" eb="7">
      <t>ウム</t>
    </rPh>
    <rPh sb="10" eb="11">
      <t>ツキ</t>
    </rPh>
    <phoneticPr fontId="1"/>
  </si>
  <si>
    <t>1歳児加算有無
（3月）</t>
    <rPh sb="5" eb="7">
      <t>ウム</t>
    </rPh>
    <rPh sb="10" eb="11">
      <t>ツキ</t>
    </rPh>
    <phoneticPr fontId="1"/>
  </si>
  <si>
    <t>1歳児数
（4月）</t>
    <rPh sb="2" eb="3">
      <t>ジ</t>
    </rPh>
    <rPh sb="3" eb="4">
      <t>スウ</t>
    </rPh>
    <rPh sb="7" eb="8">
      <t>ツキ</t>
    </rPh>
    <phoneticPr fontId="1"/>
  </si>
  <si>
    <t>1歳児数
（5月）</t>
    <rPh sb="2" eb="3">
      <t>ジ</t>
    </rPh>
    <rPh sb="3" eb="4">
      <t>スウ</t>
    </rPh>
    <rPh sb="7" eb="8">
      <t>ツキ</t>
    </rPh>
    <phoneticPr fontId="1"/>
  </si>
  <si>
    <t>1歳児数
（6月）</t>
    <rPh sb="2" eb="3">
      <t>ジ</t>
    </rPh>
    <rPh sb="3" eb="4">
      <t>スウ</t>
    </rPh>
    <rPh sb="7" eb="8">
      <t>ツキ</t>
    </rPh>
    <phoneticPr fontId="1"/>
  </si>
  <si>
    <t>1歳児数
（7月）</t>
    <rPh sb="2" eb="3">
      <t>ジ</t>
    </rPh>
    <rPh sb="3" eb="4">
      <t>スウ</t>
    </rPh>
    <rPh sb="7" eb="8">
      <t>ツキ</t>
    </rPh>
    <phoneticPr fontId="1"/>
  </si>
  <si>
    <t>1歳児数
（8月）</t>
    <rPh sb="2" eb="3">
      <t>ジ</t>
    </rPh>
    <rPh sb="3" eb="4">
      <t>スウ</t>
    </rPh>
    <rPh sb="7" eb="8">
      <t>ツキ</t>
    </rPh>
    <phoneticPr fontId="1"/>
  </si>
  <si>
    <t>1歳児数
（9月）</t>
    <rPh sb="2" eb="3">
      <t>ジ</t>
    </rPh>
    <rPh sb="3" eb="4">
      <t>スウ</t>
    </rPh>
    <rPh sb="7" eb="8">
      <t>ツキ</t>
    </rPh>
    <phoneticPr fontId="1"/>
  </si>
  <si>
    <t>1歳児数
（10月）</t>
    <rPh sb="2" eb="3">
      <t>ジ</t>
    </rPh>
    <rPh sb="3" eb="4">
      <t>スウ</t>
    </rPh>
    <rPh sb="8" eb="9">
      <t>ツキ</t>
    </rPh>
    <phoneticPr fontId="1"/>
  </si>
  <si>
    <t>1歳児数
（11月）</t>
    <rPh sb="2" eb="3">
      <t>ジ</t>
    </rPh>
    <rPh sb="3" eb="4">
      <t>スウ</t>
    </rPh>
    <rPh sb="8" eb="9">
      <t>ツキ</t>
    </rPh>
    <phoneticPr fontId="1"/>
  </si>
  <si>
    <t>1歳児数
（12月）</t>
    <rPh sb="2" eb="3">
      <t>ジ</t>
    </rPh>
    <rPh sb="3" eb="4">
      <t>スウ</t>
    </rPh>
    <rPh sb="8" eb="9">
      <t>ツキ</t>
    </rPh>
    <phoneticPr fontId="1"/>
  </si>
  <si>
    <t>1歳児数
（1月）</t>
    <rPh sb="2" eb="3">
      <t>ジ</t>
    </rPh>
    <rPh sb="3" eb="4">
      <t>スウ</t>
    </rPh>
    <rPh sb="7" eb="8">
      <t>ツキ</t>
    </rPh>
    <phoneticPr fontId="1"/>
  </si>
  <si>
    <t>令和7年9月</t>
    <rPh sb="0" eb="2">
      <t>レイワ</t>
    </rPh>
    <rPh sb="3" eb="4">
      <t>ネン</t>
    </rPh>
    <rPh sb="5" eb="6">
      <t>ガツ</t>
    </rPh>
    <phoneticPr fontId="1"/>
  </si>
  <si>
    <r>
      <rPr>
        <b/>
        <sz val="18"/>
        <color rgb="FFFF0000"/>
        <rFont val="HG丸ｺﾞｼｯｸM-PRO"/>
        <family val="3"/>
        <charset val="128"/>
      </rPr>
      <t>　　</t>
    </r>
    <r>
      <rPr>
        <b/>
        <u/>
        <sz val="18"/>
        <color rgb="FFFF0000"/>
        <rFont val="HG丸ｺﾞｼｯｸM-PRO"/>
        <family val="3"/>
        <charset val="128"/>
      </rPr>
      <t>令和７年９月３０日（火）必着</t>
    </r>
    <rPh sb="2" eb="4">
      <t>レイワ</t>
    </rPh>
    <rPh sb="5" eb="6">
      <t>ネン</t>
    </rPh>
    <rPh sb="12" eb="13">
      <t>ヒ</t>
    </rPh>
    <rPh sb="14" eb="16">
      <t>ヒッチャク</t>
    </rPh>
    <phoneticPr fontId="1"/>
  </si>
  <si>
    <t>〒260-0026　千葉県千葉市中央区千葉港１－１　本庁舎8階</t>
    <rPh sb="26" eb="29">
      <t>ホンチョウシャ</t>
    </rPh>
    <phoneticPr fontId="1"/>
  </si>
  <si>
    <t>１歳児配置改善加算の適用</t>
    <rPh sb="1" eb="3">
      <t>サイジ</t>
    </rPh>
    <rPh sb="3" eb="5">
      <t>ハイチ</t>
    </rPh>
    <rPh sb="5" eb="7">
      <t>カイゼン</t>
    </rPh>
    <rPh sb="7" eb="9">
      <t>カサン</t>
    </rPh>
    <rPh sb="10" eb="12">
      <t>テキヨウ</t>
    </rPh>
    <phoneticPr fontId="1"/>
  </si>
  <si>
    <t>支援センターの実施の有無をご確認ください。</t>
    <rPh sb="0" eb="2">
      <t>シエン</t>
    </rPh>
    <rPh sb="7" eb="9">
      <t>ジッシ</t>
    </rPh>
    <rPh sb="10" eb="12">
      <t>ウム</t>
    </rPh>
    <rPh sb="14" eb="16">
      <t>カクニン</t>
    </rPh>
    <phoneticPr fontId="1"/>
  </si>
  <si>
    <t>VLOOKUP</t>
  </si>
  <si>
    <t>児童数</t>
    <rPh sb="0" eb="3">
      <t>ジドウスウ</t>
    </rPh>
    <phoneticPr fontId="1"/>
  </si>
  <si>
    <t>②１歳児配置改善加算額相当額</t>
    <rPh sb="2" eb="4">
      <t>サイジ</t>
    </rPh>
    <rPh sb="3" eb="4">
      <t>ジ</t>
    </rPh>
    <rPh sb="4" eb="6">
      <t>ハイチ</t>
    </rPh>
    <rPh sb="6" eb="8">
      <t>カイゼン</t>
    </rPh>
    <rPh sb="8" eb="10">
      <t>カサン</t>
    </rPh>
    <rPh sb="10" eb="11">
      <t>ガク</t>
    </rPh>
    <rPh sb="11" eb="14">
      <t>ソウトウガク</t>
    </rPh>
    <phoneticPr fontId="1"/>
  </si>
  <si>
    <t>１歳児児童数</t>
    <rPh sb="1" eb="3">
      <t>サイジ</t>
    </rPh>
    <rPh sb="3" eb="6">
      <t>ジドウスウ</t>
    </rPh>
    <phoneticPr fontId="1"/>
  </si>
  <si>
    <t xml:space="preserve">・確認させていただいたところ、貴園の職員配置上、補助額はでませんでしたので、ご連絡です。
</t>
    <phoneticPr fontId="1"/>
  </si>
  <si>
    <t>・園で定める常勤時間数が空欄でしたので、前回以前のデータを参考に入力しております。</t>
    <phoneticPr fontId="1"/>
  </si>
  <si>
    <t>・貴園の職員配置状況を踏まえ、入力・修正しております。</t>
    <phoneticPr fontId="1"/>
  </si>
  <si>
    <t>・№契約時間、勤務時間等から常勤職員となりますので、「パート・常」へ修正しております。</t>
    <phoneticPr fontId="1"/>
  </si>
  <si>
    <t>・№契約時間、勤務時間等から非常勤職員となりますので、「パート・非」へ修正しております。</t>
    <phoneticPr fontId="1"/>
  </si>
  <si>
    <t>・№黄色セルへ賃金単価等を入力ください。</t>
    <phoneticPr fontId="1"/>
  </si>
  <si>
    <t>・栄養士がおり、人工が充足している月は、栄養管理加算を配置へ修正しておりますのでご留意ください。</t>
    <phoneticPr fontId="1"/>
  </si>
  <si>
    <t>　　（この点についてご不明な点等があれば、給付担当までご連絡ください。）</t>
  </si>
  <si>
    <t>・№未入力のため入力しましたのでご確認ください。</t>
    <rPh sb="2" eb="5">
      <t>ミニュウリョク</t>
    </rPh>
    <rPh sb="8" eb="10">
      <t>ニュウリョク</t>
    </rPh>
    <rPh sb="17" eb="19">
      <t>カクニン</t>
    </rPh>
    <phoneticPr fontId="1"/>
  </si>
  <si>
    <t>・№未入力のため入力してください。</t>
    <rPh sb="2" eb="5">
      <t>ミニュウリョク</t>
    </rPh>
    <rPh sb="8" eb="10">
      <t>ニュウリョク</t>
    </rPh>
    <phoneticPr fontId="1"/>
  </si>
  <si>
    <t>特定１</t>
    <rPh sb="0" eb="2">
      <t>トクテイ</t>
    </rPh>
    <phoneticPr fontId="43"/>
  </si>
  <si>
    <t>補助人工</t>
    <rPh sb="0" eb="4">
      <t>ホジョニンク</t>
    </rPh>
    <phoneticPr fontId="43"/>
  </si>
  <si>
    <t>職種</t>
    <rPh sb="0" eb="2">
      <t>ショクシュ</t>
    </rPh>
    <phoneticPr fontId="43"/>
  </si>
  <si>
    <t>4月</t>
    <rPh sb="1" eb="2">
      <t>ツキ</t>
    </rPh>
    <phoneticPr fontId="1"/>
  </si>
  <si>
    <t>補助転記シート</t>
    <phoneticPr fontId="43"/>
  </si>
  <si>
    <t>①基本情報シート</t>
    <phoneticPr fontId="43"/>
  </si>
  <si>
    <t>保育士等合計（F列）</t>
    <rPh sb="0" eb="4">
      <t>ホイクシトウ</t>
    </rPh>
    <rPh sb="4" eb="6">
      <t>ゴウケイ</t>
    </rPh>
    <rPh sb="8" eb="9">
      <t>レツ</t>
    </rPh>
    <phoneticPr fontId="43"/>
  </si>
  <si>
    <t>要配慮保育（29行）</t>
    <rPh sb="0" eb="1">
      <t>ヨウ</t>
    </rPh>
    <rPh sb="1" eb="3">
      <t>ハイリョ</t>
    </rPh>
    <rPh sb="3" eb="5">
      <t>ホイク</t>
    </rPh>
    <rPh sb="8" eb="9">
      <t>ギョウ</t>
    </rPh>
    <phoneticPr fontId="43"/>
  </si>
  <si>
    <t>児童数（AB列）36人以上</t>
    <rPh sb="0" eb="3">
      <t>ジドウスウ</t>
    </rPh>
    <rPh sb="6" eb="7">
      <t>レツ</t>
    </rPh>
    <rPh sb="10" eb="13">
      <t>ニンイジョウ</t>
    </rPh>
    <phoneticPr fontId="43"/>
  </si>
  <si>
    <t>事務員等（M列）</t>
    <rPh sb="0" eb="4">
      <t>ジムイントウ</t>
    </rPh>
    <rPh sb="6" eb="7">
      <t>レツ</t>
    </rPh>
    <phoneticPr fontId="43"/>
  </si>
  <si>
    <t>端数合計（F、H、I、M）</t>
    <rPh sb="0" eb="4">
      <t>ハスウゴウケイ</t>
    </rPh>
    <phoneticPr fontId="43"/>
  </si>
  <si>
    <t>調理員＋端数</t>
    <rPh sb="0" eb="3">
      <t>チョウリイン</t>
    </rPh>
    <rPh sb="4" eb="6">
      <t>ハスウ</t>
    </rPh>
    <phoneticPr fontId="43"/>
  </si>
  <si>
    <t>-</t>
    <phoneticPr fontId="43"/>
  </si>
  <si>
    <t>0未満</t>
    <rPh sb="1" eb="3">
      <t>ミマン</t>
    </rPh>
    <phoneticPr fontId="43"/>
  </si>
  <si>
    <t>1未満</t>
    <rPh sb="1" eb="3">
      <t>ミマン</t>
    </rPh>
    <phoneticPr fontId="43"/>
  </si>
  <si>
    <t>調理師等</t>
    <rPh sb="0" eb="4">
      <t>チョウリシトウ</t>
    </rPh>
    <phoneticPr fontId="43"/>
  </si>
  <si>
    <t>調理員等</t>
    <rPh sb="0" eb="3">
      <t>チョウリイン</t>
    </rPh>
    <rPh sb="3" eb="4">
      <t>トウ</t>
    </rPh>
    <phoneticPr fontId="43"/>
  </si>
  <si>
    <t>2以上</t>
    <rPh sb="1" eb="3">
      <t>イジョウ</t>
    </rPh>
    <phoneticPr fontId="43"/>
  </si>
  <si>
    <t>1以上</t>
    <rPh sb="1" eb="3">
      <t>イジョウ</t>
    </rPh>
    <phoneticPr fontId="43"/>
  </si>
  <si>
    <t>3以上</t>
    <rPh sb="1" eb="3">
      <t>イジョウ</t>
    </rPh>
    <phoneticPr fontId="43"/>
  </si>
  <si>
    <t>4以上</t>
    <rPh sb="1" eb="3">
      <t>イジョウ</t>
    </rPh>
    <phoneticPr fontId="43"/>
  </si>
  <si>
    <t>8以上</t>
    <rPh sb="1" eb="3">
      <t>イジョウ</t>
    </rPh>
    <phoneticPr fontId="43"/>
  </si>
  <si>
    <t>5以上</t>
    <rPh sb="1" eb="3">
      <t>イジョウ</t>
    </rPh>
    <phoneticPr fontId="43"/>
  </si>
  <si>
    <t>端数合計</t>
    <rPh sb="0" eb="4">
      <t>ハスウゴウケイ</t>
    </rPh>
    <phoneticPr fontId="1"/>
  </si>
  <si>
    <t>端数合計の端数</t>
    <rPh sb="0" eb="2">
      <t>ハスウ</t>
    </rPh>
    <rPh sb="2" eb="4">
      <t>ゴウケイ</t>
    </rPh>
    <rPh sb="5" eb="7">
      <t>ハスウ</t>
    </rPh>
    <phoneticPr fontId="1"/>
  </si>
  <si>
    <t>（F、H、I、M）</t>
    <phoneticPr fontId="1"/>
  </si>
  <si>
    <t>保育教諭等</t>
    <phoneticPr fontId="43"/>
  </si>
  <si>
    <t>教育・保育支援者</t>
  </si>
  <si>
    <t>令和７年１１月</t>
    <rPh sb="0" eb="2">
      <t>レイワ</t>
    </rPh>
    <rPh sb="3" eb="4">
      <t>ネン</t>
    </rPh>
    <rPh sb="6" eb="7">
      <t>ガツ</t>
    </rPh>
    <phoneticPr fontId="1"/>
  </si>
  <si>
    <t>　　令和７年１１月１８日（火）　　　</t>
    <rPh sb="2" eb="4">
      <t>レイワ</t>
    </rPh>
    <rPh sb="5" eb="6">
      <t>ネン</t>
    </rPh>
    <rPh sb="8" eb="9">
      <t>ガツ</t>
    </rPh>
    <rPh sb="11" eb="12">
      <t>ニチ</t>
    </rPh>
    <rPh sb="13" eb="14">
      <t>ヒ</t>
    </rPh>
    <phoneticPr fontId="1"/>
  </si>
  <si>
    <t>令和　　年　　月　　日</t>
    <rPh sb="0" eb="2">
      <t>レイワ</t>
    </rPh>
    <rPh sb="4" eb="5">
      <t>ネン</t>
    </rPh>
    <rPh sb="7" eb="8">
      <t>ツキ</t>
    </rPh>
    <rPh sb="10" eb="11">
      <t>ニチ</t>
    </rPh>
    <phoneticPr fontId="1"/>
  </si>
  <si>
    <t>y</t>
    <phoneticPr fontId="1"/>
  </si>
  <si>
    <t>配置状況</t>
    <phoneticPr fontId="1"/>
  </si>
  <si>
    <t>am</t>
    <phoneticPr fontId="1"/>
  </si>
  <si>
    <t>an</t>
    <phoneticPr fontId="1"/>
  </si>
  <si>
    <t>ap</t>
    <phoneticPr fontId="1"/>
  </si>
  <si>
    <t>aq</t>
    <phoneticPr fontId="1"/>
  </si>
  <si>
    <t>ar</t>
    <phoneticPr fontId="1"/>
  </si>
  <si>
    <t>入力必須の項目のため、必ず入力してください。</t>
    <rPh sb="0" eb="2">
      <t>ニュウリョク</t>
    </rPh>
    <rPh sb="2" eb="4">
      <t>ヒッス</t>
    </rPh>
    <rPh sb="5" eb="7">
      <t>コウモク</t>
    </rPh>
    <rPh sb="11" eb="12">
      <t>カナラ</t>
    </rPh>
    <rPh sb="13" eb="15">
      <t>ニュウリョク</t>
    </rPh>
    <phoneticPr fontId="15"/>
  </si>
  <si>
    <t>⑪特定加算２の賃金単価が入力されているか</t>
    <rPh sb="7" eb="11">
      <t>チンギンタンカ</t>
    </rPh>
    <rPh sb="12" eb="14">
      <t>ニュウリョク</t>
    </rPh>
    <phoneticPr fontId="1"/>
  </si>
  <si>
    <t>⑪特定加算２の対象者名が入力されているか</t>
    <rPh sb="7" eb="10">
      <t>タイショウシャ</t>
    </rPh>
    <rPh sb="10" eb="11">
      <t>メイ</t>
    </rPh>
    <rPh sb="12" eb="14">
      <t>ニュウリョク</t>
    </rPh>
    <phoneticPr fontId="1"/>
  </si>
  <si>
    <t>⑩特定加算１の賃金単価が入力されているか</t>
    <rPh sb="7" eb="11">
      <t>チンギンタンカ</t>
    </rPh>
    <rPh sb="12" eb="14">
      <t>ニュウリョク</t>
    </rPh>
    <phoneticPr fontId="1"/>
  </si>
  <si>
    <t>⑩特定加算１の対象者名が入力されているか</t>
    <rPh sb="7" eb="10">
      <t>タイショウシャ</t>
    </rPh>
    <rPh sb="10" eb="11">
      <t>メイ</t>
    </rPh>
    <rPh sb="12" eb="14">
      <t>ニュウリョク</t>
    </rPh>
    <phoneticPr fontId="1"/>
  </si>
  <si>
    <t>入力必須の項目のため、必ず入力してください。
交通費を支給していない場合は０を入力してください。</t>
    <rPh sb="0" eb="2">
      <t>ニュウリョク</t>
    </rPh>
    <rPh sb="2" eb="4">
      <t>ヒッス</t>
    </rPh>
    <rPh sb="5" eb="7">
      <t>コウモク</t>
    </rPh>
    <rPh sb="11" eb="12">
      <t>カナラ</t>
    </rPh>
    <rPh sb="13" eb="15">
      <t>ニュウリョク</t>
    </rPh>
    <rPh sb="23" eb="26">
      <t>コウツウヒ</t>
    </rPh>
    <rPh sb="27" eb="29">
      <t>シキュウ</t>
    </rPh>
    <rPh sb="34" eb="36">
      <t>バアイ</t>
    </rPh>
    <rPh sb="39" eb="41">
      <t>ニュウリョク</t>
    </rPh>
    <phoneticPr fontId="15"/>
  </si>
  <si>
    <t>⑧一般加算１の交通費単価が入力されているか</t>
    <rPh sb="7" eb="10">
      <t>コウツウヒ</t>
    </rPh>
    <rPh sb="10" eb="12">
      <t>タンカ</t>
    </rPh>
    <rPh sb="13" eb="15">
      <t>ニュウリョク</t>
    </rPh>
    <phoneticPr fontId="1"/>
  </si>
  <si>
    <t>⑧一般加算１の勤務日数が入力されているか</t>
    <rPh sb="7" eb="11">
      <t>キンムニッスウ</t>
    </rPh>
    <rPh sb="12" eb="14">
      <t>ニュウリョク</t>
    </rPh>
    <phoneticPr fontId="1"/>
  </si>
  <si>
    <t>⑧一般加算１の賃金単価が入力されているか</t>
    <rPh sb="7" eb="11">
      <t>チンギンタンカ</t>
    </rPh>
    <rPh sb="12" eb="14">
      <t>ニュウリョク</t>
    </rPh>
    <phoneticPr fontId="1"/>
  </si>
  <si>
    <t>⑧一般加算１の対象者名が入力されているか</t>
    <rPh sb="7" eb="10">
      <t>タイショウシャ</t>
    </rPh>
    <rPh sb="10" eb="11">
      <t>メイ</t>
    </rPh>
    <rPh sb="12" eb="14">
      <t>ニュウリョク</t>
    </rPh>
    <phoneticPr fontId="1"/>
  </si>
  <si>
    <t>⑦基本加算３の対象者名が入力されているか</t>
    <rPh sb="7" eb="10">
      <t>タイショウシャ</t>
    </rPh>
    <rPh sb="10" eb="11">
      <t>メイ</t>
    </rPh>
    <rPh sb="12" eb="14">
      <t>ニュウリョク</t>
    </rPh>
    <phoneticPr fontId="1"/>
  </si>
  <si>
    <t>⑥基本加算２の賃金単価が入力されているか</t>
    <rPh sb="7" eb="11">
      <t>チンギンタンカ</t>
    </rPh>
    <rPh sb="12" eb="14">
      <t>ニュウリョク</t>
    </rPh>
    <phoneticPr fontId="1"/>
  </si>
  <si>
    <t>⑥基本加算２の対象者名が入力されているか</t>
    <rPh sb="7" eb="10">
      <t>タイショウシャ</t>
    </rPh>
    <rPh sb="10" eb="11">
      <t>メイ</t>
    </rPh>
    <rPh sb="12" eb="14">
      <t>ニュウリョク</t>
    </rPh>
    <phoneticPr fontId="1"/>
  </si>
  <si>
    <t>⑤基本加算１の賃金単価が入力されているか</t>
    <rPh sb="7" eb="11">
      <t>チンギンタンカ</t>
    </rPh>
    <rPh sb="12" eb="14">
      <t>ニュウリョク</t>
    </rPh>
    <phoneticPr fontId="1"/>
  </si>
  <si>
    <t>⑤基本加算１の対象者名が入力されているか</t>
    <rPh sb="7" eb="10">
      <t>タイショウシャ</t>
    </rPh>
    <rPh sb="10" eb="11">
      <t>メイ</t>
    </rPh>
    <rPh sb="12" eb="14">
      <t>ニュウリョク</t>
    </rPh>
    <phoneticPr fontId="1"/>
  </si>
  <si>
    <t>③児童数及び保育士定数の児童数が入力されているか</t>
    <rPh sb="12" eb="15">
      <t>ジドウスウ</t>
    </rPh>
    <rPh sb="16" eb="18">
      <t>ニュウリョク</t>
    </rPh>
    <phoneticPr fontId="1"/>
  </si>
  <si>
    <t>②-2勤務時間数入力の就業規則に定める月の「常勤時間数」が入力されているか</t>
    <rPh sb="29" eb="31">
      <t>ニュウリョク</t>
    </rPh>
    <phoneticPr fontId="1"/>
  </si>
  <si>
    <t>②-1職員名簿の備考が入力されているか</t>
    <rPh sb="3" eb="7">
      <t>ショクインメイボ</t>
    </rPh>
    <rPh sb="8" eb="10">
      <t>ビコウ</t>
    </rPh>
    <rPh sb="11" eb="13">
      <t>ニュウリョク</t>
    </rPh>
    <phoneticPr fontId="15"/>
  </si>
  <si>
    <t>労働契約上の就業時間が就業規則に定める月の「常勤時間数」より少ない場合は非常勤となります。勤務形態又は労働契約上の就業時間を修正してください。</t>
    <rPh sb="30" eb="31">
      <t>スク</t>
    </rPh>
    <rPh sb="33" eb="35">
      <t>バアイ</t>
    </rPh>
    <rPh sb="36" eb="39">
      <t>ヒジョウキン</t>
    </rPh>
    <rPh sb="45" eb="49">
      <t>キンムケイタイ</t>
    </rPh>
    <rPh sb="49" eb="50">
      <t>マタ</t>
    </rPh>
    <rPh sb="51" eb="55">
      <t>ロウドウケイヤク</t>
    </rPh>
    <rPh sb="55" eb="56">
      <t>ジョウ</t>
    </rPh>
    <rPh sb="57" eb="61">
      <t>シュウギョウジカン</t>
    </rPh>
    <rPh sb="62" eb="64">
      <t>シュウセイ</t>
    </rPh>
    <phoneticPr fontId="1"/>
  </si>
  <si>
    <t>②-1職員名簿の勤務形態に誤りがないか</t>
    <rPh sb="3" eb="7">
      <t>ショクインメイボ</t>
    </rPh>
    <rPh sb="8" eb="12">
      <t>キンムケイタイ</t>
    </rPh>
    <rPh sb="13" eb="14">
      <t>アヤマ</t>
    </rPh>
    <phoneticPr fontId="15"/>
  </si>
  <si>
    <t>栄養士を1名以上入力してください。</t>
    <rPh sb="0" eb="3">
      <t>エイヨウシ</t>
    </rPh>
    <rPh sb="5" eb="8">
      <t>メイイジョウ</t>
    </rPh>
    <rPh sb="8" eb="10">
      <t>ニュウリョク</t>
    </rPh>
    <phoneticPr fontId="1"/>
  </si>
  <si>
    <t>②-1職員名簿に栄養管理加算対象者がいるか</t>
    <rPh sb="3" eb="7">
      <t>ショクインメイボ</t>
    </rPh>
    <rPh sb="8" eb="14">
      <t>エイヨウカンリカサン</t>
    </rPh>
    <rPh sb="14" eb="17">
      <t>タイショウシャ</t>
    </rPh>
    <phoneticPr fontId="15"/>
  </si>
  <si>
    <t>高齢者等活躍促進加算対象者の主に従事する業務を高齢者等活躍促進加算対象者にしてください。</t>
    <rPh sb="14" eb="15">
      <t>オモ</t>
    </rPh>
    <rPh sb="16" eb="18">
      <t>ジュウジ</t>
    </rPh>
    <rPh sb="20" eb="22">
      <t>ギョウム</t>
    </rPh>
    <phoneticPr fontId="1"/>
  </si>
  <si>
    <t>②-1職員名簿に高齢者等活躍促進加算対象者がいるか</t>
    <rPh sb="3" eb="7">
      <t>ショクインメイボ</t>
    </rPh>
    <rPh sb="8" eb="11">
      <t>コウレイシャ</t>
    </rPh>
    <rPh sb="11" eb="12">
      <t>トウ</t>
    </rPh>
    <rPh sb="12" eb="14">
      <t>カツヤク</t>
    </rPh>
    <rPh sb="14" eb="16">
      <t>ソクシン</t>
    </rPh>
    <rPh sb="16" eb="18">
      <t>カサン</t>
    </rPh>
    <rPh sb="18" eb="21">
      <t>タイショウシャ</t>
    </rPh>
    <phoneticPr fontId="15"/>
  </si>
  <si>
    <t>支援センターで業務する職員の主に従事する業務を支援センターにしてください。</t>
    <rPh sb="0" eb="2">
      <t>シエン</t>
    </rPh>
    <rPh sb="7" eb="9">
      <t>ギョウム</t>
    </rPh>
    <rPh sb="11" eb="13">
      <t>ショクイン</t>
    </rPh>
    <rPh sb="14" eb="15">
      <t>オモ</t>
    </rPh>
    <rPh sb="16" eb="18">
      <t>ジュウジ</t>
    </rPh>
    <rPh sb="20" eb="22">
      <t>ギョウム</t>
    </rPh>
    <rPh sb="23" eb="25">
      <t>シエン</t>
    </rPh>
    <phoneticPr fontId="1"/>
  </si>
  <si>
    <t>②-1職員名簿に支援センター対象者がいるか</t>
    <rPh sb="3" eb="7">
      <t>ショクインメイボ</t>
    </rPh>
    <rPh sb="8" eb="10">
      <t>シエン</t>
    </rPh>
    <rPh sb="14" eb="17">
      <t>タイショウシャ</t>
    </rPh>
    <phoneticPr fontId="15"/>
  </si>
  <si>
    <t>保育士1名の主に従事する業務を一時預かりにしてください。</t>
    <rPh sb="0" eb="3">
      <t>ホイクシ</t>
    </rPh>
    <rPh sb="4" eb="5">
      <t>メイ</t>
    </rPh>
    <rPh sb="6" eb="7">
      <t>オモ</t>
    </rPh>
    <rPh sb="8" eb="10">
      <t>ジュウジ</t>
    </rPh>
    <rPh sb="12" eb="14">
      <t>ギョウム</t>
    </rPh>
    <rPh sb="15" eb="18">
      <t>イチジアズ</t>
    </rPh>
    <phoneticPr fontId="1"/>
  </si>
  <si>
    <t>②-1職員名簿に一時預かり対象者がいるか</t>
    <rPh sb="3" eb="7">
      <t>ショクインメイボ</t>
    </rPh>
    <rPh sb="8" eb="11">
      <t>イチジアズ</t>
    </rPh>
    <rPh sb="13" eb="16">
      <t>タイショウシャ</t>
    </rPh>
    <phoneticPr fontId="15"/>
  </si>
  <si>
    <t>正しい退職等年月日に修正してください。</t>
    <rPh sb="0" eb="1">
      <t>タダ</t>
    </rPh>
    <rPh sb="3" eb="5">
      <t>タイショク</t>
    </rPh>
    <rPh sb="5" eb="6">
      <t>トウ</t>
    </rPh>
    <rPh sb="6" eb="9">
      <t>ネンガッピ</t>
    </rPh>
    <rPh sb="10" eb="12">
      <t>シュウセイ</t>
    </rPh>
    <phoneticPr fontId="1"/>
  </si>
  <si>
    <t>②-1職員名簿の退職等年月日が翌年度以降の日付ではないか</t>
    <rPh sb="3" eb="7">
      <t>ショクインメイボ</t>
    </rPh>
    <rPh sb="8" eb="10">
      <t>タイショク</t>
    </rPh>
    <rPh sb="10" eb="11">
      <t>トウ</t>
    </rPh>
    <rPh sb="11" eb="14">
      <t>ネンガッピ</t>
    </rPh>
    <rPh sb="15" eb="18">
      <t>ヨクネンド</t>
    </rPh>
    <rPh sb="18" eb="20">
      <t>イコウ</t>
    </rPh>
    <rPh sb="21" eb="23">
      <t>ヒヅケ</t>
    </rPh>
    <phoneticPr fontId="15"/>
  </si>
  <si>
    <t>正しい採用等年月日に修正してください。</t>
    <rPh sb="0" eb="1">
      <t>タダ</t>
    </rPh>
    <rPh sb="3" eb="9">
      <t>サイヨウトウネンガッピ</t>
    </rPh>
    <rPh sb="10" eb="12">
      <t>シュウセイ</t>
    </rPh>
    <phoneticPr fontId="1"/>
  </si>
  <si>
    <t>②-1職員名簿の採用等年月日が翌年度以降の日付ではないか</t>
    <rPh sb="3" eb="7">
      <t>ショクインメイボ</t>
    </rPh>
    <rPh sb="8" eb="11">
      <t>サイヨ</t>
    </rPh>
    <rPh sb="11" eb="14">
      <t>ネンガッピ</t>
    </rPh>
    <rPh sb="15" eb="18">
      <t>ヨクネンド</t>
    </rPh>
    <rPh sb="18" eb="20">
      <t>イコウ</t>
    </rPh>
    <rPh sb="21" eb="23">
      <t>ヒヅケ</t>
    </rPh>
    <phoneticPr fontId="15"/>
  </si>
  <si>
    <t>採用等年月日が退職等年月日より前の日付になるように修正してください。</t>
    <rPh sb="0" eb="6">
      <t>サイヨウトウネンガッピ</t>
    </rPh>
    <rPh sb="7" eb="10">
      <t>タイショクトウ</t>
    </rPh>
    <rPh sb="10" eb="13">
      <t>ネンガッピ</t>
    </rPh>
    <rPh sb="15" eb="16">
      <t>マエ</t>
    </rPh>
    <rPh sb="17" eb="19">
      <t>ヒヅケ</t>
    </rPh>
    <rPh sb="25" eb="27">
      <t>シュウセイ</t>
    </rPh>
    <phoneticPr fontId="1"/>
  </si>
  <si>
    <t>②-1職員名簿の採用等年月日が退職等年月日より後の日付ではないか</t>
    <rPh sb="3" eb="7">
      <t>ショクインメイボ</t>
    </rPh>
    <rPh sb="8" eb="11">
      <t>サイヨ</t>
    </rPh>
    <rPh sb="11" eb="14">
      <t>ネンガッピ</t>
    </rPh>
    <rPh sb="15" eb="18">
      <t>タイショクトウ</t>
    </rPh>
    <rPh sb="18" eb="21">
      <t>ネンガッピ</t>
    </rPh>
    <rPh sb="23" eb="24">
      <t>アト</t>
    </rPh>
    <rPh sb="25" eb="27">
      <t>ヒヅケ</t>
    </rPh>
    <phoneticPr fontId="15"/>
  </si>
  <si>
    <t>職種が園長の場合は主に従事する業務を園長にしてください。</t>
    <rPh sb="0" eb="2">
      <t>ショクシュ</t>
    </rPh>
    <rPh sb="3" eb="5">
      <t>エンチョウ</t>
    </rPh>
    <rPh sb="6" eb="8">
      <t>バアイ</t>
    </rPh>
    <rPh sb="9" eb="10">
      <t>オモ</t>
    </rPh>
    <rPh sb="11" eb="13">
      <t>ジュウジ</t>
    </rPh>
    <rPh sb="15" eb="17">
      <t>ギョウム</t>
    </rPh>
    <rPh sb="18" eb="20">
      <t>エンチョウ</t>
    </rPh>
    <phoneticPr fontId="1"/>
  </si>
  <si>
    <t>②-1職員名簿の主に従事する業務が園長か</t>
    <rPh sb="3" eb="7">
      <t>ショクインメイボ</t>
    </rPh>
    <rPh sb="8" eb="9">
      <t>オモ</t>
    </rPh>
    <rPh sb="10" eb="12">
      <t>ジュウジ</t>
    </rPh>
    <rPh sb="14" eb="16">
      <t>ギョウム</t>
    </rPh>
    <rPh sb="17" eb="19">
      <t>エンチョウ</t>
    </rPh>
    <phoneticPr fontId="15"/>
  </si>
  <si>
    <t>退職等年月日が入力されている場合は必須の項目のため、入力してください。</t>
    <rPh sb="0" eb="6">
      <t>タイショクトウネンガッピ</t>
    </rPh>
    <rPh sb="7" eb="9">
      <t>ニュウリョク</t>
    </rPh>
    <rPh sb="14" eb="16">
      <t>バアイ</t>
    </rPh>
    <rPh sb="17" eb="19">
      <t>ヒッス</t>
    </rPh>
    <rPh sb="20" eb="22">
      <t>コウモク</t>
    </rPh>
    <rPh sb="26" eb="28">
      <t>ニュウリョク</t>
    </rPh>
    <phoneticPr fontId="15"/>
  </si>
  <si>
    <t>②-1職員名簿の退職等事由が入力されているか</t>
    <rPh sb="3" eb="7">
      <t>ショクインメイボ</t>
    </rPh>
    <rPh sb="8" eb="11">
      <t>タイショクトウ</t>
    </rPh>
    <rPh sb="11" eb="13">
      <t>ジユウ</t>
    </rPh>
    <rPh sb="14" eb="16">
      <t>ニュウリョク</t>
    </rPh>
    <phoneticPr fontId="15"/>
  </si>
  <si>
    <t>退職事由が入力されている場合は必須の項目のため、入力してください。</t>
    <rPh sb="0" eb="2">
      <t>タイショク</t>
    </rPh>
    <rPh sb="2" eb="4">
      <t>ジユウ</t>
    </rPh>
    <rPh sb="5" eb="7">
      <t>ニュウリョク</t>
    </rPh>
    <rPh sb="12" eb="14">
      <t>バアイ</t>
    </rPh>
    <rPh sb="15" eb="17">
      <t>ヒッス</t>
    </rPh>
    <rPh sb="18" eb="20">
      <t>コウモク</t>
    </rPh>
    <rPh sb="24" eb="26">
      <t>ニュウリョク</t>
    </rPh>
    <phoneticPr fontId="15"/>
  </si>
  <si>
    <t>②-1職員名簿の退職等年月日が入力されているか</t>
    <rPh sb="3" eb="7">
      <t>ショクインメイボ</t>
    </rPh>
    <rPh sb="8" eb="11">
      <t>タイショクトウ</t>
    </rPh>
    <rPh sb="11" eb="14">
      <t>ネンガッピ</t>
    </rPh>
    <rPh sb="15" eb="17">
      <t>ニュウリョク</t>
    </rPh>
    <phoneticPr fontId="15"/>
  </si>
  <si>
    <t>職種が要件緩和対象の場合は入力必須の項目のため、必ず入力してください。</t>
    <rPh sb="0" eb="2">
      <t>ショクシュ</t>
    </rPh>
    <rPh sb="3" eb="5">
      <t>ヨウケン</t>
    </rPh>
    <rPh sb="5" eb="7">
      <t>カンワ</t>
    </rPh>
    <rPh sb="7" eb="9">
      <t>タイショウ</t>
    </rPh>
    <rPh sb="10" eb="12">
      <t>バアイ</t>
    </rPh>
    <rPh sb="13" eb="15">
      <t>ニュウリョク</t>
    </rPh>
    <rPh sb="15" eb="17">
      <t>ヒッス</t>
    </rPh>
    <rPh sb="18" eb="20">
      <t>コウモク</t>
    </rPh>
    <rPh sb="24" eb="25">
      <t>カナラ</t>
    </rPh>
    <rPh sb="26" eb="28">
      <t>ニュウリョク</t>
    </rPh>
    <phoneticPr fontId="15"/>
  </si>
  <si>
    <t>②-1職員名簿の要件緩和適用開始日が入力されているか</t>
    <rPh sb="3" eb="7">
      <t>ショクインメイボ</t>
    </rPh>
    <rPh sb="8" eb="12">
      <t>ヨウケンカンワ</t>
    </rPh>
    <rPh sb="12" eb="17">
      <t>テキヨウカイシビ</t>
    </rPh>
    <rPh sb="18" eb="20">
      <t>ニュウリョク</t>
    </rPh>
    <phoneticPr fontId="15"/>
  </si>
  <si>
    <t>職種が調理員以外の場合は便宜上調理師資格「有」を削除してください。</t>
    <rPh sb="0" eb="2">
      <t>ショクシュ</t>
    </rPh>
    <rPh sb="3" eb="6">
      <t>チョウリイン</t>
    </rPh>
    <rPh sb="6" eb="8">
      <t>イガイ</t>
    </rPh>
    <rPh sb="9" eb="11">
      <t>バアイ</t>
    </rPh>
    <rPh sb="12" eb="15">
      <t>ベンギジョウ</t>
    </rPh>
    <rPh sb="15" eb="18">
      <t>チョウリシ</t>
    </rPh>
    <rPh sb="18" eb="20">
      <t>シカク</t>
    </rPh>
    <rPh sb="21" eb="22">
      <t>アリ</t>
    </rPh>
    <rPh sb="24" eb="26">
      <t>サクジョ</t>
    </rPh>
    <phoneticPr fontId="1"/>
  </si>
  <si>
    <t>②-1職員名簿の調理師資格が有になっていないか</t>
    <rPh sb="3" eb="7">
      <t>ショクインメイボ</t>
    </rPh>
    <rPh sb="8" eb="11">
      <t>チョウリシ</t>
    </rPh>
    <rPh sb="11" eb="13">
      <t>シカク</t>
    </rPh>
    <rPh sb="14" eb="15">
      <t>ア</t>
    </rPh>
    <phoneticPr fontId="15"/>
  </si>
  <si>
    <t>職種が栄養士以外の場合は便宜上栄養士資格「有」を削除してください。</t>
    <rPh sb="0" eb="2">
      <t>ショクシュ</t>
    </rPh>
    <rPh sb="3" eb="6">
      <t>エイヨウシ</t>
    </rPh>
    <rPh sb="6" eb="8">
      <t>イガイ</t>
    </rPh>
    <rPh sb="9" eb="11">
      <t>バアイ</t>
    </rPh>
    <rPh sb="12" eb="15">
      <t>ベンギジョウ</t>
    </rPh>
    <rPh sb="15" eb="18">
      <t>エイヨウシ</t>
    </rPh>
    <rPh sb="18" eb="20">
      <t>シカク</t>
    </rPh>
    <rPh sb="21" eb="22">
      <t>アリ</t>
    </rPh>
    <rPh sb="24" eb="26">
      <t>サクジョ</t>
    </rPh>
    <phoneticPr fontId="1"/>
  </si>
  <si>
    <t>②-1職員名簿の栄養士資格が有になっていないか</t>
    <rPh sb="3" eb="7">
      <t>ショクインメイボ</t>
    </rPh>
    <rPh sb="8" eb="11">
      <t>エイヨウシ</t>
    </rPh>
    <rPh sb="11" eb="13">
      <t>シカク</t>
    </rPh>
    <rPh sb="14" eb="15">
      <t>ア</t>
    </rPh>
    <phoneticPr fontId="15"/>
  </si>
  <si>
    <t>職種が准看護師以外の場合は便宜上准看護師資格「有」を削除してください。</t>
    <rPh sb="0" eb="2">
      <t>ショクシュ</t>
    </rPh>
    <rPh sb="3" eb="7">
      <t>ジュンカンゴシ</t>
    </rPh>
    <rPh sb="7" eb="9">
      <t>イガイ</t>
    </rPh>
    <rPh sb="10" eb="12">
      <t>バアイ</t>
    </rPh>
    <rPh sb="13" eb="16">
      <t>ベンギジョウ</t>
    </rPh>
    <rPh sb="16" eb="20">
      <t>ジュンカンゴシ</t>
    </rPh>
    <rPh sb="20" eb="22">
      <t>シカク</t>
    </rPh>
    <rPh sb="23" eb="24">
      <t>アリ</t>
    </rPh>
    <rPh sb="26" eb="28">
      <t>サクジョ</t>
    </rPh>
    <phoneticPr fontId="1"/>
  </si>
  <si>
    <t>②-1職員名簿の准看護師資格が有になっていないか</t>
    <rPh sb="3" eb="7">
      <t>ショクインメイボ</t>
    </rPh>
    <rPh sb="8" eb="12">
      <t>ジュンカンゴシ</t>
    </rPh>
    <rPh sb="12" eb="14">
      <t>シカク</t>
    </rPh>
    <rPh sb="15" eb="16">
      <t>ア</t>
    </rPh>
    <phoneticPr fontId="15"/>
  </si>
  <si>
    <t>職種が看護師以外の場合は便宜上看護師資格「有」を削除してください。</t>
    <rPh sb="0" eb="2">
      <t>ショクシュ</t>
    </rPh>
    <rPh sb="3" eb="6">
      <t>カンゴシ</t>
    </rPh>
    <rPh sb="6" eb="8">
      <t>イガイ</t>
    </rPh>
    <rPh sb="9" eb="11">
      <t>バアイ</t>
    </rPh>
    <rPh sb="12" eb="15">
      <t>ベンギジョウ</t>
    </rPh>
    <rPh sb="15" eb="18">
      <t>カンゴシ</t>
    </rPh>
    <rPh sb="18" eb="20">
      <t>シカク</t>
    </rPh>
    <rPh sb="21" eb="22">
      <t>アリ</t>
    </rPh>
    <rPh sb="24" eb="26">
      <t>サクジョ</t>
    </rPh>
    <phoneticPr fontId="1"/>
  </si>
  <si>
    <t>②-1職員名簿の看護師資格が有になっていないか</t>
    <rPh sb="3" eb="7">
      <t>ショクインメイボ</t>
    </rPh>
    <rPh sb="8" eb="11">
      <t>カンゴシ</t>
    </rPh>
    <rPh sb="11" eb="13">
      <t>シカク</t>
    </rPh>
    <rPh sb="14" eb="15">
      <t>ア</t>
    </rPh>
    <phoneticPr fontId="15"/>
  </si>
  <si>
    <t>職種が保健師以外の場合は便宜上保健師資格「有」を削除してください。</t>
    <rPh sb="0" eb="2">
      <t>ショクシュ</t>
    </rPh>
    <rPh sb="3" eb="6">
      <t>ホケンシ</t>
    </rPh>
    <rPh sb="6" eb="8">
      <t>イガイ</t>
    </rPh>
    <rPh sb="9" eb="11">
      <t>バアイ</t>
    </rPh>
    <rPh sb="12" eb="15">
      <t>ベンギジョウ</t>
    </rPh>
    <rPh sb="15" eb="18">
      <t>ホケンシ</t>
    </rPh>
    <rPh sb="18" eb="20">
      <t>シカク</t>
    </rPh>
    <rPh sb="21" eb="22">
      <t>アリ</t>
    </rPh>
    <rPh sb="24" eb="26">
      <t>サクジョ</t>
    </rPh>
    <phoneticPr fontId="1"/>
  </si>
  <si>
    <t>②-1職員名簿の保健師資格が有になっていないか</t>
    <rPh sb="3" eb="7">
      <t>ショクインメイボ</t>
    </rPh>
    <rPh sb="8" eb="11">
      <t>ホケンシ</t>
    </rPh>
    <rPh sb="11" eb="13">
      <t>シカク</t>
    </rPh>
    <rPh sb="14" eb="15">
      <t>ア</t>
    </rPh>
    <phoneticPr fontId="15"/>
  </si>
  <si>
    <t>職種が栄養士の場合は栄養士資格を有にしてください。</t>
    <rPh sb="0" eb="2">
      <t>ショクシュ</t>
    </rPh>
    <rPh sb="3" eb="6">
      <t>エイヨウシ</t>
    </rPh>
    <rPh sb="7" eb="9">
      <t>バアイ</t>
    </rPh>
    <rPh sb="10" eb="13">
      <t>エイヨウシ</t>
    </rPh>
    <rPh sb="13" eb="15">
      <t>シカク</t>
    </rPh>
    <rPh sb="16" eb="17">
      <t>ア</t>
    </rPh>
    <phoneticPr fontId="15"/>
  </si>
  <si>
    <t>②-1職員名簿の栄養士資格が入力されているか</t>
    <rPh sb="3" eb="7">
      <t>ショクインメイボ</t>
    </rPh>
    <rPh sb="8" eb="11">
      <t>エイヨウシ</t>
    </rPh>
    <rPh sb="11" eb="13">
      <t>シカク</t>
    </rPh>
    <rPh sb="14" eb="16">
      <t>ニュウリョク</t>
    </rPh>
    <phoneticPr fontId="15"/>
  </si>
  <si>
    <t>職種が准看護師の場合は准看護師資格を有にしてください。</t>
    <rPh sb="0" eb="2">
      <t>ショクシュ</t>
    </rPh>
    <rPh sb="3" eb="7">
      <t>ジュンカンゴシ</t>
    </rPh>
    <rPh sb="8" eb="10">
      <t>バアイ</t>
    </rPh>
    <rPh sb="11" eb="15">
      <t>ジュンカンゴシ</t>
    </rPh>
    <rPh sb="15" eb="17">
      <t>シカク</t>
    </rPh>
    <rPh sb="18" eb="19">
      <t>ア</t>
    </rPh>
    <phoneticPr fontId="15"/>
  </si>
  <si>
    <t>②-1職員名簿の准看護師資格が入力されているか</t>
    <rPh sb="3" eb="7">
      <t>ショクインメイボ</t>
    </rPh>
    <rPh sb="8" eb="12">
      <t>ジュンカンゴシ</t>
    </rPh>
    <rPh sb="12" eb="14">
      <t>シカク</t>
    </rPh>
    <rPh sb="15" eb="17">
      <t>ニュウリョク</t>
    </rPh>
    <phoneticPr fontId="15"/>
  </si>
  <si>
    <t>職種が看護師の場合は看護師資格を有にしてください。</t>
    <rPh sb="0" eb="2">
      <t>ショクシュ</t>
    </rPh>
    <rPh sb="3" eb="6">
      <t>カンゴシ</t>
    </rPh>
    <rPh sb="7" eb="9">
      <t>バアイ</t>
    </rPh>
    <rPh sb="10" eb="13">
      <t>カンゴシ</t>
    </rPh>
    <rPh sb="13" eb="15">
      <t>シカク</t>
    </rPh>
    <rPh sb="16" eb="17">
      <t>ア</t>
    </rPh>
    <phoneticPr fontId="15"/>
  </si>
  <si>
    <t>②-1職員名簿の看護師資格が入力されているか</t>
    <rPh sb="3" eb="7">
      <t>ショクインメイボ</t>
    </rPh>
    <rPh sb="8" eb="11">
      <t>カンゴシ</t>
    </rPh>
    <rPh sb="11" eb="13">
      <t>シカク</t>
    </rPh>
    <rPh sb="14" eb="16">
      <t>ニュウリョク</t>
    </rPh>
    <phoneticPr fontId="15"/>
  </si>
  <si>
    <t>職種が保健師の場合は保健師資格を有にしてください。</t>
    <rPh sb="0" eb="2">
      <t>ショクシュ</t>
    </rPh>
    <rPh sb="3" eb="6">
      <t>ホケンシ</t>
    </rPh>
    <rPh sb="7" eb="9">
      <t>バアイ</t>
    </rPh>
    <rPh sb="10" eb="13">
      <t>ホケンシ</t>
    </rPh>
    <rPh sb="13" eb="15">
      <t>シカク</t>
    </rPh>
    <rPh sb="16" eb="17">
      <t>ア</t>
    </rPh>
    <phoneticPr fontId="15"/>
  </si>
  <si>
    <t>②-1職員名簿の保健師資格が入力されているか</t>
    <rPh sb="3" eb="7">
      <t>ショクインメイボ</t>
    </rPh>
    <rPh sb="8" eb="11">
      <t>ホケンシ</t>
    </rPh>
    <rPh sb="11" eb="13">
      <t>シカク</t>
    </rPh>
    <rPh sb="14" eb="16">
      <t>ニュウリョク</t>
    </rPh>
    <phoneticPr fontId="15"/>
  </si>
  <si>
    <t>②-1職員名簿の主に従事する業務が入力されているか</t>
    <rPh sb="3" eb="7">
      <t>ショクインメイボ</t>
    </rPh>
    <rPh sb="8" eb="9">
      <t>オモ</t>
    </rPh>
    <rPh sb="10" eb="12">
      <t>ジュウジ</t>
    </rPh>
    <rPh sb="14" eb="16">
      <t>ギョウム</t>
    </rPh>
    <rPh sb="17" eb="19">
      <t>ニュウリョク</t>
    </rPh>
    <phoneticPr fontId="15"/>
  </si>
  <si>
    <t>②-1職員名簿の採用等事由が入力されているか</t>
    <rPh sb="3" eb="7">
      <t>ショクインメイボ</t>
    </rPh>
    <rPh sb="8" eb="11">
      <t>サイヨウトウ</t>
    </rPh>
    <rPh sb="11" eb="13">
      <t>ジユウ</t>
    </rPh>
    <rPh sb="14" eb="16">
      <t>ニュウリョク</t>
    </rPh>
    <phoneticPr fontId="15"/>
  </si>
  <si>
    <t>②-1職員名簿の採用等年月日が入力されているか</t>
    <rPh sb="3" eb="7">
      <t>ショクインメイボ</t>
    </rPh>
    <rPh sb="8" eb="11">
      <t>サイヨウトウ</t>
    </rPh>
    <rPh sb="11" eb="14">
      <t>ネンガッピ</t>
    </rPh>
    <rPh sb="15" eb="17">
      <t>ニュウリョク</t>
    </rPh>
    <phoneticPr fontId="15"/>
  </si>
  <si>
    <t>②-1職員名簿の氏名が入力されているか</t>
    <rPh sb="3" eb="7">
      <t>ショクインメイボ</t>
    </rPh>
    <rPh sb="8" eb="10">
      <t>シメイ</t>
    </rPh>
    <rPh sb="11" eb="13">
      <t>ニュウリョク</t>
    </rPh>
    <phoneticPr fontId="15"/>
  </si>
  <si>
    <t>②-1職員名簿の勤務形態が入力されているか</t>
    <rPh sb="3" eb="7">
      <t>ショクインメイボ</t>
    </rPh>
    <rPh sb="8" eb="12">
      <t>キンムケイタイ</t>
    </rPh>
    <rPh sb="13" eb="15">
      <t>ニュウリョク</t>
    </rPh>
    <phoneticPr fontId="15"/>
  </si>
  <si>
    <t>②-1職員名簿の職種が入力されているか</t>
    <rPh sb="3" eb="7">
      <t>ショクインメイボ</t>
    </rPh>
    <rPh sb="8" eb="10">
      <t>ショクシュ</t>
    </rPh>
    <rPh sb="11" eb="13">
      <t>ニュウリョク</t>
    </rPh>
    <phoneticPr fontId="15"/>
  </si>
  <si>
    <t>①基本情報の連絡先が入力されているか</t>
    <rPh sb="1" eb="5">
      <t>キホンジョウホウ</t>
    </rPh>
    <rPh sb="6" eb="9">
      <t>レンラクサキ</t>
    </rPh>
    <rPh sb="10" eb="12">
      <t>ニュウリョク</t>
    </rPh>
    <phoneticPr fontId="15"/>
  </si>
  <si>
    <t>①基本情報の作成担当者氏名が入力されているか</t>
    <rPh sb="1" eb="5">
      <t>キホンジョウホウ</t>
    </rPh>
    <rPh sb="6" eb="8">
      <t>サクセイ</t>
    </rPh>
    <rPh sb="8" eb="11">
      <t>タントウシャ</t>
    </rPh>
    <rPh sb="11" eb="13">
      <t>シメイ</t>
    </rPh>
    <rPh sb="14" eb="16">
      <t>ニュウリョク</t>
    </rPh>
    <phoneticPr fontId="15"/>
  </si>
  <si>
    <t>①基本情報の園の固有番号が入力されているか</t>
    <rPh sb="1" eb="5">
      <t>キホンジョウホウ</t>
    </rPh>
    <rPh sb="6" eb="7">
      <t>エン</t>
    </rPh>
    <rPh sb="8" eb="12">
      <t>コユウバンゴウ</t>
    </rPh>
    <rPh sb="13" eb="15">
      <t>ニュウリョク</t>
    </rPh>
    <phoneticPr fontId="15"/>
  </si>
  <si>
    <t>①基本情報の保育園名が入力されているか</t>
    <rPh sb="1" eb="5">
      <t>キホンジョウホウ</t>
    </rPh>
    <rPh sb="6" eb="10">
      <t>ホイクエンメイ</t>
    </rPh>
    <rPh sb="11" eb="13">
      <t>ニュウリョク</t>
    </rPh>
    <phoneticPr fontId="15"/>
  </si>
  <si>
    <t>備考</t>
    <rPh sb="0" eb="2">
      <t>ビコウ</t>
    </rPh>
    <phoneticPr fontId="15"/>
  </si>
  <si>
    <t>判定結果</t>
    <rPh sb="0" eb="2">
      <t>ハンテイ</t>
    </rPh>
    <rPh sb="2" eb="4">
      <t>ケッカ</t>
    </rPh>
    <phoneticPr fontId="15"/>
  </si>
  <si>
    <t>チェック内容</t>
    <rPh sb="4" eb="6">
      <t>ナイヨウ</t>
    </rPh>
    <phoneticPr fontId="15"/>
  </si>
  <si>
    <t>※本市への送付前に、必ず確認を行い、備考の内容に沿って修正してください。</t>
    <rPh sb="1" eb="3">
      <t>ホンシ</t>
    </rPh>
    <rPh sb="5" eb="8">
      <t>ソウフマエ</t>
    </rPh>
    <rPh sb="10" eb="11">
      <t>カナラ</t>
    </rPh>
    <rPh sb="12" eb="14">
      <t>カクニン</t>
    </rPh>
    <rPh sb="15" eb="16">
      <t>オコナ</t>
    </rPh>
    <rPh sb="18" eb="20">
      <t>ビコウ</t>
    </rPh>
    <rPh sb="21" eb="23">
      <t>ナイヨウ</t>
    </rPh>
    <rPh sb="24" eb="25">
      <t>ソ</t>
    </rPh>
    <rPh sb="27" eb="29">
      <t>シュウセイ</t>
    </rPh>
    <phoneticPr fontId="15"/>
  </si>
  <si>
    <t>※修正方法が不明の場合は、「園の確認欄」にその旨を記載（リストから選択）のうえ、そのまま送付してください。</t>
    <rPh sb="1" eb="5">
      <t>シュウセイホウホウ</t>
    </rPh>
    <rPh sb="6" eb="8">
      <t>フメイ</t>
    </rPh>
    <rPh sb="9" eb="11">
      <t>バアイ</t>
    </rPh>
    <rPh sb="14" eb="15">
      <t>エン</t>
    </rPh>
    <rPh sb="16" eb="18">
      <t>カクニン</t>
    </rPh>
    <rPh sb="18" eb="19">
      <t>ラン</t>
    </rPh>
    <rPh sb="23" eb="24">
      <t>ムネ</t>
    </rPh>
    <rPh sb="25" eb="27">
      <t>キサイ</t>
    </rPh>
    <rPh sb="33" eb="35">
      <t>センタク</t>
    </rPh>
    <rPh sb="44" eb="46">
      <t>ソウフ</t>
    </rPh>
    <phoneticPr fontId="15"/>
  </si>
  <si>
    <t>※確認事項は特にありませんので、そのまま送付してください。</t>
    <rPh sb="1" eb="5">
      <t>カクニンジコウ</t>
    </rPh>
    <rPh sb="6" eb="7">
      <t>トク</t>
    </rPh>
    <rPh sb="20" eb="22">
      <t>ソウフ</t>
    </rPh>
    <phoneticPr fontId="1"/>
  </si>
  <si>
    <t>園の確認欄</t>
    <rPh sb="0" eb="1">
      <t>エン</t>
    </rPh>
    <rPh sb="2" eb="4">
      <t>カクニン</t>
    </rPh>
    <rPh sb="4" eb="5">
      <t>ラン</t>
    </rPh>
    <phoneticPr fontId="1"/>
  </si>
  <si>
    <r>
      <t xml:space="preserve">補助人工
</t>
    </r>
    <r>
      <rPr>
        <sz val="6"/>
        <color theme="1"/>
        <rFont val="Meiryo UI"/>
        <family val="3"/>
        <charset val="128"/>
      </rPr>
      <t>（ＡとＢ小さい方）</t>
    </r>
    <rPh sb="0" eb="2">
      <t>ホジョ</t>
    </rPh>
    <rPh sb="2" eb="4">
      <t>ニンク</t>
    </rPh>
    <rPh sb="9" eb="10">
      <t>チイ</t>
    </rPh>
    <rPh sb="12" eb="13">
      <t>ホウ</t>
    </rPh>
    <phoneticPr fontId="1"/>
  </si>
  <si>
    <t>令和８年２月</t>
    <rPh sb="0" eb="2">
      <t>レイワ</t>
    </rPh>
    <rPh sb="3" eb="4">
      <t>ネン</t>
    </rPh>
    <rPh sb="5" eb="6">
      <t>ガツ</t>
    </rPh>
    <phoneticPr fontId="1"/>
  </si>
  <si>
    <t>　令和８年３月９日（月）　　　</t>
    <rPh sb="1" eb="3">
      <t>レイワ</t>
    </rPh>
    <rPh sb="4" eb="5">
      <t>ネン</t>
    </rPh>
    <rPh sb="6" eb="7">
      <t>ガツ</t>
    </rPh>
    <rPh sb="8" eb="9">
      <t>ニチ</t>
    </rPh>
    <rPh sb="10" eb="11">
      <t>ツキ</t>
    </rPh>
    <phoneticPr fontId="1"/>
  </si>
  <si>
    <t>※提出後に経費等が確定することにより補助額が変更となり、書類を差し替える場合、４月１日（水）までにデータを必ず提出ください。</t>
    <rPh sb="44" eb="45">
      <t>ミズ</t>
    </rPh>
    <phoneticPr fontId="1"/>
  </si>
  <si>
    <t>入力内容チェック</t>
    <rPh sb="0" eb="4">
      <t>ニュウリョクナイヨウ</t>
    </rPh>
    <phoneticPr fontId="1"/>
  </si>
  <si>
    <t>基本情報との整合性</t>
    <rPh sb="0" eb="4">
      <t>キホンジョウホウ</t>
    </rPh>
    <rPh sb="6" eb="9">
      <t>セイゴウセイ</t>
    </rPh>
    <phoneticPr fontId="1"/>
  </si>
  <si>
    <r>
      <t xml:space="preserve">要件緩和適用開始日
</t>
    </r>
    <r>
      <rPr>
        <b/>
        <sz val="9"/>
        <color rgb="FFFF0000"/>
        <rFont val="Meiryo UI"/>
        <family val="3"/>
        <charset val="128"/>
      </rPr>
      <t>（職種が「要件緩和」の場合は入力必須）</t>
    </r>
    <rPh sb="0" eb="2">
      <t>ヨウケン</t>
    </rPh>
    <rPh sb="2" eb="4">
      <t>カンワ</t>
    </rPh>
    <rPh sb="4" eb="6">
      <t>テキヨウ</t>
    </rPh>
    <rPh sb="6" eb="8">
      <t>カイシ</t>
    </rPh>
    <rPh sb="8" eb="9">
      <t>ビ</t>
    </rPh>
    <rPh sb="11" eb="13">
      <t>ショクシュ</t>
    </rPh>
    <rPh sb="15" eb="17">
      <t>ヨウケン</t>
    </rPh>
    <rPh sb="17" eb="19">
      <t>カンワ</t>
    </rPh>
    <rPh sb="21" eb="23">
      <t>バアイ</t>
    </rPh>
    <rPh sb="24" eb="26">
      <t>ニュウリョク</t>
    </rPh>
    <rPh sb="26" eb="28">
      <t>ヒッス</t>
    </rPh>
    <phoneticPr fontId="1"/>
  </si>
  <si>
    <t>主に従事
する業務
（入力）</t>
    <rPh sb="0" eb="1">
      <t>オモ</t>
    </rPh>
    <rPh sb="2" eb="4">
      <t>ジュウジ</t>
    </rPh>
    <rPh sb="7" eb="9">
      <t>ギョウム</t>
    </rPh>
    <rPh sb="11" eb="13">
      <t>ニュウリョク</t>
    </rPh>
    <phoneticPr fontId="6"/>
  </si>
  <si>
    <t>主に従事
する業務
（園長）</t>
    <rPh sb="0" eb="1">
      <t>オモ</t>
    </rPh>
    <rPh sb="2" eb="4">
      <t>ジュウジ</t>
    </rPh>
    <rPh sb="7" eb="9">
      <t>ギョウム</t>
    </rPh>
    <rPh sb="11" eb="13">
      <t>エンチョウ</t>
    </rPh>
    <phoneticPr fontId="6"/>
  </si>
  <si>
    <t>採用＜退職年月日</t>
    <rPh sb="0" eb="2">
      <t>サイヨウ</t>
    </rPh>
    <rPh sb="3" eb="5">
      <t>タイショク</t>
    </rPh>
    <rPh sb="5" eb="8">
      <t>ネンガッピ</t>
    </rPh>
    <phoneticPr fontId="1"/>
  </si>
  <si>
    <t>備考</t>
    <rPh sb="0" eb="2">
      <t>ビコウ</t>
    </rPh>
    <phoneticPr fontId="1"/>
  </si>
  <si>
    <t>採用等年月日</t>
    <rPh sb="0" eb="6">
      <t>サイヨウトウネンガッピ</t>
    </rPh>
    <phoneticPr fontId="1"/>
  </si>
  <si>
    <t>退職等年月日</t>
    <rPh sb="0" eb="6">
      <t>タイショクトウネンガッピ</t>
    </rPh>
    <phoneticPr fontId="1"/>
  </si>
  <si>
    <t>一時預かり(一般型)</t>
    <rPh sb="0" eb="3">
      <t>イチジアズ</t>
    </rPh>
    <rPh sb="6" eb="8">
      <t>イッパン</t>
    </rPh>
    <rPh sb="8" eb="9">
      <t>ガタ</t>
    </rPh>
    <phoneticPr fontId="1"/>
  </si>
  <si>
    <t>支援センター
(有)</t>
    <rPh sb="0" eb="2">
      <t>シエン</t>
    </rPh>
    <rPh sb="8" eb="9">
      <t>アリ</t>
    </rPh>
    <phoneticPr fontId="1"/>
  </si>
  <si>
    <t>高齢者
(0以外)</t>
    <rPh sb="0" eb="3">
      <t>コウレイシャ</t>
    </rPh>
    <rPh sb="6" eb="8">
      <t>イガイ</t>
    </rPh>
    <phoneticPr fontId="1"/>
  </si>
  <si>
    <t>栄養管理加算
(配置)</t>
    <rPh sb="0" eb="6">
      <t>エイヨウカンリカサン</t>
    </rPh>
    <rPh sb="8" eb="10">
      <t>ハイチ</t>
    </rPh>
    <phoneticPr fontId="1"/>
  </si>
  <si>
    <t>チェック</t>
    <phoneticPr fontId="1"/>
  </si>
  <si>
    <t>賃金単価</t>
    <rPh sb="0" eb="4">
      <t>チンギンタンカ</t>
    </rPh>
    <phoneticPr fontId="1"/>
  </si>
  <si>
    <t>　令和８年３月３１日付け千葉市達こ幼運第　　　　号　  　　千葉市施設型給付対象施設保育士等配置基準改善事業補助金額確定通知書により確定した補助金の交付について、千葉市施設型給付対象施設運営事業補助金交付要綱第１２条の規定に基づき次のとおり請求します。</t>
    <rPh sb="4" eb="5">
      <t>ネン</t>
    </rPh>
    <rPh sb="6" eb="7">
      <t>ガツ</t>
    </rPh>
    <rPh sb="9" eb="10">
      <t>ニチ</t>
    </rPh>
    <rPh sb="10" eb="11">
      <t>ツ</t>
    </rPh>
    <rPh sb="12" eb="15">
      <t>チバシ</t>
    </rPh>
    <rPh sb="15" eb="16">
      <t>タツ</t>
    </rPh>
    <rPh sb="17" eb="18">
      <t>ヨウ</t>
    </rPh>
    <rPh sb="18" eb="19">
      <t>ウン</t>
    </rPh>
    <rPh sb="19" eb="20">
      <t>ダイ</t>
    </rPh>
    <rPh sb="24" eb="25">
      <t>ゴウ</t>
    </rPh>
    <rPh sb="30" eb="32">
      <t>チバ</t>
    </rPh>
    <rPh sb="32" eb="33">
      <t>シ</t>
    </rPh>
    <rPh sb="33" eb="42">
      <t>シセツガタキュウフタイショウシセツ</t>
    </rPh>
    <rPh sb="42" eb="45">
      <t>ホイクシ</t>
    </rPh>
    <rPh sb="45" eb="46">
      <t>トウ</t>
    </rPh>
    <rPh sb="46" eb="48">
      <t>ハイチ</t>
    </rPh>
    <rPh sb="84" eb="93">
      <t>シセツガタキュウフタイショウシセツ</t>
    </rPh>
    <phoneticPr fontId="6"/>
  </si>
  <si>
    <t>主に従事
する業務
（副園長）</t>
    <rPh sb="0" eb="1">
      <t>オモ</t>
    </rPh>
    <rPh sb="2" eb="4">
      <t>ジュウジ</t>
    </rPh>
    <rPh sb="7" eb="9">
      <t>ギョウム</t>
    </rPh>
    <rPh sb="11" eb="12">
      <t>フク</t>
    </rPh>
    <rPh sb="12" eb="14">
      <t>エンチョウ</t>
    </rPh>
    <phoneticPr fontId="6"/>
  </si>
  <si>
    <t>主に従事
する業務
（教頭）</t>
    <rPh sb="0" eb="1">
      <t>オモ</t>
    </rPh>
    <rPh sb="2" eb="4">
      <t>ジュウジ</t>
    </rPh>
    <rPh sb="7" eb="9">
      <t>ギョウム</t>
    </rPh>
    <rPh sb="11" eb="13">
      <t>キョウトウ</t>
    </rPh>
    <phoneticPr fontId="6"/>
  </si>
  <si>
    <t>主に従事
する業務
（主幹・指導）</t>
    <rPh sb="0" eb="1">
      <t>オモ</t>
    </rPh>
    <rPh sb="2" eb="4">
      <t>ジュウジ</t>
    </rPh>
    <rPh sb="7" eb="9">
      <t>ギョウム</t>
    </rPh>
    <rPh sb="11" eb="13">
      <t>シュカン</t>
    </rPh>
    <rPh sb="14" eb="16">
      <t>シドウ</t>
    </rPh>
    <phoneticPr fontId="6"/>
  </si>
  <si>
    <t>保育教諭</t>
    <rPh sb="0" eb="4">
      <t>ホイクキョウユ</t>
    </rPh>
    <phoneticPr fontId="6"/>
  </si>
  <si>
    <t>②-1職員名簿の保育教諭資格が入力されているか</t>
    <rPh sb="3" eb="7">
      <t>ショクインメイボ</t>
    </rPh>
    <rPh sb="8" eb="10">
      <t>ホイク</t>
    </rPh>
    <rPh sb="10" eb="12">
      <t>キョウユ</t>
    </rPh>
    <rPh sb="12" eb="14">
      <t>シカク</t>
    </rPh>
    <rPh sb="15" eb="17">
      <t>ニュウリョク</t>
    </rPh>
    <phoneticPr fontId="15"/>
  </si>
  <si>
    <t>②-1職員名簿の保育教諭資格が有になっていないか</t>
    <rPh sb="3" eb="7">
      <t>ショクインメイボ</t>
    </rPh>
    <rPh sb="8" eb="10">
      <t>ホイク</t>
    </rPh>
    <rPh sb="10" eb="12">
      <t>キョウユ</t>
    </rPh>
    <rPh sb="12" eb="14">
      <t>シカク</t>
    </rPh>
    <rPh sb="15" eb="16">
      <t>ア</t>
    </rPh>
    <phoneticPr fontId="15"/>
  </si>
  <si>
    <t>職種が園長、副園長、主幹保育教諭等、指導保育教諭等、保育教諭等以外の場合は便宜上保育教諭資格「有」を削除してください。</t>
    <rPh sb="0" eb="2">
      <t>ショクシュ</t>
    </rPh>
    <rPh sb="3" eb="5">
      <t>エンチョウ</t>
    </rPh>
    <rPh sb="6" eb="9">
      <t>フクエンチョウ</t>
    </rPh>
    <rPh sb="10" eb="12">
      <t>シュカン</t>
    </rPh>
    <rPh sb="12" eb="14">
      <t>ホイク</t>
    </rPh>
    <rPh sb="14" eb="16">
      <t>キョウユ</t>
    </rPh>
    <rPh sb="16" eb="17">
      <t>トウ</t>
    </rPh>
    <rPh sb="18" eb="20">
      <t>シドウ</t>
    </rPh>
    <rPh sb="20" eb="22">
      <t>ホイク</t>
    </rPh>
    <rPh sb="22" eb="24">
      <t>キョウユ</t>
    </rPh>
    <rPh sb="24" eb="25">
      <t>トウ</t>
    </rPh>
    <rPh sb="26" eb="28">
      <t>ホイク</t>
    </rPh>
    <rPh sb="28" eb="30">
      <t>キョウユ</t>
    </rPh>
    <rPh sb="30" eb="31">
      <t>トウ</t>
    </rPh>
    <rPh sb="31" eb="33">
      <t>イガイ</t>
    </rPh>
    <rPh sb="34" eb="36">
      <t>バアイ</t>
    </rPh>
    <rPh sb="37" eb="40">
      <t>ベンギジョウ</t>
    </rPh>
    <rPh sb="40" eb="42">
      <t>ホイク</t>
    </rPh>
    <rPh sb="42" eb="44">
      <t>キョウユ</t>
    </rPh>
    <rPh sb="44" eb="46">
      <t>シカク</t>
    </rPh>
    <rPh sb="47" eb="48">
      <t>アリ</t>
    </rPh>
    <rPh sb="50" eb="52">
      <t>サクジョ</t>
    </rPh>
    <phoneticPr fontId="1"/>
  </si>
  <si>
    <t>②-1職員名簿の主に従事する業務が副園長か</t>
    <rPh sb="3" eb="7">
      <t>ショクインメイボ</t>
    </rPh>
    <rPh sb="8" eb="9">
      <t>オモ</t>
    </rPh>
    <rPh sb="10" eb="12">
      <t>ジュウジ</t>
    </rPh>
    <rPh sb="14" eb="16">
      <t>ギョウム</t>
    </rPh>
    <rPh sb="17" eb="18">
      <t>フク</t>
    </rPh>
    <rPh sb="18" eb="20">
      <t>エンチョウ</t>
    </rPh>
    <phoneticPr fontId="15"/>
  </si>
  <si>
    <t>②-1職員名簿の主に従事する業務が教頭か</t>
    <rPh sb="3" eb="7">
      <t>ショクインメイボ</t>
    </rPh>
    <rPh sb="8" eb="9">
      <t>オモ</t>
    </rPh>
    <rPh sb="10" eb="12">
      <t>ジュウジ</t>
    </rPh>
    <rPh sb="14" eb="16">
      <t>ギョウム</t>
    </rPh>
    <rPh sb="17" eb="19">
      <t>キョウトウ</t>
    </rPh>
    <phoneticPr fontId="15"/>
  </si>
  <si>
    <t>②-1職員名簿の主に従事する業務が主幹・指導教諭か</t>
    <rPh sb="3" eb="7">
      <t>ショクインメイボ</t>
    </rPh>
    <rPh sb="8" eb="9">
      <t>オモ</t>
    </rPh>
    <rPh sb="10" eb="12">
      <t>ジュウジ</t>
    </rPh>
    <rPh sb="14" eb="16">
      <t>ギョウム</t>
    </rPh>
    <rPh sb="17" eb="19">
      <t>シュカン</t>
    </rPh>
    <rPh sb="20" eb="22">
      <t>シドウ</t>
    </rPh>
    <rPh sb="22" eb="24">
      <t>キョウユ</t>
    </rPh>
    <phoneticPr fontId="15"/>
  </si>
  <si>
    <t>職種が副園長の場合は主に従事する業務を副園長にしてください。</t>
    <rPh sb="0" eb="2">
      <t>ショクシュ</t>
    </rPh>
    <rPh sb="3" eb="4">
      <t>フク</t>
    </rPh>
    <rPh sb="4" eb="6">
      <t>エンチョウ</t>
    </rPh>
    <rPh sb="7" eb="9">
      <t>バアイ</t>
    </rPh>
    <rPh sb="10" eb="11">
      <t>オモ</t>
    </rPh>
    <rPh sb="12" eb="14">
      <t>ジュウジ</t>
    </rPh>
    <rPh sb="16" eb="18">
      <t>ギョウム</t>
    </rPh>
    <rPh sb="19" eb="20">
      <t>フク</t>
    </rPh>
    <rPh sb="20" eb="22">
      <t>エンチョウ</t>
    </rPh>
    <phoneticPr fontId="1"/>
  </si>
  <si>
    <t>職種が教頭の場合は主に従事する業務を教頭にしてください。</t>
    <rPh sb="0" eb="2">
      <t>ショクシュ</t>
    </rPh>
    <rPh sb="3" eb="5">
      <t>キョウトウ</t>
    </rPh>
    <rPh sb="6" eb="8">
      <t>バアイ</t>
    </rPh>
    <rPh sb="9" eb="10">
      <t>オモ</t>
    </rPh>
    <rPh sb="11" eb="13">
      <t>ジュウジ</t>
    </rPh>
    <rPh sb="15" eb="17">
      <t>ギョウム</t>
    </rPh>
    <rPh sb="18" eb="20">
      <t>キョウトウ</t>
    </rPh>
    <phoneticPr fontId="1"/>
  </si>
  <si>
    <t>職種が主幹保育教諭等又は指導保育教諭等の場合は主に従事する業務を主幹・指導教諭にしてください。</t>
    <rPh sb="0" eb="2">
      <t>ショクシュ</t>
    </rPh>
    <rPh sb="3" eb="9">
      <t>シュカンホイクキョウユ</t>
    </rPh>
    <rPh sb="9" eb="10">
      <t>トウ</t>
    </rPh>
    <rPh sb="10" eb="11">
      <t>マタ</t>
    </rPh>
    <rPh sb="12" eb="19">
      <t>シドウホイクキョウユトウ</t>
    </rPh>
    <rPh sb="20" eb="22">
      <t>バアイ</t>
    </rPh>
    <rPh sb="23" eb="24">
      <t>オモ</t>
    </rPh>
    <rPh sb="25" eb="27">
      <t>ジュウジ</t>
    </rPh>
    <rPh sb="29" eb="31">
      <t>ギョウム</t>
    </rPh>
    <rPh sb="32" eb="34">
      <t>シュカン</t>
    </rPh>
    <rPh sb="35" eb="37">
      <t>シドウ</t>
    </rPh>
    <rPh sb="37" eb="39">
      <t>キョウユ</t>
    </rPh>
    <phoneticPr fontId="1"/>
  </si>
  <si>
    <t>職種が主幹保育教諭等、指導保育教諭等又は保育教諭等の場合は保育教諭資格を有にしてください。</t>
    <rPh sb="0" eb="2">
      <t>ショクシュ</t>
    </rPh>
    <rPh sb="3" eb="9">
      <t>シュカンホイクキョウユ</t>
    </rPh>
    <rPh sb="9" eb="10">
      <t>トウ</t>
    </rPh>
    <rPh sb="11" eb="13">
      <t>シドウ</t>
    </rPh>
    <rPh sb="13" eb="15">
      <t>ホイク</t>
    </rPh>
    <rPh sb="15" eb="17">
      <t>キョウユ</t>
    </rPh>
    <rPh sb="17" eb="18">
      <t>トウ</t>
    </rPh>
    <rPh sb="18" eb="19">
      <t>マタ</t>
    </rPh>
    <rPh sb="20" eb="24">
      <t>ホイクキョウユ</t>
    </rPh>
    <rPh sb="24" eb="25">
      <t>トウ</t>
    </rPh>
    <rPh sb="26" eb="28">
      <t>バアイ</t>
    </rPh>
    <rPh sb="29" eb="33">
      <t>ホイクキョウユ</t>
    </rPh>
    <rPh sb="33" eb="35">
      <t>シカク</t>
    </rPh>
    <rPh sb="36" eb="37">
      <t>ア</t>
    </rPh>
    <phoneticPr fontId="15"/>
  </si>
  <si>
    <t>4歳以上児加算単価（1号）</t>
    <rPh sb="1" eb="7">
      <t>サイイジョウジカサン</t>
    </rPh>
    <rPh sb="7" eb="9">
      <t>タンカ</t>
    </rPh>
    <rPh sb="11" eb="12">
      <t>ゴウ</t>
    </rPh>
    <phoneticPr fontId="1"/>
  </si>
  <si>
    <t>4歳以上児加算単価（2号）</t>
    <rPh sb="1" eb="7">
      <t>サイイジョウジカサン</t>
    </rPh>
    <rPh sb="7" eb="9">
      <t>タンカ</t>
    </rPh>
    <rPh sb="11" eb="12">
      <t>ゴウ</t>
    </rPh>
    <phoneticPr fontId="1"/>
  </si>
  <si>
    <t>４歳以上児数1号
（4月）</t>
    <rPh sb="1" eb="2">
      <t>サイ</t>
    </rPh>
    <rPh sb="2" eb="4">
      <t>イジョウ</t>
    </rPh>
    <rPh sb="4" eb="5">
      <t>ジ</t>
    </rPh>
    <rPh sb="5" eb="6">
      <t>スウ</t>
    </rPh>
    <rPh sb="7" eb="8">
      <t>ゴウ</t>
    </rPh>
    <rPh sb="11" eb="12">
      <t>ツキ</t>
    </rPh>
    <phoneticPr fontId="1"/>
  </si>
  <si>
    <t>４歳以上児数1号
（5月）</t>
    <rPh sb="1" eb="2">
      <t>サイ</t>
    </rPh>
    <rPh sb="2" eb="4">
      <t>イジョウ</t>
    </rPh>
    <rPh sb="4" eb="5">
      <t>ジ</t>
    </rPh>
    <rPh sb="5" eb="6">
      <t>スウ</t>
    </rPh>
    <rPh sb="7" eb="8">
      <t>ゴウ</t>
    </rPh>
    <rPh sb="11" eb="12">
      <t>ツキ</t>
    </rPh>
    <phoneticPr fontId="1"/>
  </si>
  <si>
    <t>４歳以上児数1号
（6月）</t>
    <rPh sb="1" eb="2">
      <t>サイ</t>
    </rPh>
    <rPh sb="2" eb="4">
      <t>イジョウ</t>
    </rPh>
    <rPh sb="4" eb="5">
      <t>ジ</t>
    </rPh>
    <rPh sb="5" eb="6">
      <t>スウ</t>
    </rPh>
    <rPh sb="7" eb="8">
      <t>ゴウ</t>
    </rPh>
    <rPh sb="11" eb="12">
      <t>ツキ</t>
    </rPh>
    <phoneticPr fontId="1"/>
  </si>
  <si>
    <t>４歳以上児数1号
（7月）</t>
    <rPh sb="1" eb="2">
      <t>サイ</t>
    </rPh>
    <rPh sb="2" eb="4">
      <t>イジョウ</t>
    </rPh>
    <rPh sb="4" eb="5">
      <t>ジ</t>
    </rPh>
    <rPh sb="5" eb="6">
      <t>スウ</t>
    </rPh>
    <rPh sb="7" eb="8">
      <t>ゴウ</t>
    </rPh>
    <rPh sb="11" eb="12">
      <t>ツキ</t>
    </rPh>
    <phoneticPr fontId="1"/>
  </si>
  <si>
    <t>４歳以上児数1号
（8月）</t>
    <rPh sb="1" eb="2">
      <t>サイ</t>
    </rPh>
    <rPh sb="2" eb="4">
      <t>イジョウ</t>
    </rPh>
    <rPh sb="4" eb="5">
      <t>ジ</t>
    </rPh>
    <rPh sb="5" eb="6">
      <t>スウ</t>
    </rPh>
    <rPh sb="7" eb="8">
      <t>ゴウ</t>
    </rPh>
    <rPh sb="11" eb="12">
      <t>ツキ</t>
    </rPh>
    <phoneticPr fontId="1"/>
  </si>
  <si>
    <t>４歳以上児数1号
（9月）</t>
    <rPh sb="1" eb="2">
      <t>サイ</t>
    </rPh>
    <rPh sb="2" eb="4">
      <t>イジョウ</t>
    </rPh>
    <rPh sb="4" eb="5">
      <t>ジ</t>
    </rPh>
    <rPh sb="5" eb="6">
      <t>スウ</t>
    </rPh>
    <rPh sb="7" eb="8">
      <t>ゴウ</t>
    </rPh>
    <rPh sb="11" eb="12">
      <t>ツキ</t>
    </rPh>
    <phoneticPr fontId="1"/>
  </si>
  <si>
    <t>４歳以上児数1号
（10月）</t>
    <rPh sb="1" eb="2">
      <t>サイ</t>
    </rPh>
    <rPh sb="2" eb="4">
      <t>イジョウ</t>
    </rPh>
    <rPh sb="4" eb="5">
      <t>ジ</t>
    </rPh>
    <rPh sb="5" eb="6">
      <t>スウ</t>
    </rPh>
    <rPh sb="7" eb="8">
      <t>ゴウ</t>
    </rPh>
    <rPh sb="12" eb="13">
      <t>ツキ</t>
    </rPh>
    <phoneticPr fontId="1"/>
  </si>
  <si>
    <t>４歳以上児数1号
（11月）</t>
    <rPh sb="1" eb="2">
      <t>サイ</t>
    </rPh>
    <rPh sb="2" eb="4">
      <t>イジョウ</t>
    </rPh>
    <rPh sb="4" eb="5">
      <t>ジ</t>
    </rPh>
    <rPh sb="5" eb="6">
      <t>スウ</t>
    </rPh>
    <rPh sb="7" eb="8">
      <t>ゴウ</t>
    </rPh>
    <rPh sb="12" eb="13">
      <t>ツキ</t>
    </rPh>
    <phoneticPr fontId="1"/>
  </si>
  <si>
    <t>４歳以上児数1号
（12月）</t>
    <rPh sb="1" eb="2">
      <t>サイ</t>
    </rPh>
    <rPh sb="2" eb="4">
      <t>イジョウ</t>
    </rPh>
    <rPh sb="4" eb="5">
      <t>ジ</t>
    </rPh>
    <rPh sb="5" eb="6">
      <t>スウ</t>
    </rPh>
    <rPh sb="7" eb="8">
      <t>ゴウ</t>
    </rPh>
    <rPh sb="12" eb="13">
      <t>ツキ</t>
    </rPh>
    <phoneticPr fontId="1"/>
  </si>
  <si>
    <t>４歳以上児数1号
（1月）</t>
    <rPh sb="1" eb="2">
      <t>サイ</t>
    </rPh>
    <rPh sb="2" eb="4">
      <t>イジョウ</t>
    </rPh>
    <rPh sb="4" eb="5">
      <t>ジ</t>
    </rPh>
    <rPh sb="5" eb="6">
      <t>スウ</t>
    </rPh>
    <rPh sb="7" eb="8">
      <t>ゴウ</t>
    </rPh>
    <rPh sb="11" eb="12">
      <t>ツキ</t>
    </rPh>
    <phoneticPr fontId="1"/>
  </si>
  <si>
    <t>４歳以上児数2号
（4月）</t>
    <rPh sb="1" eb="2">
      <t>サイ</t>
    </rPh>
    <rPh sb="2" eb="4">
      <t>イジョウ</t>
    </rPh>
    <rPh sb="4" eb="5">
      <t>ジ</t>
    </rPh>
    <rPh sb="5" eb="6">
      <t>スウ</t>
    </rPh>
    <rPh sb="7" eb="8">
      <t>ゴウ</t>
    </rPh>
    <rPh sb="11" eb="12">
      <t>ツキ</t>
    </rPh>
    <phoneticPr fontId="1"/>
  </si>
  <si>
    <t>４歳以上児数2号
（5月）</t>
    <rPh sb="1" eb="2">
      <t>サイ</t>
    </rPh>
    <rPh sb="2" eb="4">
      <t>イジョウ</t>
    </rPh>
    <rPh sb="4" eb="5">
      <t>ジ</t>
    </rPh>
    <rPh sb="5" eb="6">
      <t>スウ</t>
    </rPh>
    <rPh sb="7" eb="8">
      <t>ゴウ</t>
    </rPh>
    <rPh sb="11" eb="12">
      <t>ツキ</t>
    </rPh>
    <phoneticPr fontId="1"/>
  </si>
  <si>
    <t>４歳以上児数2号
（6月）</t>
    <rPh sb="1" eb="2">
      <t>サイ</t>
    </rPh>
    <rPh sb="2" eb="4">
      <t>イジョウ</t>
    </rPh>
    <rPh sb="4" eb="5">
      <t>ジ</t>
    </rPh>
    <rPh sb="5" eb="6">
      <t>スウ</t>
    </rPh>
    <rPh sb="7" eb="8">
      <t>ゴウ</t>
    </rPh>
    <rPh sb="11" eb="12">
      <t>ツキ</t>
    </rPh>
    <phoneticPr fontId="1"/>
  </si>
  <si>
    <t>４歳以上児数2号
（7月）</t>
    <rPh sb="1" eb="2">
      <t>サイ</t>
    </rPh>
    <rPh sb="2" eb="4">
      <t>イジョウ</t>
    </rPh>
    <rPh sb="4" eb="5">
      <t>ジ</t>
    </rPh>
    <rPh sb="5" eb="6">
      <t>スウ</t>
    </rPh>
    <rPh sb="7" eb="8">
      <t>ゴウ</t>
    </rPh>
    <rPh sb="11" eb="12">
      <t>ツキ</t>
    </rPh>
    <phoneticPr fontId="1"/>
  </si>
  <si>
    <t>４歳以上児数2号
（8月）</t>
    <rPh sb="1" eb="2">
      <t>サイ</t>
    </rPh>
    <rPh sb="2" eb="4">
      <t>イジョウ</t>
    </rPh>
    <rPh sb="4" eb="5">
      <t>ジ</t>
    </rPh>
    <rPh sb="5" eb="6">
      <t>スウ</t>
    </rPh>
    <rPh sb="7" eb="8">
      <t>ゴウ</t>
    </rPh>
    <rPh sb="11" eb="12">
      <t>ツキ</t>
    </rPh>
    <phoneticPr fontId="1"/>
  </si>
  <si>
    <t>４歳以上児数2号
（9月）</t>
    <rPh sb="1" eb="2">
      <t>サイ</t>
    </rPh>
    <rPh sb="2" eb="4">
      <t>イジョウ</t>
    </rPh>
    <rPh sb="4" eb="5">
      <t>ジ</t>
    </rPh>
    <rPh sb="5" eb="6">
      <t>スウ</t>
    </rPh>
    <rPh sb="7" eb="8">
      <t>ゴウ</t>
    </rPh>
    <rPh sb="11" eb="12">
      <t>ツキ</t>
    </rPh>
    <phoneticPr fontId="1"/>
  </si>
  <si>
    <t>４歳以上児数2号
（10月）</t>
    <rPh sb="1" eb="2">
      <t>サイ</t>
    </rPh>
    <rPh sb="2" eb="4">
      <t>イジョウ</t>
    </rPh>
    <rPh sb="4" eb="5">
      <t>ジ</t>
    </rPh>
    <rPh sb="5" eb="6">
      <t>スウ</t>
    </rPh>
    <rPh sb="7" eb="8">
      <t>ゴウ</t>
    </rPh>
    <rPh sb="12" eb="13">
      <t>ツキ</t>
    </rPh>
    <phoneticPr fontId="1"/>
  </si>
  <si>
    <t>４歳以上児数2号
（11月）</t>
    <rPh sb="1" eb="2">
      <t>サイ</t>
    </rPh>
    <rPh sb="2" eb="4">
      <t>イジョウ</t>
    </rPh>
    <rPh sb="4" eb="5">
      <t>ジ</t>
    </rPh>
    <rPh sb="5" eb="6">
      <t>スウ</t>
    </rPh>
    <rPh sb="7" eb="8">
      <t>ゴウ</t>
    </rPh>
    <rPh sb="12" eb="13">
      <t>ツキ</t>
    </rPh>
    <phoneticPr fontId="1"/>
  </si>
  <si>
    <t>４歳以上児数2号
（12月）</t>
    <rPh sb="1" eb="2">
      <t>サイ</t>
    </rPh>
    <rPh sb="2" eb="4">
      <t>イジョウ</t>
    </rPh>
    <rPh sb="4" eb="5">
      <t>ジ</t>
    </rPh>
    <rPh sb="5" eb="6">
      <t>スウ</t>
    </rPh>
    <rPh sb="7" eb="8">
      <t>ゴウ</t>
    </rPh>
    <rPh sb="12" eb="13">
      <t>ツキ</t>
    </rPh>
    <phoneticPr fontId="1"/>
  </si>
  <si>
    <t>４歳以上児数2号
（1月）</t>
    <rPh sb="1" eb="2">
      <t>サイ</t>
    </rPh>
    <rPh sb="2" eb="4">
      <t>イジョウ</t>
    </rPh>
    <rPh sb="4" eb="5">
      <t>ジ</t>
    </rPh>
    <rPh sb="5" eb="6">
      <t>スウ</t>
    </rPh>
    <rPh sb="7" eb="8">
      <t>ゴウ</t>
    </rPh>
    <rPh sb="11" eb="12">
      <t>ツキ</t>
    </rPh>
    <phoneticPr fontId="1"/>
  </si>
  <si>
    <t>１号</t>
    <rPh sb="1" eb="2">
      <t>ゴウ</t>
    </rPh>
    <phoneticPr fontId="1"/>
  </si>
  <si>
    <t>２号</t>
    <rPh sb="1" eb="2">
      <t>ゴウ</t>
    </rPh>
    <phoneticPr fontId="1"/>
  </si>
  <si>
    <t>助成第１班　髙木</t>
    <rPh sb="6" eb="8">
      <t>タカギ</t>
    </rPh>
    <phoneticPr fontId="1"/>
  </si>
  <si>
    <t>無</t>
    <rPh sb="0" eb="1">
      <t>ム</t>
    </rPh>
    <phoneticPr fontId="15"/>
  </si>
  <si>
    <t>※入力後、必ず「【重要】送付前確認」シートをご確認ください。</t>
    <rPh sb="1" eb="4">
      <t>ニュウリョクゴ</t>
    </rPh>
    <rPh sb="5" eb="6">
      <t>カナラ</t>
    </rPh>
    <rPh sb="9" eb="11">
      <t>ジュウヨウ</t>
    </rPh>
    <rPh sb="12" eb="15">
      <t>ソウフマエ</t>
    </rPh>
    <rPh sb="15" eb="17">
      <t>カクニン</t>
    </rPh>
    <rPh sb="23" eb="25">
      <t>カクニン</t>
    </rPh>
    <phoneticPr fontId="1"/>
  </si>
  <si>
    <t>川口　能史</t>
  </si>
  <si>
    <t>⑦基本加算３の賃金単価が入力されているか</t>
    <rPh sb="7" eb="11">
      <t>チンギンタンカ</t>
    </rPh>
    <rPh sb="12" eb="14">
      <t>ニュウリョク</t>
    </rPh>
    <phoneticPr fontId="1"/>
  </si>
  <si>
    <t>⑨一般加算２の対象者名が入力されているか</t>
    <rPh sb="7" eb="10">
      <t>タイショウシャ</t>
    </rPh>
    <rPh sb="10" eb="11">
      <t>メイ</t>
    </rPh>
    <rPh sb="12" eb="14">
      <t>ニュウリョク</t>
    </rPh>
    <phoneticPr fontId="1"/>
  </si>
  <si>
    <t>⑨一般加算２の賃金単価が入力されているか</t>
    <rPh sb="7" eb="11">
      <t>チンギンタンカ</t>
    </rPh>
    <rPh sb="12" eb="14">
      <t>ニュウリョク</t>
    </rPh>
    <phoneticPr fontId="1"/>
  </si>
  <si>
    <t>⑨一般加算２の勤務日数が入力されているか</t>
    <rPh sb="7" eb="11">
      <t>キンムニッスウ</t>
    </rPh>
    <rPh sb="12" eb="14">
      <t>ニュウリョク</t>
    </rPh>
    <phoneticPr fontId="1"/>
  </si>
  <si>
    <t>⑨一般加算２の交通費単価が入力されているか</t>
    <rPh sb="7" eb="10">
      <t>コウツウヒ</t>
    </rPh>
    <rPh sb="10" eb="12">
      <t>タンカ</t>
    </rPh>
    <rPh sb="13" eb="15">
      <t>ニュウリョク</t>
    </rPh>
    <phoneticPr fontId="1"/>
  </si>
  <si>
    <t>補助単価</t>
    <rPh sb="0" eb="4">
      <t>ホジョタンカ</t>
    </rPh>
    <phoneticPr fontId="1"/>
  </si>
  <si>
    <t>栄養管理加算差引額</t>
    <rPh sb="0" eb="6">
      <t>エイヨウカンリカサン</t>
    </rPh>
    <rPh sb="6" eb="9">
      <t>サシヒキガク</t>
    </rPh>
    <phoneticPr fontId="1"/>
  </si>
  <si>
    <t>通常</t>
    <rPh sb="0" eb="2">
      <t>ツウジョウ</t>
    </rPh>
    <phoneticPr fontId="1"/>
  </si>
  <si>
    <t>栄養管理加算</t>
    <rPh sb="0" eb="4">
      <t>エイヨウカンリ</t>
    </rPh>
    <rPh sb="4" eb="6">
      <t>カサン</t>
    </rPh>
    <phoneticPr fontId="1"/>
  </si>
  <si>
    <t>年</t>
    <rPh sb="0" eb="1">
      <t>ネン</t>
    </rPh>
    <phoneticPr fontId="43"/>
  </si>
  <si>
    <t>月</t>
    <rPh sb="0" eb="1">
      <t>ツキ</t>
    </rPh>
    <phoneticPr fontId="43"/>
  </si>
  <si>
    <t>基本加算分１</t>
    <rPh sb="0" eb="2">
      <t>キホン</t>
    </rPh>
    <rPh sb="2" eb="4">
      <t>カサン</t>
    </rPh>
    <rPh sb="4" eb="5">
      <t>ブン</t>
    </rPh>
    <phoneticPr fontId="41"/>
  </si>
  <si>
    <t>基本加算分２</t>
    <rPh sb="0" eb="2">
      <t>キホン</t>
    </rPh>
    <rPh sb="2" eb="4">
      <t>カサン</t>
    </rPh>
    <rPh sb="4" eb="5">
      <t>ブン</t>
    </rPh>
    <phoneticPr fontId="41"/>
  </si>
  <si>
    <t>基本加算分３</t>
    <rPh sb="0" eb="2">
      <t>キホン</t>
    </rPh>
    <rPh sb="2" eb="4">
      <t>カサン</t>
    </rPh>
    <rPh sb="4" eb="5">
      <t>ブン</t>
    </rPh>
    <phoneticPr fontId="41"/>
  </si>
  <si>
    <t>一般加算分１</t>
    <rPh sb="0" eb="2">
      <t>イッパン</t>
    </rPh>
    <rPh sb="2" eb="4">
      <t>カサン</t>
    </rPh>
    <rPh sb="4" eb="5">
      <t>ブン</t>
    </rPh>
    <phoneticPr fontId="41"/>
  </si>
  <si>
    <t>一般加算分２</t>
    <rPh sb="0" eb="2">
      <t>イッパン</t>
    </rPh>
    <rPh sb="2" eb="4">
      <t>カサン</t>
    </rPh>
    <rPh sb="4" eb="5">
      <t>ブン</t>
    </rPh>
    <phoneticPr fontId="41"/>
  </si>
  <si>
    <t>特定加算分１</t>
    <rPh sb="0" eb="2">
      <t>トクテイ</t>
    </rPh>
    <rPh sb="2" eb="4">
      <t>カサン</t>
    </rPh>
    <rPh sb="4" eb="5">
      <t>ブン</t>
    </rPh>
    <phoneticPr fontId="41"/>
  </si>
  <si>
    <t>特定加算分２</t>
    <rPh sb="0" eb="2">
      <t>トクテイ</t>
    </rPh>
    <rPh sb="2" eb="4">
      <t>カサン</t>
    </rPh>
    <rPh sb="4" eb="5">
      <t>ブン</t>
    </rPh>
    <phoneticPr fontId="41"/>
  </si>
  <si>
    <t>医ケア</t>
    <rPh sb="0" eb="1">
      <t>イ</t>
    </rPh>
    <phoneticPr fontId="43"/>
  </si>
  <si>
    <t>栄養管理加算</t>
    <rPh sb="0" eb="6">
      <t>エイヨウカンリカサン</t>
    </rPh>
    <phoneticPr fontId="1"/>
  </si>
  <si>
    <t>⑫公定価格加算分の２月、３月の1号・２号の４・５歳児児童数に誤りがないか</t>
    <rPh sb="16" eb="17">
      <t>ゴウ</t>
    </rPh>
    <rPh sb="19" eb="20">
      <t>ゴウ</t>
    </rPh>
    <rPh sb="30" eb="31">
      <t>アヤマ</t>
    </rPh>
    <phoneticPr fontId="1"/>
  </si>
  <si>
    <t>２月、３月の４・５歳児児童数については１月と同数が記載されております。
誤りがあれば、関数の上からご修正ください</t>
    <phoneticPr fontId="1"/>
  </si>
  <si>
    <t>無</t>
    <phoneticPr fontId="1"/>
  </si>
  <si>
    <t>勤務形態</t>
    <rPh sb="0" eb="4">
      <t>キンムケイタイ</t>
    </rPh>
    <phoneticPr fontId="1"/>
  </si>
  <si>
    <t>未入力</t>
    <rPh sb="0" eb="3">
      <t>ミニュウリョク</t>
    </rPh>
    <phoneticPr fontId="1"/>
  </si>
  <si>
    <t>②-2勤務時間数入力の各月の労働時間が入力されているか</t>
    <rPh sb="11" eb="13">
      <t>カクツキ</t>
    </rPh>
    <rPh sb="14" eb="18">
      <t>ロウドウジカン</t>
    </rPh>
    <rPh sb="19" eb="21">
      <t>ニュウリョク</t>
    </rPh>
    <phoneticPr fontId="1"/>
  </si>
  <si>
    <t>月実働</t>
    <rPh sb="0" eb="1">
      <t>ツキ</t>
    </rPh>
    <rPh sb="1" eb="3">
      <t>ジツドウ</t>
    </rPh>
    <phoneticPr fontId="1"/>
  </si>
  <si>
    <t>契約</t>
    <rPh sb="0" eb="2">
      <t>ケイヤク</t>
    </rPh>
    <phoneticPr fontId="1"/>
  </si>
  <si>
    <t>②-2勤務時間数入力の労働契約上の就業時間（１カ月あたり）が入力されているか</t>
    <rPh sb="11" eb="13">
      <t>ロウドウ</t>
    </rPh>
    <rPh sb="13" eb="15">
      <t>ケイヤク</t>
    </rPh>
    <rPh sb="15" eb="16">
      <t>ジョウ</t>
    </rPh>
    <rPh sb="17" eb="19">
      <t>シュウギョウ</t>
    </rPh>
    <rPh sb="19" eb="21">
      <t>ジカン</t>
    </rPh>
    <rPh sb="24" eb="25">
      <t>ゲツ</t>
    </rPh>
    <rPh sb="30" eb="32">
      <t>ニュウリョク</t>
    </rPh>
    <phoneticPr fontId="1"/>
  </si>
  <si>
    <t>「契約上の就業時間を記載」と記載されているセルを入力してください。</t>
    <phoneticPr fontId="1"/>
  </si>
  <si>
    <t>「実績を入力」又は「見込を入力」と記載されているセルを入力してください。</t>
    <rPh sb="1" eb="3">
      <t>ジッセキ</t>
    </rPh>
    <rPh sb="4" eb="6">
      <t>ニュウリョク</t>
    </rPh>
    <rPh sb="7" eb="8">
      <t>マタ</t>
    </rPh>
    <rPh sb="10" eb="12">
      <t>ミコミ</t>
    </rPh>
    <rPh sb="13" eb="15">
      <t>ニュウリョク</t>
    </rPh>
    <rPh sb="17" eb="19">
      <t>キサイ</t>
    </rPh>
    <rPh sb="27" eb="29">
      <t>ニュウリョク</t>
    </rPh>
    <phoneticPr fontId="1"/>
  </si>
  <si>
    <t>職種がその他の場合は職種を入力してください。</t>
    <rPh sb="0" eb="2">
      <t>ショクシュ</t>
    </rPh>
    <rPh sb="5" eb="6">
      <t>タ</t>
    </rPh>
    <rPh sb="7" eb="9">
      <t>バアイ</t>
    </rPh>
    <rPh sb="10" eb="12">
      <t>ショクシュ</t>
    </rPh>
    <phoneticPr fontId="1"/>
  </si>
  <si>
    <t>給付費用</t>
    <rPh sb="0" eb="3">
      <t>キュウフヒ</t>
    </rPh>
    <rPh sb="3" eb="4">
      <t>ヨウ</t>
    </rPh>
    <phoneticPr fontId="1"/>
  </si>
  <si>
    <t>定数</t>
    <rPh sb="0" eb="2">
      <t>テイスウ</t>
    </rPh>
    <phoneticPr fontId="1"/>
  </si>
  <si>
    <t>１歳児加算あり
４歳以上児加算あり</t>
    <rPh sb="1" eb="3">
      <t>サイジ</t>
    </rPh>
    <rPh sb="3" eb="5">
      <t>カサン</t>
    </rPh>
    <rPh sb="9" eb="13">
      <t>サイイジョウジ</t>
    </rPh>
    <rPh sb="13" eb="15">
      <t>カサン</t>
    </rPh>
    <phoneticPr fontId="1"/>
  </si>
  <si>
    <t>１歳児加算あり
４歳以上児加算なし</t>
    <rPh sb="1" eb="3">
      <t>サイジ</t>
    </rPh>
    <rPh sb="3" eb="5">
      <t>カサン</t>
    </rPh>
    <rPh sb="9" eb="13">
      <t>サイイジョウジ</t>
    </rPh>
    <rPh sb="13" eb="15">
      <t>カサン</t>
    </rPh>
    <phoneticPr fontId="1"/>
  </si>
  <si>
    <t>１歳児加算なし
４歳以上児加算あり</t>
    <rPh sb="1" eb="3">
      <t>サイジ</t>
    </rPh>
    <rPh sb="3" eb="5">
      <t>カサン</t>
    </rPh>
    <rPh sb="9" eb="13">
      <t>サイイジョウジ</t>
    </rPh>
    <rPh sb="13" eb="15">
      <t>カサン</t>
    </rPh>
    <phoneticPr fontId="1"/>
  </si>
  <si>
    <t>この表の使い方</t>
    <rPh sb="2" eb="3">
      <t>ヒョウ</t>
    </rPh>
    <rPh sb="4" eb="5">
      <t>ツカ</t>
    </rPh>
    <rPh sb="6" eb="7">
      <t>カタ</t>
    </rPh>
    <phoneticPr fontId="1"/>
  </si>
  <si>
    <t>配置基準補助金算定上では、１歳児配置改善加算及び４歳以上児配置改善加算を給付費上の加算で取得している場合、加算額（基本額のみ）を補助金額から減じる運用としている。一方、給付担当は「④-1月別配置内訳書(2)-(2)-(A)」シートにおいて、保育士定数に対して、実際に施設に配置される保育士数を比較し、加算の取得有無、配置充足状況を確認を確認している。このため、１歳児配置改善加算及び４歳以上児配置改善加算を取得している場合には、「④-1月別配置内訳書(2)-(2)-(A)」シート上のB列職員定数を本シートU列に記載の定数に読み替え確認すること。</t>
    <rPh sb="0" eb="2">
      <t>ハイチ</t>
    </rPh>
    <rPh sb="2" eb="4">
      <t>キジュン</t>
    </rPh>
    <rPh sb="4" eb="7">
      <t>ホジョキン</t>
    </rPh>
    <rPh sb="7" eb="10">
      <t>サンテイジョウ</t>
    </rPh>
    <rPh sb="14" eb="16">
      <t>サイジ</t>
    </rPh>
    <rPh sb="16" eb="18">
      <t>ハイチ</t>
    </rPh>
    <rPh sb="18" eb="20">
      <t>カイゼン</t>
    </rPh>
    <rPh sb="20" eb="22">
      <t>カサン</t>
    </rPh>
    <rPh sb="22" eb="23">
      <t>オヨ</t>
    </rPh>
    <rPh sb="25" eb="29">
      <t>サイイジョウジ</t>
    </rPh>
    <rPh sb="29" eb="31">
      <t>ハイチ</t>
    </rPh>
    <rPh sb="31" eb="33">
      <t>カイゼン</t>
    </rPh>
    <rPh sb="33" eb="35">
      <t>カサン</t>
    </rPh>
    <rPh sb="36" eb="39">
      <t>キュウフヒ</t>
    </rPh>
    <rPh sb="39" eb="40">
      <t>ジョウ</t>
    </rPh>
    <rPh sb="41" eb="43">
      <t>カサン</t>
    </rPh>
    <rPh sb="44" eb="46">
      <t>シュトク</t>
    </rPh>
    <rPh sb="50" eb="52">
      <t>バアイ</t>
    </rPh>
    <rPh sb="53" eb="55">
      <t>カサン</t>
    </rPh>
    <rPh sb="55" eb="56">
      <t>ガク</t>
    </rPh>
    <rPh sb="57" eb="60">
      <t>キホンガク</t>
    </rPh>
    <rPh sb="64" eb="67">
      <t>ホジョキン</t>
    </rPh>
    <rPh sb="67" eb="68">
      <t>ガク</t>
    </rPh>
    <rPh sb="70" eb="71">
      <t>ゲン</t>
    </rPh>
    <rPh sb="73" eb="75">
      <t>ウンヨウ</t>
    </rPh>
    <rPh sb="81" eb="83">
      <t>イッポウ</t>
    </rPh>
    <rPh sb="84" eb="88">
      <t>キュウフタントウ</t>
    </rPh>
    <rPh sb="93" eb="95">
      <t>ツキベツ</t>
    </rPh>
    <rPh sb="95" eb="97">
      <t>ハイチ</t>
    </rPh>
    <rPh sb="97" eb="100">
      <t>ウチワケショ</t>
    </rPh>
    <rPh sb="120" eb="123">
      <t>ホイクシ</t>
    </rPh>
    <rPh sb="123" eb="125">
      <t>テイスウ</t>
    </rPh>
    <rPh sb="126" eb="127">
      <t>タイ</t>
    </rPh>
    <rPh sb="130" eb="132">
      <t>ジッサイ</t>
    </rPh>
    <rPh sb="133" eb="135">
      <t>シセツ</t>
    </rPh>
    <rPh sb="136" eb="138">
      <t>ハイチ</t>
    </rPh>
    <rPh sb="141" eb="144">
      <t>ホイクシ</t>
    </rPh>
    <rPh sb="144" eb="145">
      <t>スウ</t>
    </rPh>
    <rPh sb="146" eb="148">
      <t>ヒカク</t>
    </rPh>
    <rPh sb="150" eb="152">
      <t>カサン</t>
    </rPh>
    <rPh sb="153" eb="155">
      <t>シュトク</t>
    </rPh>
    <rPh sb="155" eb="157">
      <t>ウム</t>
    </rPh>
    <rPh sb="158" eb="160">
      <t>ハイチ</t>
    </rPh>
    <rPh sb="160" eb="162">
      <t>ジュウソク</t>
    </rPh>
    <rPh sb="162" eb="164">
      <t>ジョウキョウ</t>
    </rPh>
    <rPh sb="165" eb="167">
      <t>カクニン</t>
    </rPh>
    <rPh sb="168" eb="170">
      <t>カクニン</t>
    </rPh>
    <rPh sb="181" eb="183">
      <t>サイジ</t>
    </rPh>
    <rPh sb="183" eb="185">
      <t>ハイチ</t>
    </rPh>
    <rPh sb="185" eb="187">
      <t>カイゼン</t>
    </rPh>
    <rPh sb="187" eb="189">
      <t>カサン</t>
    </rPh>
    <rPh sb="189" eb="190">
      <t>オヨ</t>
    </rPh>
    <rPh sb="192" eb="196">
      <t>サイイジョウジ</t>
    </rPh>
    <rPh sb="196" eb="198">
      <t>ハイチ</t>
    </rPh>
    <rPh sb="198" eb="200">
      <t>カイゼン</t>
    </rPh>
    <rPh sb="200" eb="202">
      <t>カサン</t>
    </rPh>
    <rPh sb="203" eb="205">
      <t>シュトク</t>
    </rPh>
    <rPh sb="209" eb="211">
      <t>バアイ</t>
    </rPh>
    <rPh sb="240" eb="241">
      <t>ジョウ</t>
    </rPh>
    <rPh sb="243" eb="244">
      <t>レツ</t>
    </rPh>
    <rPh sb="244" eb="246">
      <t>ショクイン</t>
    </rPh>
    <rPh sb="246" eb="248">
      <t>テイスウ</t>
    </rPh>
    <rPh sb="249" eb="250">
      <t>ホン</t>
    </rPh>
    <rPh sb="254" eb="255">
      <t>レツ</t>
    </rPh>
    <rPh sb="256" eb="258">
      <t>キサイ</t>
    </rPh>
    <rPh sb="259" eb="261">
      <t>テイスウ</t>
    </rPh>
    <rPh sb="262" eb="263">
      <t>ヨ</t>
    </rPh>
    <rPh sb="264" eb="265">
      <t>カ</t>
    </rPh>
    <rPh sb="266" eb="268">
      <t>カクニン</t>
    </rPh>
    <phoneticPr fontId="1"/>
  </si>
  <si>
    <t>栄養管
理加算</t>
    <rPh sb="0" eb="2">
      <t>エイヨウ</t>
    </rPh>
    <rPh sb="2" eb="3">
      <t>カン</t>
    </rPh>
    <rPh sb="4" eb="5">
      <t>オサム</t>
    </rPh>
    <rPh sb="5" eb="7">
      <t>カサン</t>
    </rPh>
    <phoneticPr fontId="1"/>
  </si>
  <si>
    <t>⑫公定価格加算分</t>
    <rPh sb="0" eb="8">
      <t>12コウテイカカクカサンブン</t>
    </rPh>
    <phoneticPr fontId="1"/>
  </si>
  <si>
    <t>・3月時点で把握した児童数に修正しました。</t>
    <rPh sb="2" eb="5">
      <t>ツキジテン</t>
    </rPh>
    <rPh sb="6" eb="8">
      <t>ハアク</t>
    </rPh>
    <rPh sb="10" eb="12">
      <t>ジドウ</t>
    </rPh>
    <rPh sb="12" eb="13">
      <t>スウ</t>
    </rPh>
    <rPh sb="14" eb="16">
      <t>シュウセイ</t>
    </rPh>
    <phoneticPr fontId="1"/>
  </si>
  <si>
    <t>・市で把握している児童数に修正しましたのでご確認ください。</t>
  </si>
  <si>
    <t>幼保連携型認定こども園　さざれ幼稚園</t>
    <rPh sb="0" eb="1">
      <t>ヨウ</t>
    </rPh>
    <rPh sb="1" eb="2">
      <t>ホ</t>
    </rPh>
    <rPh sb="2" eb="5">
      <t>レンケイガタ</t>
    </rPh>
    <rPh sb="5" eb="7">
      <t>ニンテイ</t>
    </rPh>
    <rPh sb="10" eb="11">
      <t>エン</t>
    </rPh>
    <rPh sb="15" eb="18">
      <t>ヨウチエン</t>
    </rPh>
    <phoneticPr fontId="38"/>
  </si>
  <si>
    <t>認定こども園　こてはし台幼稚園</t>
    <rPh sb="11" eb="12">
      <t>ダイ</t>
    </rPh>
    <rPh sb="12" eb="15">
      <t>ヨウチエン</t>
    </rPh>
    <phoneticPr fontId="1"/>
  </si>
  <si>
    <t>認定こども園　稲毛幼稚園</t>
    <rPh sb="0" eb="2">
      <t>ニンテイ</t>
    </rPh>
    <rPh sb="5" eb="6">
      <t>エン</t>
    </rPh>
    <rPh sb="7" eb="12">
      <t>イナゲヨウチエン</t>
    </rPh>
    <phoneticPr fontId="1"/>
  </si>
  <si>
    <t>認定こども園　まこと東幼稚園</t>
    <rPh sb="10" eb="11">
      <t>ヒガシ</t>
    </rPh>
    <rPh sb="11" eb="14">
      <t>ヨウチエン</t>
    </rPh>
    <phoneticPr fontId="1"/>
  </si>
  <si>
    <t>幼保連携型認定こども園　すずらん保育園</t>
    <rPh sb="0" eb="7">
      <t>ヨウホレンケイガタニンテイ</t>
    </rPh>
    <rPh sb="10" eb="11">
      <t>エン</t>
    </rPh>
    <rPh sb="16" eb="18">
      <t>ホイク</t>
    </rPh>
    <rPh sb="18" eb="19">
      <t>エン</t>
    </rPh>
    <phoneticPr fontId="1"/>
  </si>
  <si>
    <t>幼保連携型認定こども園　若梅こども園</t>
    <rPh sb="0" eb="2">
      <t>ヨウホ</t>
    </rPh>
    <rPh sb="2" eb="4">
      <t>レンケイ</t>
    </rPh>
    <rPh sb="4" eb="5">
      <t>カタ</t>
    </rPh>
    <rPh sb="5" eb="7">
      <t>ニンテイ</t>
    </rPh>
    <rPh sb="10" eb="11">
      <t>エン</t>
    </rPh>
    <rPh sb="12" eb="14">
      <t>ワカウメ</t>
    </rPh>
    <rPh sb="17" eb="18">
      <t>エン</t>
    </rPh>
    <phoneticPr fontId="1"/>
  </si>
  <si>
    <t>幼保連携型認定こども園　チューリップこども園</t>
  </si>
  <si>
    <t>認定こども園　子鹿幼稚園</t>
    <rPh sb="0" eb="2">
      <t>ニンテイ</t>
    </rPh>
    <rPh sb="5" eb="6">
      <t>エン</t>
    </rPh>
    <rPh sb="7" eb="8">
      <t>コ</t>
    </rPh>
    <rPh sb="8" eb="9">
      <t>シカ</t>
    </rPh>
    <rPh sb="9" eb="12">
      <t>ヨウチエン</t>
    </rPh>
    <phoneticPr fontId="1"/>
  </si>
  <si>
    <t>中央区</t>
    <rPh sb="0" eb="3">
      <t>チュウオウク</t>
    </rPh>
    <phoneticPr fontId="1"/>
  </si>
  <si>
    <t>花見川区</t>
    <rPh sb="0" eb="4">
      <t>ハナミガワク</t>
    </rPh>
    <phoneticPr fontId="1"/>
  </si>
  <si>
    <t>稲毛区</t>
    <rPh sb="0" eb="3">
      <t>イナゲク</t>
    </rPh>
    <phoneticPr fontId="1"/>
  </si>
  <si>
    <t>若葉区</t>
    <rPh sb="0" eb="3">
      <t>ワカバク</t>
    </rPh>
    <phoneticPr fontId="1"/>
  </si>
  <si>
    <t>緑区</t>
    <rPh sb="0" eb="2">
      <t>ミドリク</t>
    </rPh>
    <phoneticPr fontId="1"/>
  </si>
  <si>
    <t>美浜区</t>
    <rPh sb="0" eb="3">
      <t>ミハマク</t>
    </rPh>
    <phoneticPr fontId="1"/>
  </si>
  <si>
    <t>委任状</t>
    <rPh sb="0" eb="3">
      <t>イニンジョウ</t>
    </rPh>
    <phoneticPr fontId="1"/>
  </si>
  <si>
    <t>園一覧リストCC列から貼り付け</t>
    <rPh sb="0" eb="3">
      <t>エンイチラン</t>
    </rPh>
    <rPh sb="8" eb="9">
      <t>レツ</t>
    </rPh>
    <rPh sb="11" eb="12">
      <t>ハ</t>
    </rPh>
    <rPh sb="13" eb="14">
      <t>ツ</t>
    </rPh>
    <phoneticPr fontId="1"/>
  </si>
  <si>
    <t>園一覧補助金基本データから貼付</t>
    <rPh sb="0" eb="3">
      <t>エンイチラン</t>
    </rPh>
    <rPh sb="3" eb="8">
      <t>ホジョキンキホン</t>
    </rPh>
    <rPh sb="13" eb="14">
      <t>ハ</t>
    </rPh>
    <rPh sb="14" eb="15">
      <t>ツ</t>
    </rPh>
    <phoneticPr fontId="1"/>
  </si>
  <si>
    <t>債権者登録情報一覧から貼り付け</t>
    <rPh sb="0" eb="3">
      <t>サイケンシャ</t>
    </rPh>
    <rPh sb="3" eb="5">
      <t>トウロク</t>
    </rPh>
    <rPh sb="5" eb="7">
      <t>ジョウホウ</t>
    </rPh>
    <rPh sb="7" eb="9">
      <t>イチラン</t>
    </rPh>
    <rPh sb="11" eb="12">
      <t>ハ</t>
    </rPh>
    <rPh sb="13" eb="14">
      <t>ツ</t>
    </rPh>
    <phoneticPr fontId="1"/>
  </si>
  <si>
    <t>園一覧</t>
    <rPh sb="0" eb="3">
      <t>エンイチラン</t>
    </rPh>
    <phoneticPr fontId="1"/>
  </si>
  <si>
    <t>債権者</t>
    <rPh sb="0" eb="3">
      <t>サイケンシャ</t>
    </rPh>
    <phoneticPr fontId="1"/>
  </si>
  <si>
    <t>個別データ</t>
    <rPh sb="0" eb="2">
      <t>コベツ</t>
    </rPh>
    <phoneticPr fontId="1"/>
  </si>
  <si>
    <t>認定こども園かしの木学園　カトライアキンダーガルテン</t>
    <rPh sb="0" eb="2">
      <t>ニンテイ</t>
    </rPh>
    <rPh sb="5" eb="6">
      <t>エン</t>
    </rPh>
    <rPh sb="9" eb="10">
      <t>キ</t>
    </rPh>
    <rPh sb="10" eb="12">
      <t>ガクエン</t>
    </rPh>
    <phoneticPr fontId="13"/>
  </si>
  <si>
    <t>幼保連携型認定こども園　幕張海浜こども園</t>
    <rPh sb="19" eb="20">
      <t>エン</t>
    </rPh>
    <phoneticPr fontId="4"/>
  </si>
  <si>
    <t>認定こども園　かしの木学園　カトライア・キンダーガルテン</t>
  </si>
  <si>
    <t>認定こども園　千葉明徳短期大学附属幼稚園</t>
    <rPh sb="7" eb="9">
      <t>チバ</t>
    </rPh>
    <rPh sb="9" eb="11">
      <t>メイトク</t>
    </rPh>
    <rPh sb="11" eb="13">
      <t>タンキ</t>
    </rPh>
    <rPh sb="13" eb="15">
      <t>ダイガク</t>
    </rPh>
    <rPh sb="15" eb="17">
      <t>フゾク</t>
    </rPh>
    <rPh sb="17" eb="20">
      <t>ヨウチエン</t>
    </rPh>
    <phoneticPr fontId="4"/>
  </si>
  <si>
    <t>認定こども園　登戸幼稚園</t>
    <rPh sb="7" eb="9">
      <t>ノブト</t>
    </rPh>
    <rPh sb="9" eb="12">
      <t>ヨウチエン</t>
    </rPh>
    <phoneticPr fontId="4"/>
  </si>
  <si>
    <t>認定こども園　さつきが丘幼稚園</t>
    <rPh sb="11" eb="12">
      <t>オカ</t>
    </rPh>
    <rPh sb="12" eb="15">
      <t>ヨウチエン</t>
    </rPh>
    <phoneticPr fontId="4"/>
  </si>
  <si>
    <t>認定こども園　まこと第三幼稚園</t>
    <rPh sb="10" eb="11">
      <t>ダイ</t>
    </rPh>
    <rPh sb="11" eb="12">
      <t>サン</t>
    </rPh>
    <rPh sb="12" eb="15">
      <t>ヨウチエン</t>
    </rPh>
    <phoneticPr fontId="4"/>
  </si>
  <si>
    <t>認定こども園　稲毛すみれ幼稚園</t>
    <rPh sb="7" eb="9">
      <t>イナゲ</t>
    </rPh>
    <rPh sb="12" eb="15">
      <t>ヨウチエン</t>
    </rPh>
    <phoneticPr fontId="4"/>
  </si>
  <si>
    <t>認定こども園　かしの木学園　かしの木園</t>
    <rPh sb="0" eb="2">
      <t>ニンテイ</t>
    </rPh>
    <rPh sb="5" eb="6">
      <t>エン</t>
    </rPh>
    <rPh sb="10" eb="11">
      <t>キ</t>
    </rPh>
    <rPh sb="11" eb="13">
      <t>ガクエン</t>
    </rPh>
    <rPh sb="17" eb="18">
      <t>キ</t>
    </rPh>
    <rPh sb="18" eb="19">
      <t>エン</t>
    </rPh>
    <phoneticPr fontId="5"/>
  </si>
  <si>
    <t>宗教法人日本聖公会横浜教区　認定こども園　双葉幼稚園</t>
    <rPh sb="0" eb="2">
      <t>シュウキョウ</t>
    </rPh>
    <rPh sb="2" eb="4">
      <t>ホウジン</t>
    </rPh>
    <rPh sb="4" eb="6">
      <t>ニホン</t>
    </rPh>
    <rPh sb="6" eb="9">
      <t>セイコウカイ</t>
    </rPh>
    <rPh sb="9" eb="11">
      <t>ヨコハマ</t>
    </rPh>
    <rPh sb="11" eb="13">
      <t>キョウク</t>
    </rPh>
    <rPh sb="14" eb="16">
      <t>ニンテイ</t>
    </rPh>
    <rPh sb="19" eb="20">
      <t>エン</t>
    </rPh>
    <rPh sb="21" eb="23">
      <t>フタバ</t>
    </rPh>
    <rPh sb="23" eb="26">
      <t>ヨウチエン</t>
    </rPh>
    <phoneticPr fontId="4"/>
  </si>
  <si>
    <t>学校法人芦童学園　認定こども園　青い鳥第二幼稚園</t>
    <rPh sb="0" eb="2">
      <t>ガッコウ</t>
    </rPh>
    <rPh sb="2" eb="4">
      <t>ホウジン</t>
    </rPh>
    <rPh sb="4" eb="5">
      <t>アシ</t>
    </rPh>
    <rPh sb="5" eb="6">
      <t>ドウ</t>
    </rPh>
    <rPh sb="6" eb="8">
      <t>ガクエン</t>
    </rPh>
    <rPh sb="9" eb="11">
      <t>ニンテイ</t>
    </rPh>
    <rPh sb="14" eb="15">
      <t>エン</t>
    </rPh>
    <rPh sb="16" eb="17">
      <t>アオ</t>
    </rPh>
    <rPh sb="18" eb="19">
      <t>トリ</t>
    </rPh>
    <rPh sb="19" eb="20">
      <t>ダイ</t>
    </rPh>
    <rPh sb="20" eb="21">
      <t>２</t>
    </rPh>
    <rPh sb="21" eb="24">
      <t>ヨウチエン</t>
    </rPh>
    <phoneticPr fontId="4"/>
  </si>
  <si>
    <t>土気中央幼稚園</t>
    <rPh sb="0" eb="2">
      <t>トケ</t>
    </rPh>
    <rPh sb="2" eb="4">
      <t>チュウオウ</t>
    </rPh>
    <rPh sb="4" eb="7">
      <t>ヨウチエン</t>
    </rPh>
    <phoneticPr fontId="1"/>
  </si>
  <si>
    <t>あすみ中央幼稚園</t>
    <rPh sb="3" eb="5">
      <t>チュウオウ</t>
    </rPh>
    <rPh sb="5" eb="8">
      <t>ヨウチエン</t>
    </rPh>
    <phoneticPr fontId="1"/>
  </si>
  <si>
    <t>幼保連携型認定こども園　若梅認定こども園</t>
  </si>
  <si>
    <t>UTJ98683</t>
  </si>
  <si>
    <t>RZG77303</t>
  </si>
  <si>
    <t>KDX51954</t>
  </si>
  <si>
    <t>WXL34767</t>
  </si>
  <si>
    <t>AZG12417</t>
  </si>
  <si>
    <t>（学）誠和学園</t>
  </si>
  <si>
    <t>（学）広田学園</t>
  </si>
  <si>
    <t>（学）小林学園</t>
  </si>
  <si>
    <t>（福）精粋福祉会</t>
  </si>
  <si>
    <t>（学）ポーロニア学園</t>
  </si>
  <si>
    <t>職名4月</t>
  </si>
  <si>
    <t>氏名4月</t>
  </si>
  <si>
    <t>住所4月</t>
  </si>
  <si>
    <t>千葉県千葉市若葉区みつわ台１丁目２８－２０</t>
    <rPh sb="0" eb="6">
      <t>チバケンチバシ</t>
    </rPh>
    <rPh sb="6" eb="9">
      <t>ワカバク</t>
    </rPh>
    <rPh sb="12" eb="13">
      <t>ダイ</t>
    </rPh>
    <rPh sb="14" eb="16">
      <t>チョウメ</t>
    </rPh>
    <phoneticPr fontId="7"/>
  </si>
  <si>
    <t>広田美奈子</t>
    <rPh sb="0" eb="2">
      <t>ヒロタ</t>
    </rPh>
    <rPh sb="2" eb="5">
      <t>ミナコ</t>
    </rPh>
    <phoneticPr fontId="7"/>
  </si>
  <si>
    <t>千葉県千葉市花見川区横戸町８５７</t>
  </si>
  <si>
    <t>小林義昌</t>
  </si>
  <si>
    <t>千葉県千葉市稲毛区稲毛町５丁目１００－１</t>
  </si>
  <si>
    <t>園長</t>
    <rPh sb="0" eb="2">
      <t>エンチョウ</t>
    </rPh>
    <phoneticPr fontId="7"/>
  </si>
  <si>
    <t>松浦伸治</t>
    <rPh sb="0" eb="2">
      <t>マツウラ</t>
    </rPh>
    <rPh sb="2" eb="4">
      <t>シンジ</t>
    </rPh>
    <phoneticPr fontId="7"/>
  </si>
  <si>
    <t>千葉県千葉市若葉区若松町２１０６番地の３</t>
    <rPh sb="0" eb="3">
      <t>チバケン</t>
    </rPh>
    <rPh sb="3" eb="6">
      <t>チバシ</t>
    </rPh>
    <rPh sb="6" eb="9">
      <t>ワカバク</t>
    </rPh>
    <rPh sb="9" eb="11">
      <t>ワカマツ</t>
    </rPh>
    <rPh sb="11" eb="12">
      <t>チョウ</t>
    </rPh>
    <rPh sb="16" eb="18">
      <t>バンチ</t>
    </rPh>
    <phoneticPr fontId="7"/>
  </si>
  <si>
    <t>熊田佳美</t>
  </si>
  <si>
    <t>千葉県千葉市美浜区幸町１丁目５－１</t>
  </si>
  <si>
    <t>〇</t>
  </si>
  <si>
    <t>千葉県白井市南山１丁目７－２</t>
  </si>
  <si>
    <t>理事長</t>
    <rPh sb="0" eb="3">
      <t>リジチョウ</t>
    </rPh>
    <phoneticPr fontId="7"/>
  </si>
  <si>
    <t>赤塚　美枝子</t>
    <rPh sb="0" eb="2">
      <t>アカツカ</t>
    </rPh>
    <rPh sb="3" eb="6">
      <t>ミエコ</t>
    </rPh>
    <phoneticPr fontId="7"/>
  </si>
  <si>
    <t>地方</t>
    <rPh sb="0" eb="2">
      <t>チホウ</t>
    </rPh>
    <phoneticPr fontId="5"/>
  </si>
  <si>
    <t>幼保</t>
    <rPh sb="0" eb="1">
      <t>ヨウ</t>
    </rPh>
    <rPh sb="1" eb="2">
      <t>タモツ</t>
    </rPh>
    <phoneticPr fontId="5"/>
  </si>
  <si>
    <t>保</t>
    <rPh sb="0" eb="1">
      <t>ホ</t>
    </rPh>
    <phoneticPr fontId="5"/>
  </si>
  <si>
    <t>幼保</t>
    <rPh sb="0" eb="1">
      <t>ヨウ</t>
    </rPh>
    <rPh sb="1" eb="2">
      <t>ホ</t>
    </rPh>
    <phoneticPr fontId="4"/>
  </si>
  <si>
    <t>令和８年３月</t>
    <rPh sb="0" eb="2">
      <t>レイワ</t>
    </rPh>
    <rPh sb="3" eb="4">
      <t>ネン</t>
    </rPh>
    <rPh sb="5" eb="6">
      <t>ガツ</t>
    </rPh>
    <phoneticPr fontId="1"/>
  </si>
  <si>
    <t>・実績額が概算払い済額を下回る場合、令和９年５月末までに、過払い額を返還していただきます。</t>
    <phoneticPr fontId="1"/>
  </si>
  <si>
    <t>上記注意事項を了承し、概算払い（１回目・5/29支払予定）を希望しますか　→</t>
    <rPh sb="0" eb="2">
      <t>ジョウキ</t>
    </rPh>
    <rPh sb="2" eb="4">
      <t>チュウイ</t>
    </rPh>
    <rPh sb="4" eb="6">
      <t>ジコウ</t>
    </rPh>
    <rPh sb="7" eb="9">
      <t>リョウショウ</t>
    </rPh>
    <rPh sb="11" eb="13">
      <t>ガイサン</t>
    </rPh>
    <rPh sb="13" eb="14">
      <t>バラ</t>
    </rPh>
    <rPh sb="17" eb="19">
      <t>カイメ</t>
    </rPh>
    <rPh sb="24" eb="26">
      <t>シハライ</t>
    </rPh>
    <rPh sb="26" eb="28">
      <t>ヨテイ</t>
    </rPh>
    <rPh sb="30" eb="32">
      <t>キボウ</t>
    </rPh>
    <phoneticPr fontId="1"/>
  </si>
  <si>
    <t>４歳以上児配置改善加算適用の有無を入力してください。</t>
    <rPh sb="1" eb="4">
      <t>サイイジョウ</t>
    </rPh>
    <rPh sb="4" eb="5">
      <t>ジ</t>
    </rPh>
    <rPh sb="5" eb="7">
      <t>ハイチ</t>
    </rPh>
    <rPh sb="7" eb="9">
      <t>カイゼン</t>
    </rPh>
    <rPh sb="9" eb="11">
      <t>カサン</t>
    </rPh>
    <rPh sb="11" eb="13">
      <t>テキヨウ</t>
    </rPh>
    <rPh sb="14" eb="16">
      <t>ウム</t>
    </rPh>
    <rPh sb="17" eb="19">
      <t>ニュウリョク</t>
    </rPh>
    <phoneticPr fontId="1"/>
  </si>
  <si>
    <t>１歳児配置改善加算適用の有無を入力してください。</t>
    <rPh sb="1" eb="3">
      <t>サイジ</t>
    </rPh>
    <rPh sb="3" eb="5">
      <t>ハイチ</t>
    </rPh>
    <rPh sb="5" eb="7">
      <t>カイゼン</t>
    </rPh>
    <rPh sb="7" eb="9">
      <t>カサン</t>
    </rPh>
    <rPh sb="9" eb="11">
      <t>テキヨウ</t>
    </rPh>
    <rPh sb="12" eb="14">
      <t>ウム</t>
    </rPh>
    <rPh sb="15" eb="17">
      <t>ニュウリョク</t>
    </rPh>
    <phoneticPr fontId="1"/>
  </si>
  <si>
    <t>栄養管理加算の使途を選択してください。</t>
    <rPh sb="0" eb="2">
      <t>エイヨウ</t>
    </rPh>
    <rPh sb="2" eb="4">
      <t>カンリ</t>
    </rPh>
    <rPh sb="4" eb="6">
      <t>カサン</t>
    </rPh>
    <phoneticPr fontId="1"/>
  </si>
  <si>
    <t>貴園は4歳以上児配置改善加算対象外ですので入力の必要はありません。</t>
    <rPh sb="4" eb="14">
      <t>サイイジョウジハイチカイゼンカサン</t>
    </rPh>
    <phoneticPr fontId="1"/>
  </si>
  <si>
    <t>4･5歳児児童数を入力してください。</t>
    <rPh sb="3" eb="8">
      <t>サイジジドウスウ</t>
    </rPh>
    <rPh sb="9" eb="11">
      <t>ニュウリョク</t>
    </rPh>
    <phoneticPr fontId="1"/>
  </si>
  <si>
    <t>　令和８年度千葉市施設型給付対象施設保育士等配置基準改善事業補助金の交付を受けたいので、千葉市施設型給付対象施設運営事業補助金交付要綱第４条の規定により次のとおり申請します。　　</t>
    <rPh sb="1" eb="3">
      <t>レイワ</t>
    </rPh>
    <rPh sb="9" eb="12">
      <t>シセツガタ</t>
    </rPh>
    <rPh sb="12" eb="14">
      <t>キュウフ</t>
    </rPh>
    <rPh sb="14" eb="16">
      <t>タイショウ</t>
    </rPh>
    <rPh sb="16" eb="18">
      <t>シセツ</t>
    </rPh>
    <rPh sb="47" eb="50">
      <t>シセツガタ</t>
    </rPh>
    <rPh sb="50" eb="52">
      <t>キュウフ</t>
    </rPh>
    <rPh sb="52" eb="54">
      <t>タイショウ</t>
    </rPh>
    <rPh sb="54" eb="56">
      <t>シセツ</t>
    </rPh>
    <phoneticPr fontId="6"/>
  </si>
  <si>
    <t>　令和８年４月１日付け千葉市指令こ幼運第　　号　　により交付決定のあった補助金の分割事前交付を次のとおり受けたいので、千葉市施設型給付対象施設運営事業補助金交付要綱第８条の規定により請求します。</t>
    <rPh sb="1" eb="3">
      <t>レイワ</t>
    </rPh>
    <rPh sb="17" eb="18">
      <t>ヨウ</t>
    </rPh>
    <rPh sb="18" eb="19">
      <t>ウン</t>
    </rPh>
    <rPh sb="62" eb="65">
      <t>シセツガタ</t>
    </rPh>
    <rPh sb="65" eb="67">
      <t>キュウフ</t>
    </rPh>
    <rPh sb="67" eb="69">
      <t>タイショウ</t>
    </rPh>
    <rPh sb="69" eb="71">
      <t>シセツ</t>
    </rPh>
    <phoneticPr fontId="15"/>
  </si>
  <si>
    <t>（実績）</t>
    <rPh sb="1" eb="3">
      <t>ジッセキ</t>
    </rPh>
    <phoneticPr fontId="1"/>
  </si>
  <si>
    <t>（当初）</t>
    <rPh sb="1" eb="3">
      <t>トウショ</t>
    </rPh>
    <phoneticPr fontId="1"/>
  </si>
  <si>
    <t>（中間）</t>
    <rPh sb="1" eb="3">
      <t>チュウカン</t>
    </rPh>
    <phoneticPr fontId="1"/>
  </si>
  <si>
    <r>
      <t>（画面上では黄色）の部分のうち、</t>
    </r>
    <r>
      <rPr>
        <b/>
        <u val="double"/>
        <sz val="14"/>
        <color rgb="FFFF0000"/>
        <rFont val="Meiryo UI"/>
        <family val="3"/>
        <charset val="128"/>
      </rPr>
      <t>「４月分」のみ、</t>
    </r>
    <r>
      <rPr>
        <sz val="14"/>
        <rFont val="Meiryo UI"/>
        <family val="3"/>
        <charset val="128"/>
      </rPr>
      <t>入力をお願いします。</t>
    </r>
    <rPh sb="1" eb="4">
      <t>ガメンジョウ</t>
    </rPh>
    <rPh sb="6" eb="8">
      <t>キイロ</t>
    </rPh>
    <rPh sb="10" eb="12">
      <t>ブブン</t>
    </rPh>
    <rPh sb="18" eb="20">
      <t>ガツブン</t>
    </rPh>
    <rPh sb="24" eb="26">
      <t>ニュウリョク</t>
    </rPh>
    <rPh sb="28" eb="29">
      <t>ネガ</t>
    </rPh>
    <phoneticPr fontId="15"/>
  </si>
  <si>
    <t>①～⑫まで入力・確認後、様式1の内容をご確認ください。
概算払いを希望する場合は、様式３の内容もご確認ください。</t>
    <rPh sb="5" eb="7">
      <t>ニュウリョク</t>
    </rPh>
    <rPh sb="8" eb="11">
      <t>カクニンゴ</t>
    </rPh>
    <rPh sb="12" eb="14">
      <t>ヨウシキ</t>
    </rPh>
    <rPh sb="16" eb="18">
      <t>ナイヨウ</t>
    </rPh>
    <rPh sb="20" eb="22">
      <t>カクニン</t>
    </rPh>
    <rPh sb="28" eb="31">
      <t>ガイサンバラ</t>
    </rPh>
    <rPh sb="33" eb="35">
      <t>キボウ</t>
    </rPh>
    <rPh sb="37" eb="39">
      <t>バアイ</t>
    </rPh>
    <rPh sb="41" eb="43">
      <t>ヨウシキ</t>
    </rPh>
    <rPh sb="45" eb="47">
      <t>ナイヨウ</t>
    </rPh>
    <rPh sb="49" eb="51">
      <t>カクニン</t>
    </rPh>
    <phoneticPr fontId="1"/>
  </si>
  <si>
    <t>　　　各シートに記載の記載方法のほか、別途配布する留意事項も参考にしてください。</t>
    <rPh sb="3" eb="4">
      <t>カク</t>
    </rPh>
    <rPh sb="8" eb="10">
      <t>キサイ</t>
    </rPh>
    <rPh sb="11" eb="13">
      <t>キサイ</t>
    </rPh>
    <rPh sb="13" eb="15">
      <t>ホウホウ</t>
    </rPh>
    <rPh sb="19" eb="21">
      <t>ベット</t>
    </rPh>
    <rPh sb="21" eb="23">
      <t>ハイフ</t>
    </rPh>
    <rPh sb="25" eb="27">
      <t>リュウイ</t>
    </rPh>
    <rPh sb="27" eb="29">
      <t>ジコウ</t>
    </rPh>
    <rPh sb="30" eb="32">
      <t>サンコウ</t>
    </rPh>
    <phoneticPr fontId="1"/>
  </si>
  <si>
    <t>　　　令和８年４月１５日（水）　　　</t>
    <rPh sb="3" eb="5">
      <t>レイワ</t>
    </rPh>
    <rPh sb="6" eb="7">
      <t>ネン</t>
    </rPh>
    <rPh sb="8" eb="9">
      <t>ガツ</t>
    </rPh>
    <rPh sb="11" eb="12">
      <t>ニチ</t>
    </rPh>
    <rPh sb="13" eb="14">
      <t>ミズ</t>
    </rPh>
    <phoneticPr fontId="1"/>
  </si>
  <si>
    <t>M4セルに入力したパスワードがあっている場合、「OK」と表示されますので、確認してください。「パスワードが違います」と表示された場合、M4セルのパスワードを修正してください。※パスワードが不明な場合、幼保運営課までお問い合わせください。</t>
    <rPh sb="5" eb="7">
      <t>ニュウリョク</t>
    </rPh>
    <rPh sb="20" eb="22">
      <t>バアイ</t>
    </rPh>
    <rPh sb="28" eb="30">
      <t>ヒョウジ</t>
    </rPh>
    <rPh sb="37" eb="39">
      <t>カクニン</t>
    </rPh>
    <rPh sb="53" eb="54">
      <t>チガ</t>
    </rPh>
    <rPh sb="59" eb="61">
      <t>ヒョウジ</t>
    </rPh>
    <rPh sb="64" eb="66">
      <t>バアイ</t>
    </rPh>
    <rPh sb="78" eb="80">
      <t>シュウセイ</t>
    </rPh>
    <rPh sb="94" eb="96">
      <t>フメイ</t>
    </rPh>
    <rPh sb="97" eb="99">
      <t>バアイ</t>
    </rPh>
    <rPh sb="100" eb="102">
      <t>ヨウホ</t>
    </rPh>
    <rPh sb="102" eb="104">
      <t>ウンエイ</t>
    </rPh>
    <rPh sb="104" eb="105">
      <t>カ</t>
    </rPh>
    <rPh sb="108" eb="109">
      <t>ト</t>
    </rPh>
    <rPh sb="110" eb="111">
      <t>ア</t>
    </rPh>
    <phoneticPr fontId="1"/>
  </si>
  <si>
    <t>14~16行目の注意事項を確認し、概算払いを請求する場合は「了承の上、概算払い（１回目）を請求する」を選択してください。</t>
    <rPh sb="5" eb="7">
      <t>ギョウメ</t>
    </rPh>
    <rPh sb="8" eb="10">
      <t>チュウイ</t>
    </rPh>
    <rPh sb="10" eb="12">
      <t>ジコウ</t>
    </rPh>
    <rPh sb="13" eb="15">
      <t>カクニン</t>
    </rPh>
    <rPh sb="17" eb="19">
      <t>ガイサン</t>
    </rPh>
    <rPh sb="19" eb="20">
      <t>バラ</t>
    </rPh>
    <rPh sb="22" eb="24">
      <t>セイキュウ</t>
    </rPh>
    <rPh sb="26" eb="28">
      <t>バアイ</t>
    </rPh>
    <rPh sb="51" eb="53">
      <t>センタク</t>
    </rPh>
    <phoneticPr fontId="1"/>
  </si>
  <si>
    <t>L18セル</t>
    <phoneticPr fontId="1"/>
  </si>
  <si>
    <t>F28セル</t>
    <phoneticPr fontId="1"/>
  </si>
  <si>
    <t>F29セル</t>
    <phoneticPr fontId="1"/>
  </si>
  <si>
    <t>F37セル</t>
    <phoneticPr fontId="1"/>
  </si>
  <si>
    <t>F35セル</t>
    <phoneticPr fontId="1"/>
  </si>
  <si>
    <t>①基本情報のうち、保育士配置数が入力されているか</t>
    <rPh sb="1" eb="5">
      <t>キホンジョウホウ</t>
    </rPh>
    <rPh sb="9" eb="15">
      <t>ホイクシハイチスウ</t>
    </rPh>
    <rPh sb="16" eb="18">
      <t>ニュウリョク</t>
    </rPh>
    <phoneticPr fontId="15"/>
  </si>
  <si>
    <t>①基本情報のうち、医療的ケアに係る看護師等が入力されているか</t>
    <rPh sb="1" eb="5">
      <t>キホンジョウホウ</t>
    </rPh>
    <rPh sb="9" eb="12">
      <t>イリョウテキ</t>
    </rPh>
    <rPh sb="15" eb="16">
      <t>カカ</t>
    </rPh>
    <rPh sb="17" eb="21">
      <t>カンゴシトウ</t>
    </rPh>
    <rPh sb="22" eb="24">
      <t>ニュウリョク</t>
    </rPh>
    <phoneticPr fontId="15"/>
  </si>
  <si>
    <t>①基本情報の医療的ケアを要する児童数が入力されているか</t>
    <rPh sb="1" eb="5">
      <t>キホンジョウホウ</t>
    </rPh>
    <rPh sb="6" eb="9">
      <t>イリョウテキ</t>
    </rPh>
    <rPh sb="12" eb="13">
      <t>ヨウ</t>
    </rPh>
    <rPh sb="15" eb="18">
      <t>ジドウスウ</t>
    </rPh>
    <rPh sb="19" eb="21">
      <t>ニュウリョク</t>
    </rPh>
    <phoneticPr fontId="15"/>
  </si>
  <si>
    <t>①基本情報の高齢者等活躍促進加算の該当者数が入力されているか</t>
    <rPh sb="1" eb="5">
      <t>キホンジョウホウ</t>
    </rPh>
    <rPh sb="6" eb="16">
      <t>コウレイシャトウカツヤクソクシンカサン</t>
    </rPh>
    <rPh sb="17" eb="21">
      <t>ガイトウシャスウ</t>
    </rPh>
    <rPh sb="22" eb="24">
      <t>ニュウリョク</t>
    </rPh>
    <phoneticPr fontId="15"/>
  </si>
  <si>
    <t>①基本情報の4歳以上児配置改善加算の適用が入力されているか</t>
    <rPh sb="1" eb="5">
      <t>キホンジョウホウ</t>
    </rPh>
    <rPh sb="7" eb="17">
      <t>サイイジョウジハイチカイゼンカサン</t>
    </rPh>
    <rPh sb="18" eb="20">
      <t>テキヨウ</t>
    </rPh>
    <rPh sb="21" eb="23">
      <t>ニュウリョク</t>
    </rPh>
    <phoneticPr fontId="15"/>
  </si>
  <si>
    <t>①基本情報の1歳児配置改善加算の適用が入力されているか</t>
    <rPh sb="1" eb="5">
      <t>キホンジョウホウ</t>
    </rPh>
    <rPh sb="7" eb="15">
      <t>サイジハイチカイゼンカサン</t>
    </rPh>
    <rPh sb="16" eb="18">
      <t>テキヨウ</t>
    </rPh>
    <rPh sb="19" eb="21">
      <t>ニュウリョク</t>
    </rPh>
    <phoneticPr fontId="15"/>
  </si>
  <si>
    <t>①基本情報の栄養管理加算の適用内容が入力されているか</t>
    <rPh sb="1" eb="5">
      <t>キホンジョウホウ</t>
    </rPh>
    <rPh sb="6" eb="12">
      <t>エイヨウカンリカサン</t>
    </rPh>
    <rPh sb="13" eb="17">
      <t>テキヨウナイヨウ</t>
    </rPh>
    <rPh sb="18" eb="20">
      <t>ニュウリョク</t>
    </rPh>
    <phoneticPr fontId="15"/>
  </si>
  <si>
    <t>入力必須の項目のため、必ず入力してください。
配置されていない場合は「０」を入力してください。</t>
    <rPh sb="0" eb="2">
      <t>ニュウリョク</t>
    </rPh>
    <rPh sb="2" eb="4">
      <t>ヒッス</t>
    </rPh>
    <rPh sb="5" eb="7">
      <t>コウモク</t>
    </rPh>
    <rPh sb="11" eb="12">
      <t>カナラ</t>
    </rPh>
    <rPh sb="13" eb="15">
      <t>ニュウリョク</t>
    </rPh>
    <rPh sb="23" eb="25">
      <t>ハイチ</t>
    </rPh>
    <rPh sb="31" eb="33">
      <t>バアイ</t>
    </rPh>
    <rPh sb="38" eb="40">
      <t>ニュウリョク</t>
    </rPh>
    <phoneticPr fontId="15"/>
  </si>
  <si>
    <t>入力必須の項目のため、必ず入力してください。
該当者がいない場合は「０」を入力してください。</t>
    <rPh sb="0" eb="2">
      <t>ニュウリョク</t>
    </rPh>
    <rPh sb="2" eb="4">
      <t>ヒッス</t>
    </rPh>
    <rPh sb="5" eb="7">
      <t>コウモク</t>
    </rPh>
    <rPh sb="11" eb="12">
      <t>カナラ</t>
    </rPh>
    <rPh sb="13" eb="15">
      <t>ニュウリョク</t>
    </rPh>
    <rPh sb="23" eb="26">
      <t>ガイトウシャ</t>
    </rPh>
    <rPh sb="30" eb="32">
      <t>バアイ</t>
    </rPh>
    <rPh sb="37" eb="39">
      <t>ニュウリョク</t>
    </rPh>
    <phoneticPr fontId="15"/>
  </si>
  <si>
    <t>入力必須の項目のため、必ず選択してください。</t>
    <rPh sb="0" eb="2">
      <t>ニュウリョク</t>
    </rPh>
    <rPh sb="2" eb="4">
      <t>ヒッス</t>
    </rPh>
    <rPh sb="5" eb="7">
      <t>コウモク</t>
    </rPh>
    <rPh sb="11" eb="12">
      <t>カナラ</t>
    </rPh>
    <rPh sb="13" eb="15">
      <t>センタク</t>
    </rPh>
    <phoneticPr fontId="15"/>
  </si>
  <si>
    <t>入力必須の項目のため、必ず選択してください。
摘要がない場合は「-」を選択してください。</t>
    <rPh sb="0" eb="2">
      <t>ニュウリョク</t>
    </rPh>
    <rPh sb="2" eb="4">
      <t>ヒッス</t>
    </rPh>
    <rPh sb="5" eb="7">
      <t>コウモク</t>
    </rPh>
    <rPh sb="11" eb="12">
      <t>カナラ</t>
    </rPh>
    <rPh sb="13" eb="15">
      <t>センタク</t>
    </rPh>
    <rPh sb="23" eb="25">
      <t>テキヨウ</t>
    </rPh>
    <rPh sb="28" eb="30">
      <t>バアイ</t>
    </rPh>
    <rPh sb="35" eb="37">
      <t>センタク</t>
    </rPh>
    <phoneticPr fontId="15"/>
  </si>
  <si>
    <r>
      <rPr>
        <sz val="11"/>
        <color theme="0"/>
        <rFont val="ＭＳ Ｐゴシック"/>
        <family val="3"/>
        <charset val="128"/>
      </rPr>
      <t>認定こども園　小ばと幼稚園</t>
    </r>
    <rPh sb="0" eb="2">
      <t>ニンテイ</t>
    </rPh>
    <rPh sb="5" eb="6">
      <t>エン</t>
    </rPh>
    <rPh sb="7" eb="8">
      <t>コ</t>
    </rPh>
    <rPh sb="10" eb="13">
      <t>ヨウチエン</t>
    </rPh>
    <phoneticPr fontId="9"/>
  </si>
  <si>
    <t>認定こども園　小ばと幼稚園</t>
    <rPh sb="0" eb="2">
      <t>ニンテイ</t>
    </rPh>
    <rPh sb="5" eb="6">
      <t>エン</t>
    </rPh>
    <rPh sb="7" eb="8">
      <t>コ</t>
    </rPh>
    <rPh sb="10" eb="13">
      <t>ヨウチエン</t>
    </rPh>
    <phoneticPr fontId="9"/>
  </si>
  <si>
    <r>
      <rPr>
        <sz val="11"/>
        <color theme="0"/>
        <rFont val="ＭＳ Ｐゴシック"/>
        <family val="3"/>
        <charset val="128"/>
      </rPr>
      <t>認定こども園　白梅幼稚園</t>
    </r>
    <rPh sb="0" eb="2">
      <t>ニンテイ</t>
    </rPh>
    <rPh sb="5" eb="6">
      <t>エン</t>
    </rPh>
    <rPh sb="7" eb="9">
      <t>シラウメ</t>
    </rPh>
    <rPh sb="9" eb="12">
      <t>ヨウチエン</t>
    </rPh>
    <phoneticPr fontId="15"/>
  </si>
  <si>
    <t>認定こども園　白梅幼稚園</t>
    <rPh sb="0" eb="2">
      <t>ニンテイ</t>
    </rPh>
    <rPh sb="5" eb="6">
      <t>エン</t>
    </rPh>
    <rPh sb="7" eb="9">
      <t>シラウメ</t>
    </rPh>
    <rPh sb="9" eb="12">
      <t>ヨウチエン</t>
    </rPh>
    <phoneticPr fontId="16"/>
  </si>
  <si>
    <r>
      <rPr>
        <sz val="11"/>
        <color theme="0"/>
        <rFont val="ＭＳ Ｐゴシック"/>
        <family val="3"/>
        <charset val="128"/>
      </rPr>
      <t>幼保連携型認定こども園　植草学園大学附属弁天こども園</t>
    </r>
    <rPh sb="0" eb="1">
      <t>ヨウ</t>
    </rPh>
    <rPh sb="1" eb="2">
      <t>ホ</t>
    </rPh>
    <rPh sb="2" eb="5">
      <t>レンケイガタ</t>
    </rPh>
    <rPh sb="5" eb="7">
      <t>ニンテイ</t>
    </rPh>
    <rPh sb="10" eb="11">
      <t>エン</t>
    </rPh>
    <rPh sb="12" eb="14">
      <t>ウエクサ</t>
    </rPh>
    <rPh sb="14" eb="16">
      <t>ガクエン</t>
    </rPh>
    <rPh sb="16" eb="18">
      <t>ダイガク</t>
    </rPh>
    <rPh sb="18" eb="20">
      <t>フゾク</t>
    </rPh>
    <rPh sb="20" eb="22">
      <t>ベンテン</t>
    </rPh>
    <rPh sb="25" eb="26">
      <t>エン</t>
    </rPh>
    <phoneticPr fontId="9"/>
  </si>
  <si>
    <t>幼保連携型認定こども園　植草学園大学附属弁天こども園</t>
    <rPh sb="0" eb="1">
      <t>ヨウ</t>
    </rPh>
    <rPh sb="1" eb="2">
      <t>ホ</t>
    </rPh>
    <rPh sb="2" eb="5">
      <t>レンケイガタ</t>
    </rPh>
    <rPh sb="5" eb="7">
      <t>ニンテイ</t>
    </rPh>
    <rPh sb="10" eb="11">
      <t>エン</t>
    </rPh>
    <rPh sb="12" eb="14">
      <t>ウエクサ</t>
    </rPh>
    <rPh sb="14" eb="16">
      <t>ガクエン</t>
    </rPh>
    <rPh sb="16" eb="18">
      <t>ダイガク</t>
    </rPh>
    <rPh sb="18" eb="20">
      <t>フゾク</t>
    </rPh>
    <rPh sb="20" eb="22">
      <t>ベンテン</t>
    </rPh>
    <rPh sb="25" eb="26">
      <t>エン</t>
    </rPh>
    <phoneticPr fontId="9"/>
  </si>
  <si>
    <r>
      <t>・「正」、「-」と表記のセルは操作する必要はありません。
・「実績を入力」と記載されているセルについて、各月の勤務実績時間を記載してください。
・勤務実績時間は、</t>
    </r>
    <r>
      <rPr>
        <b/>
        <u/>
        <sz val="12"/>
        <color theme="1"/>
        <rFont val="BIZ UDPゴシック"/>
        <family val="3"/>
        <charset val="128"/>
      </rPr>
      <t>延長保育事業に係る勤務時間を除いた時間数</t>
    </r>
    <r>
      <rPr>
        <sz val="12"/>
        <color theme="1"/>
        <rFont val="BIZ UDPゴシック"/>
        <family val="3"/>
        <charset val="128"/>
      </rPr>
      <t>となります。</t>
    </r>
    <rPh sb="2" eb="3">
      <t>セイ</t>
    </rPh>
    <rPh sb="9" eb="11">
      <t>ヒョウキ</t>
    </rPh>
    <rPh sb="15" eb="17">
      <t>ソウサ</t>
    </rPh>
    <rPh sb="19" eb="21">
      <t>ヒツヨウ</t>
    </rPh>
    <rPh sb="31" eb="33">
      <t>ジッセキ</t>
    </rPh>
    <rPh sb="38" eb="40">
      <t>キサイ</t>
    </rPh>
    <rPh sb="52" eb="54">
      <t>カクツキ</t>
    </rPh>
    <rPh sb="55" eb="57">
      <t>キンム</t>
    </rPh>
    <rPh sb="57" eb="59">
      <t>ジッセキ</t>
    </rPh>
    <rPh sb="59" eb="61">
      <t>ジカン</t>
    </rPh>
    <rPh sb="62" eb="64">
      <t>キサイ</t>
    </rPh>
    <rPh sb="73" eb="75">
      <t>キンム</t>
    </rPh>
    <rPh sb="75" eb="77">
      <t>ジッセキ</t>
    </rPh>
    <rPh sb="77" eb="79">
      <t>ジカン</t>
    </rPh>
    <rPh sb="81" eb="83">
      <t>エンチョウ</t>
    </rPh>
    <rPh sb="83" eb="85">
      <t>ホイク</t>
    </rPh>
    <rPh sb="85" eb="87">
      <t>ジギョウ</t>
    </rPh>
    <rPh sb="88" eb="89">
      <t>カカ</t>
    </rPh>
    <rPh sb="90" eb="92">
      <t>キンム</t>
    </rPh>
    <rPh sb="92" eb="94">
      <t>ジカン</t>
    </rPh>
    <rPh sb="95" eb="96">
      <t>ノゾ</t>
    </rPh>
    <rPh sb="98" eb="101">
      <t>ジカンスウ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</si>
</sst>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_ "/>
    <numFmt numFmtId="177" formatCode="#,##0&quot;人&quot;"/>
    <numFmt numFmtId="178" formatCode="[$-411]ge\.m\.d;@"/>
    <numFmt numFmtId="179" formatCode="0&quot;月&quot;"/>
    <numFmt numFmtId="180" formatCode="#,##0_ "/>
    <numFmt numFmtId="181" formatCode="#,##0_ ;[Red]\-#,##0\ "/>
    <numFmt numFmtId="182" formatCode="#,##0_);[Red]\(#,##0\)"/>
    <numFmt numFmtId="183" formatCode="#,##0;&quot;△ &quot;#,##0"/>
    <numFmt numFmtId="184" formatCode="#,##0&quot;（人工）&quot;"/>
    <numFmt numFmtId="185" formatCode="_(* #,##0_);_(* \(#,##0\);_(* &quot;-&quot;_);_(@_)"/>
    <numFmt numFmtId="186" formatCode="#,##0.0_ "/>
    <numFmt numFmtId="187" formatCode="#,##0.0;&quot;▲ &quot;#,##0.0"/>
    <numFmt numFmtId="188" formatCode="#,##0.0&quot;人&quot;"/>
    <numFmt numFmtId="189" formatCode="#,##0&quot;月&quot;"/>
    <numFmt numFmtId="190" formatCode="&quot;金&quot;#,##0&quot;円&quot;"/>
    <numFmt numFmtId="191" formatCode="&quot;&quot;#,##0&quot;&quot;"/>
    <numFmt numFmtId="192" formatCode="0_);[Red]\(0\)"/>
    <numFmt numFmtId="193" formatCode="0.0_);[Red]\(0.0\)"/>
    <numFmt numFmtId="194" formatCode="#,##0&quot;円&quot;"/>
    <numFmt numFmtId="195" formatCode="0.0"/>
    <numFmt numFmtId="196" formatCode="0.00000000"/>
  </numFmts>
  <fonts count="130">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sz val="10"/>
      <name val="ＭＳ Ｐ明朝"/>
      <family val="1"/>
      <charset val="128"/>
    </font>
    <font>
      <sz val="16"/>
      <name val="ＭＳ Ｐゴシック"/>
      <family val="3"/>
      <charset val="128"/>
    </font>
    <font>
      <sz val="6"/>
      <name val="ＭＳ Ｐ明朝"/>
      <family val="1"/>
      <charset val="128"/>
    </font>
    <font>
      <sz val="12"/>
      <name val="ＭＳ Ｐゴシック"/>
      <family val="3"/>
      <charset val="128"/>
    </font>
    <font>
      <sz val="10"/>
      <name val="ＭＳ Ｐゴシック"/>
      <family val="3"/>
      <charset val="128"/>
    </font>
    <font>
      <sz val="9"/>
      <name val="ＭＳ Ｐゴシック"/>
      <family val="3"/>
      <charset val="128"/>
    </font>
    <font>
      <sz val="11"/>
      <name val="ＭＳ Ｐゴシック"/>
      <family val="3"/>
      <charset val="128"/>
    </font>
    <font>
      <sz val="9"/>
      <color rgb="FFFF0000"/>
      <name val="ＭＳ Ｐゴシック"/>
      <family val="3"/>
      <charset val="128"/>
    </font>
    <font>
      <sz val="10"/>
      <color indexed="10"/>
      <name val="ＭＳ Ｐゴシック"/>
      <family val="3"/>
      <charset val="128"/>
    </font>
    <font>
      <sz val="8"/>
      <name val="ＭＳ Ｐゴシック"/>
      <family val="3"/>
      <charset val="128"/>
    </font>
    <font>
      <sz val="10"/>
      <color indexed="8"/>
      <name val="ＭＳ Ｐゴシック"/>
      <family val="3"/>
      <charset val="128"/>
    </font>
    <font>
      <sz val="6"/>
      <name val="ＭＳ Ｐゴシック"/>
      <family val="3"/>
      <charset val="128"/>
    </font>
    <font>
      <sz val="11"/>
      <color indexed="8"/>
      <name val="ＭＳ Ｐゴシック"/>
      <family val="3"/>
      <charset val="128"/>
    </font>
    <font>
      <sz val="10"/>
      <color rgb="FFFF0000"/>
      <name val="ＭＳ Ｐゴシック"/>
      <family val="3"/>
      <charset val="128"/>
    </font>
    <font>
      <u/>
      <sz val="10"/>
      <color rgb="FFFF0000"/>
      <name val="ＭＳ Ｐゴシック"/>
      <family val="3"/>
      <charset val="128"/>
    </font>
    <font>
      <u/>
      <sz val="10"/>
      <name val="ＭＳ Ｐゴシック"/>
      <family val="3"/>
      <charset val="128"/>
    </font>
    <font>
      <b/>
      <sz val="11"/>
      <color theme="1"/>
      <name val="游ゴシック"/>
      <family val="3"/>
      <charset val="128"/>
      <scheme val="minor"/>
    </font>
    <font>
      <b/>
      <sz val="16"/>
      <color rgb="FFFF0000"/>
      <name val="ＭＳ Ｐゴシック"/>
      <family val="3"/>
      <charset val="128"/>
    </font>
    <font>
      <b/>
      <sz val="11"/>
      <name val="ＭＳ Ｐゴシック"/>
      <family val="3"/>
      <charset val="128"/>
    </font>
    <font>
      <sz val="14"/>
      <name val="ＭＳ Ｐゴシック"/>
      <family val="3"/>
      <charset val="128"/>
    </font>
    <font>
      <sz val="11"/>
      <color indexed="10"/>
      <name val="ＭＳ Ｐゴシック"/>
      <family val="3"/>
      <charset val="128"/>
    </font>
    <font>
      <sz val="11"/>
      <color theme="0"/>
      <name val="ＭＳ Ｐゴシック"/>
      <family val="3"/>
      <charset val="128"/>
    </font>
    <font>
      <sz val="11"/>
      <color rgb="FFFF0000"/>
      <name val="ＭＳ Ｐゴシック"/>
      <family val="3"/>
      <charset val="128"/>
    </font>
    <font>
      <sz val="11"/>
      <name val="ＭＳ 明朝"/>
      <family val="1"/>
      <charset val="128"/>
    </font>
    <font>
      <sz val="6"/>
      <name val="ＭＳ 明朝"/>
      <family val="1"/>
      <charset val="128"/>
    </font>
    <font>
      <sz val="16"/>
      <name val="ＭＳ 明朝"/>
      <family val="1"/>
      <charset val="128"/>
    </font>
    <font>
      <sz val="18"/>
      <name val="ＭＳ 明朝"/>
      <family val="1"/>
      <charset val="128"/>
    </font>
    <font>
      <sz val="9"/>
      <name val="ＭＳ 明朝"/>
      <family val="1"/>
      <charset val="128"/>
    </font>
    <font>
      <sz val="10"/>
      <name val="ＭＳ 明朝"/>
      <family val="1"/>
      <charset val="128"/>
    </font>
    <font>
      <sz val="11"/>
      <name val="明朝"/>
      <family val="1"/>
      <charset val="128"/>
    </font>
    <font>
      <sz val="6"/>
      <color indexed="8"/>
      <name val="ＭＳ Ｐ明朝"/>
      <family val="1"/>
      <charset val="128"/>
    </font>
    <font>
      <u/>
      <sz val="11"/>
      <color theme="10"/>
      <name val="游ゴシック"/>
      <family val="2"/>
      <charset val="128"/>
      <scheme val="minor"/>
    </font>
    <font>
      <sz val="14"/>
      <name val="HG丸ｺﾞｼｯｸM-PRO"/>
      <family val="3"/>
      <charset val="128"/>
    </font>
    <font>
      <sz val="20"/>
      <name val="HG丸ｺﾞｼｯｸM-PRO"/>
      <family val="3"/>
      <charset val="128"/>
    </font>
    <font>
      <b/>
      <sz val="14"/>
      <color rgb="FFFF0000"/>
      <name val="HG丸ｺﾞｼｯｸM-PRO"/>
      <family val="3"/>
      <charset val="128"/>
    </font>
    <font>
      <sz val="12"/>
      <name val="HG丸ｺﾞｼｯｸM-PRO"/>
      <family val="3"/>
      <charset val="128"/>
    </font>
    <font>
      <u val="double"/>
      <sz val="14"/>
      <name val="HG丸ｺﾞｼｯｸM-PRO"/>
      <family val="3"/>
      <charset val="128"/>
    </font>
    <font>
      <sz val="11"/>
      <color theme="1"/>
      <name val="游ゴシック"/>
      <family val="2"/>
      <scheme val="minor"/>
    </font>
    <font>
      <sz val="11"/>
      <color theme="1"/>
      <name val="游ゴシック"/>
      <family val="2"/>
      <charset val="128"/>
      <scheme val="minor"/>
    </font>
    <font>
      <sz val="6"/>
      <name val="游ゴシック"/>
      <family val="3"/>
      <charset val="128"/>
      <scheme val="minor"/>
    </font>
    <font>
      <sz val="11"/>
      <name val="游ゴシック"/>
      <family val="3"/>
      <charset val="128"/>
      <scheme val="minor"/>
    </font>
    <font>
      <sz val="8"/>
      <color rgb="FFFFFF00"/>
      <name val="游ゴシック"/>
      <family val="2"/>
      <charset val="128"/>
      <scheme val="minor"/>
    </font>
    <font>
      <sz val="8"/>
      <color rgb="FFFFFF00"/>
      <name val="游ゴシック"/>
      <family val="3"/>
      <charset val="128"/>
      <scheme val="minor"/>
    </font>
    <font>
      <sz val="8"/>
      <color rgb="FFFF0000"/>
      <name val="游ゴシック"/>
      <family val="3"/>
      <charset val="128"/>
      <scheme val="minor"/>
    </font>
    <font>
      <sz val="14"/>
      <name val="ＭＳ 明朝"/>
      <family val="1"/>
      <charset val="128"/>
    </font>
    <font>
      <sz val="8"/>
      <color rgb="FFFF0000"/>
      <name val="游ゴシック"/>
      <family val="2"/>
      <charset val="128"/>
      <scheme val="minor"/>
    </font>
    <font>
      <sz val="10"/>
      <color theme="1"/>
      <name val="游ゴシック"/>
      <family val="2"/>
      <charset val="128"/>
      <scheme val="minor"/>
    </font>
    <font>
      <sz val="8"/>
      <name val="游ゴシック"/>
      <family val="3"/>
      <charset val="128"/>
      <scheme val="minor"/>
    </font>
    <font>
      <sz val="9"/>
      <color theme="1"/>
      <name val="游ゴシック"/>
      <family val="3"/>
      <charset val="128"/>
      <scheme val="minor"/>
    </font>
    <font>
      <b/>
      <sz val="11"/>
      <color indexed="9"/>
      <name val="MS P ゴシック"/>
      <family val="3"/>
      <charset val="128"/>
    </font>
    <font>
      <sz val="11"/>
      <color theme="1"/>
      <name val="ＭＳ Ｐゴシック"/>
      <family val="3"/>
      <charset val="128"/>
    </font>
    <font>
      <b/>
      <sz val="14"/>
      <color rgb="FFFF0000"/>
      <name val="ＭＳ 明朝"/>
      <family val="1"/>
      <charset val="128"/>
    </font>
    <font>
      <sz val="16"/>
      <name val="ＭＳ ゴシック"/>
      <family val="3"/>
      <charset val="128"/>
    </font>
    <font>
      <sz val="12"/>
      <name val="HGｺﾞｼｯｸE"/>
      <family val="3"/>
      <charset val="128"/>
    </font>
    <font>
      <sz val="16"/>
      <color indexed="10"/>
      <name val="ＭＳ ゴシック"/>
      <family val="3"/>
      <charset val="128"/>
    </font>
    <font>
      <b/>
      <sz val="14"/>
      <color indexed="81"/>
      <name val="MS P ゴシック"/>
      <family val="3"/>
      <charset val="128"/>
    </font>
    <font>
      <sz val="14"/>
      <color indexed="81"/>
      <name val="MS P ゴシック"/>
      <family val="3"/>
      <charset val="128"/>
    </font>
    <font>
      <sz val="11"/>
      <color theme="5" tint="0.79998168889431442"/>
      <name val="ＭＳ Ｐゴシック"/>
      <family val="3"/>
      <charset val="128"/>
    </font>
    <font>
      <sz val="11"/>
      <color theme="0"/>
      <name val="游ゴシック"/>
      <family val="3"/>
      <charset val="128"/>
      <scheme val="minor"/>
    </font>
    <font>
      <b/>
      <sz val="9"/>
      <color rgb="FFFF0000"/>
      <name val="ＭＳ Ｐゴシック"/>
      <family val="3"/>
      <charset val="128"/>
    </font>
    <font>
      <sz val="12"/>
      <color theme="1"/>
      <name val="ＭＳ Ｐ明朝"/>
      <family val="1"/>
      <charset val="128"/>
    </font>
    <font>
      <b/>
      <sz val="18"/>
      <color theme="1"/>
      <name val="ＭＳ Ｐ明朝"/>
      <family val="1"/>
      <charset val="128"/>
    </font>
    <font>
      <sz val="14"/>
      <color theme="1"/>
      <name val="ＭＳ Ｐ明朝"/>
      <family val="1"/>
      <charset val="128"/>
    </font>
    <font>
      <sz val="18"/>
      <color theme="1"/>
      <name val="ＭＳ Ｐ明朝"/>
      <family val="1"/>
      <charset val="128"/>
    </font>
    <font>
      <sz val="16"/>
      <color theme="1"/>
      <name val="ＭＳ Ｐ明朝"/>
      <family val="1"/>
      <charset val="128"/>
    </font>
    <font>
      <sz val="6"/>
      <color theme="1"/>
      <name val="ＭＳ Ｐ明朝"/>
      <family val="1"/>
      <charset val="128"/>
    </font>
    <font>
      <sz val="10"/>
      <color indexed="8"/>
      <name val="ＭＳ Ｐ明朝"/>
      <family val="1"/>
      <charset val="128"/>
    </font>
    <font>
      <i/>
      <sz val="12"/>
      <color theme="1"/>
      <name val="ＭＳ Ｐ明朝"/>
      <family val="1"/>
      <charset val="128"/>
    </font>
    <font>
      <sz val="22"/>
      <name val="HG丸ｺﾞｼｯｸM-PRO"/>
      <family val="3"/>
      <charset val="128"/>
    </font>
    <font>
      <sz val="12"/>
      <color rgb="FFFF0000"/>
      <name val="HGP創英角ﾎﾟｯﾌﾟ体"/>
      <family val="3"/>
      <charset val="128"/>
    </font>
    <font>
      <u val="double"/>
      <sz val="12"/>
      <color rgb="FFFF0000"/>
      <name val="HG丸ｺﾞｼｯｸM-PRO"/>
      <family val="3"/>
      <charset val="128"/>
    </font>
    <font>
      <sz val="12"/>
      <color rgb="FFFF0000"/>
      <name val="HG丸ｺﾞｼｯｸM-PRO"/>
      <family val="3"/>
      <charset val="128"/>
    </font>
    <font>
      <b/>
      <sz val="20"/>
      <color theme="0"/>
      <name val="HG丸ｺﾞｼｯｸM-PRO"/>
      <family val="3"/>
      <charset val="128"/>
    </font>
    <font>
      <b/>
      <sz val="22"/>
      <color theme="0"/>
      <name val="HG丸ｺﾞｼｯｸM-PRO"/>
      <family val="3"/>
      <charset val="128"/>
    </font>
    <font>
      <b/>
      <sz val="14"/>
      <name val="HG丸ｺﾞｼｯｸM-PRO"/>
      <family val="3"/>
      <charset val="128"/>
    </font>
    <font>
      <b/>
      <sz val="12"/>
      <name val="HG丸ｺﾞｼｯｸM-PRO"/>
      <family val="3"/>
      <charset val="128"/>
    </font>
    <font>
      <b/>
      <sz val="12"/>
      <color rgb="FFFF0000"/>
      <name val="HG丸ｺﾞｼｯｸM-PRO"/>
      <family val="3"/>
      <charset val="128"/>
    </font>
    <font>
      <b/>
      <u/>
      <sz val="12"/>
      <name val="HG丸ｺﾞｼｯｸM-PRO"/>
      <family val="3"/>
      <charset val="128"/>
    </font>
    <font>
      <sz val="12"/>
      <name val="HGP創英角ﾎﾟｯﾌﾟ体"/>
      <family val="3"/>
      <charset val="128"/>
    </font>
    <font>
      <b/>
      <u/>
      <sz val="18"/>
      <color rgb="FFFF0000"/>
      <name val="HG丸ｺﾞｼｯｸM-PRO"/>
      <family val="3"/>
      <charset val="128"/>
    </font>
    <font>
      <b/>
      <sz val="18"/>
      <color rgb="FFFF0000"/>
      <name val="HG丸ｺﾞｼｯｸM-PRO"/>
      <family val="3"/>
      <charset val="128"/>
    </font>
    <font>
      <b/>
      <u val="double"/>
      <sz val="16"/>
      <color rgb="FFFF0000"/>
      <name val="HG丸ｺﾞｼｯｸM-PRO"/>
      <family val="3"/>
      <charset val="128"/>
    </font>
    <font>
      <u/>
      <sz val="16"/>
      <color rgb="FFFF0000"/>
      <name val="HGP創英角ﾎﾟｯﾌﾟ体"/>
      <family val="3"/>
      <charset val="128"/>
    </font>
    <font>
      <b/>
      <sz val="11"/>
      <color theme="1"/>
      <name val="Meiryo UI"/>
      <family val="3"/>
      <charset val="128"/>
    </font>
    <font>
      <b/>
      <sz val="9"/>
      <color indexed="81"/>
      <name val="MS P ゴシック"/>
      <family val="3"/>
      <charset val="128"/>
    </font>
    <font>
      <sz val="12"/>
      <color theme="1"/>
      <name val="BIZ UDPゴシック"/>
      <family val="3"/>
      <charset val="128"/>
    </font>
    <font>
      <sz val="12"/>
      <name val="BIZ UDPゴシック"/>
      <family val="3"/>
      <charset val="128"/>
    </font>
    <font>
      <b/>
      <sz val="12"/>
      <name val="BIZ UDPゴシック"/>
      <family val="3"/>
      <charset val="128"/>
    </font>
    <font>
      <b/>
      <sz val="12"/>
      <color theme="1"/>
      <name val="BIZ UDPゴシック"/>
      <family val="3"/>
      <charset val="128"/>
    </font>
    <font>
      <sz val="11"/>
      <color theme="1"/>
      <name val="BIZ UDPゴシック"/>
      <family val="3"/>
      <charset val="128"/>
    </font>
    <font>
      <b/>
      <u/>
      <sz val="12"/>
      <color theme="1"/>
      <name val="BIZ UDPゴシック"/>
      <family val="3"/>
      <charset val="128"/>
    </font>
    <font>
      <sz val="11"/>
      <color theme="1"/>
      <name val="Meiryo UI"/>
      <family val="3"/>
      <charset val="128"/>
    </font>
    <font>
      <u/>
      <sz val="11"/>
      <color theme="1"/>
      <name val="Meiryo UI"/>
      <family val="3"/>
      <charset val="128"/>
    </font>
    <font>
      <sz val="11"/>
      <color rgb="FFFF0000"/>
      <name val="Meiryo UI"/>
      <family val="3"/>
      <charset val="128"/>
    </font>
    <font>
      <sz val="9"/>
      <color indexed="81"/>
      <name val="MS P ゴシック"/>
      <family val="3"/>
      <charset val="128"/>
    </font>
    <font>
      <sz val="11"/>
      <name val="Meiryo UI"/>
      <family val="3"/>
      <charset val="128"/>
    </font>
    <font>
      <sz val="12"/>
      <color theme="1"/>
      <name val="Meiryo UI"/>
      <family val="3"/>
      <charset val="128"/>
    </font>
    <font>
      <b/>
      <sz val="11"/>
      <name val="Meiryo UI"/>
      <family val="3"/>
      <charset val="128"/>
    </font>
    <font>
      <sz val="11"/>
      <color theme="0"/>
      <name val="Meiryo UI"/>
      <family val="3"/>
      <charset val="128"/>
    </font>
    <font>
      <b/>
      <sz val="14"/>
      <name val="ＭＳ Ｐゴシック"/>
      <family val="3"/>
      <charset val="128"/>
    </font>
    <font>
      <sz val="9"/>
      <color theme="1"/>
      <name val="Meiryo UI"/>
      <family val="3"/>
      <charset val="128"/>
    </font>
    <font>
      <sz val="6"/>
      <color theme="1"/>
      <name val="Meiryo UI"/>
      <family val="3"/>
      <charset val="128"/>
    </font>
    <font>
      <sz val="22"/>
      <name val="Meiryo UI"/>
      <family val="3"/>
      <charset val="128"/>
    </font>
    <font>
      <sz val="14"/>
      <name val="Meiryo UI"/>
      <family val="3"/>
      <charset val="128"/>
    </font>
    <font>
      <sz val="20"/>
      <name val="Meiryo UI"/>
      <family val="3"/>
      <charset val="128"/>
    </font>
    <font>
      <sz val="12"/>
      <color rgb="FFFF0000"/>
      <name val="Meiryo UI"/>
      <family val="3"/>
      <charset val="128"/>
    </font>
    <font>
      <b/>
      <sz val="14"/>
      <color rgb="FFFF0000"/>
      <name val="Meiryo UI"/>
      <family val="3"/>
      <charset val="128"/>
    </font>
    <font>
      <u/>
      <sz val="11"/>
      <color theme="10"/>
      <name val="Meiryo UI"/>
      <family val="3"/>
      <charset val="128"/>
    </font>
    <font>
      <sz val="10"/>
      <name val="Meiryo UI"/>
      <family val="3"/>
      <charset val="128"/>
    </font>
    <font>
      <sz val="9"/>
      <color rgb="FFFF0000"/>
      <name val="Meiryo UI"/>
      <family val="3"/>
      <charset val="128"/>
    </font>
    <font>
      <b/>
      <sz val="9"/>
      <color rgb="FFFF0000"/>
      <name val="Meiryo UI"/>
      <family val="3"/>
      <charset val="128"/>
    </font>
    <font>
      <sz val="11"/>
      <color theme="0" tint="-0.34998626667073579"/>
      <name val="ＭＳ Ｐゴシック"/>
      <family val="3"/>
      <charset val="128"/>
    </font>
    <font>
      <sz val="16"/>
      <name val="Meiryo UI"/>
      <family val="3"/>
      <charset val="128"/>
    </font>
    <font>
      <sz val="10"/>
      <color theme="1"/>
      <name val="Meiryo UI"/>
      <family val="3"/>
      <charset val="128"/>
    </font>
    <font>
      <sz val="12"/>
      <name val="Meiryo UI"/>
      <family val="3"/>
      <charset val="128"/>
    </font>
    <font>
      <sz val="10"/>
      <color indexed="81"/>
      <name val="ＭＳ Ｐゴシック"/>
      <family val="3"/>
      <charset val="128"/>
    </font>
    <font>
      <sz val="10"/>
      <color indexed="81"/>
      <name val="MS P ゴシック"/>
      <family val="3"/>
      <charset val="128"/>
    </font>
    <font>
      <sz val="8"/>
      <color indexed="81"/>
      <name val="MS P ゴシック"/>
      <family val="3"/>
      <charset val="128"/>
    </font>
    <font>
      <b/>
      <sz val="12"/>
      <color theme="1"/>
      <name val="Meiryo UI"/>
      <family val="3"/>
      <charset val="128"/>
    </font>
    <font>
      <sz val="11"/>
      <color theme="0" tint="-0.499984740745262"/>
      <name val="Meiryo UI"/>
      <family val="3"/>
      <charset val="128"/>
    </font>
    <font>
      <b/>
      <i/>
      <sz val="16"/>
      <color rgb="FFFF0000"/>
      <name val="BIZ UDPゴシック"/>
      <family val="3"/>
      <charset val="128"/>
    </font>
    <font>
      <b/>
      <sz val="22"/>
      <color theme="0"/>
      <name val="Meiryo UI"/>
      <family val="3"/>
      <charset val="128"/>
    </font>
    <font>
      <b/>
      <u val="double"/>
      <sz val="14"/>
      <color rgb="FFFF0000"/>
      <name val="Meiryo UI"/>
      <family val="3"/>
      <charset val="128"/>
    </font>
    <font>
      <b/>
      <u/>
      <sz val="14"/>
      <color rgb="FFFF0000"/>
      <name val="Meiryo UI"/>
      <family val="3"/>
      <charset val="128"/>
    </font>
    <font>
      <sz val="20"/>
      <color theme="0"/>
      <name val="Meiryo UI"/>
      <family val="3"/>
      <charset val="128"/>
    </font>
    <font>
      <b/>
      <sz val="11"/>
      <color theme="0"/>
      <name val="Meiryo UI"/>
      <family val="3"/>
      <charset val="128"/>
    </font>
  </fonts>
  <fills count="32">
    <fill>
      <patternFill patternType="none"/>
    </fill>
    <fill>
      <patternFill patternType="gray125"/>
    </fill>
    <fill>
      <patternFill patternType="solid">
        <fgColor rgb="FFFFFF99"/>
        <bgColor indexed="64"/>
      </patternFill>
    </fill>
    <fill>
      <patternFill patternType="solid">
        <fgColor rgb="FFFFFFCC"/>
        <bgColor indexed="64"/>
      </patternFill>
    </fill>
    <fill>
      <patternFill patternType="solid">
        <fgColor rgb="FFFFFF00"/>
        <bgColor indexed="64"/>
      </patternFill>
    </fill>
    <fill>
      <patternFill patternType="solid">
        <fgColor theme="3" tint="0.79998168889431442"/>
        <bgColor indexed="64"/>
      </patternFill>
    </fill>
    <fill>
      <patternFill patternType="solid">
        <fgColor theme="0"/>
        <bgColor indexed="64"/>
      </patternFill>
    </fill>
    <fill>
      <patternFill patternType="solid">
        <fgColor indexed="9"/>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CCFF"/>
        <bgColor indexed="64"/>
      </patternFill>
    </fill>
    <fill>
      <patternFill patternType="solid">
        <fgColor rgb="FF92D050"/>
        <bgColor indexed="64"/>
      </patternFill>
    </fill>
    <fill>
      <patternFill patternType="solid">
        <fgColor rgb="FF00B050"/>
        <bgColor indexed="64"/>
      </patternFill>
    </fill>
    <fill>
      <patternFill patternType="solid">
        <fgColor rgb="FF00B0F0"/>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1"/>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rgb="FFFF99FF"/>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5"/>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rgb="FFDAEEF3"/>
        <bgColor indexed="64"/>
      </patternFill>
    </fill>
    <fill>
      <patternFill patternType="solid">
        <fgColor theme="9" tint="0.59999389629810485"/>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dott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bottom/>
      <diagonal/>
    </border>
    <border>
      <left style="thick">
        <color indexed="64"/>
      </left>
      <right style="thin">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n">
        <color indexed="64"/>
      </right>
      <top/>
      <bottom style="thick">
        <color indexed="64"/>
      </bottom>
      <diagonal/>
    </border>
    <border>
      <left/>
      <right style="thin">
        <color indexed="64"/>
      </right>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n">
        <color indexed="64"/>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style="thin">
        <color indexed="64"/>
      </left>
      <right/>
      <top/>
      <bottom style="thick">
        <color indexed="64"/>
      </bottom>
      <diagonal/>
    </border>
    <border>
      <left style="thick">
        <color indexed="64"/>
      </left>
      <right style="thin">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auto="1"/>
      </left>
      <right style="double">
        <color auto="1"/>
      </right>
      <top style="double">
        <color auto="1"/>
      </top>
      <bottom/>
      <diagonal/>
    </border>
    <border>
      <left style="thin">
        <color indexed="64"/>
      </left>
      <right style="medium">
        <color indexed="64"/>
      </right>
      <top style="thin">
        <color indexed="64"/>
      </top>
      <bottom style="medium">
        <color indexed="64"/>
      </bottom>
      <diagonal/>
    </border>
  </borders>
  <cellStyleXfs count="18">
    <xf numFmtId="0" fontId="0" fillId="0" borderId="0">
      <alignment vertical="center"/>
    </xf>
    <xf numFmtId="0" fontId="4" fillId="0" borderId="0"/>
    <xf numFmtId="0" fontId="16" fillId="0" borderId="0"/>
    <xf numFmtId="0" fontId="10" fillId="0" borderId="0"/>
    <xf numFmtId="0" fontId="27" fillId="0" borderId="0"/>
    <xf numFmtId="0" fontId="33" fillId="0" borderId="0"/>
    <xf numFmtId="185" fontId="34" fillId="0" borderId="0" applyFont="0" applyFill="0" applyBorder="0" applyAlignment="0" applyProtection="0"/>
    <xf numFmtId="0" fontId="35" fillId="0" borderId="0" applyNumberFormat="0" applyFill="0" applyBorder="0" applyAlignment="0" applyProtection="0">
      <alignment vertical="center"/>
    </xf>
    <xf numFmtId="0" fontId="41" fillId="0" borderId="0"/>
    <xf numFmtId="0" fontId="10" fillId="0" borderId="0">
      <alignment vertical="center"/>
    </xf>
    <xf numFmtId="0" fontId="10" fillId="0" borderId="0">
      <alignment vertical="center"/>
    </xf>
    <xf numFmtId="0" fontId="27" fillId="0" borderId="0" applyProtection="0"/>
    <xf numFmtId="9" fontId="27" fillId="0" borderId="0" applyFont="0" applyFill="0" applyBorder="0" applyAlignment="0" applyProtection="0">
      <alignment vertical="center"/>
    </xf>
    <xf numFmtId="38" fontId="27" fillId="0" borderId="0" applyFont="0" applyFill="0" applyBorder="0" applyAlignment="0" applyProtection="0"/>
    <xf numFmtId="0" fontId="27" fillId="0" borderId="0"/>
    <xf numFmtId="0" fontId="10" fillId="0" borderId="0"/>
    <xf numFmtId="0" fontId="10" fillId="0" borderId="0"/>
    <xf numFmtId="38" fontId="42" fillId="0" borderId="0" applyFont="0" applyFill="0" applyBorder="0" applyAlignment="0" applyProtection="0">
      <alignment vertical="center"/>
    </xf>
  </cellStyleXfs>
  <cellXfs count="1040">
    <xf numFmtId="0" fontId="0" fillId="0" borderId="0" xfId="0">
      <alignment vertical="center"/>
    </xf>
    <xf numFmtId="178" fontId="10" fillId="0" borderId="1" xfId="1" applyNumberFormat="1" applyFont="1" applyBorder="1" applyAlignment="1">
      <alignment horizontal="center" vertical="center" shrinkToFit="1"/>
    </xf>
    <xf numFmtId="0" fontId="8" fillId="0" borderId="21" xfId="1" applyFont="1" applyBorder="1" applyAlignment="1">
      <alignment horizontal="center" vertical="center"/>
    </xf>
    <xf numFmtId="0" fontId="12" fillId="0" borderId="1" xfId="1" applyFont="1" applyBorder="1" applyAlignment="1" applyProtection="1">
      <alignment horizontal="center" vertical="center"/>
      <protection locked="0"/>
    </xf>
    <xf numFmtId="0" fontId="14" fillId="0" borderId="24" xfId="1" applyFont="1" applyBorder="1" applyAlignment="1" applyProtection="1">
      <alignment horizontal="center" vertical="center"/>
      <protection locked="0"/>
    </xf>
    <xf numFmtId="0" fontId="14" fillId="0" borderId="5" xfId="1" applyFont="1" applyBorder="1" applyAlignment="1" applyProtection="1">
      <alignment horizontal="center" vertical="center"/>
      <protection locked="0"/>
    </xf>
    <xf numFmtId="0" fontId="14" fillId="0" borderId="1" xfId="1" applyFont="1" applyBorder="1" applyAlignment="1" applyProtection="1">
      <alignment horizontal="center" vertical="center" wrapText="1"/>
      <protection locked="0"/>
    </xf>
    <xf numFmtId="0" fontId="8" fillId="0" borderId="1" xfId="1" applyFont="1" applyBorder="1" applyAlignment="1" applyProtection="1">
      <alignment horizontal="center" vertical="center"/>
      <protection locked="0"/>
    </xf>
    <xf numFmtId="0" fontId="14" fillId="0" borderId="1" xfId="1" applyFont="1" applyBorder="1" applyAlignment="1" applyProtection="1">
      <alignment horizontal="center" vertical="center"/>
      <protection locked="0"/>
    </xf>
    <xf numFmtId="0" fontId="8" fillId="0" borderId="1" xfId="1" applyFont="1" applyBorder="1" applyAlignment="1" applyProtection="1">
      <alignment horizontal="center" vertical="center" shrinkToFit="1"/>
      <protection locked="0"/>
    </xf>
    <xf numFmtId="178" fontId="8" fillId="0" borderId="1" xfId="1" applyNumberFormat="1" applyFont="1" applyBorder="1" applyAlignment="1" applyProtection="1">
      <alignment horizontal="center" vertical="center"/>
      <protection locked="0"/>
    </xf>
    <xf numFmtId="178" fontId="8" fillId="0" borderId="1" xfId="1" applyNumberFormat="1" applyFont="1" applyBorder="1" applyAlignment="1" applyProtection="1">
      <alignment horizontal="center" vertical="center" shrinkToFit="1"/>
      <protection locked="0"/>
    </xf>
    <xf numFmtId="0" fontId="8" fillId="0" borderId="4" xfId="1" applyFont="1" applyBorder="1" applyAlignment="1" applyProtection="1">
      <alignment horizontal="center" vertical="center" shrinkToFit="1"/>
      <protection locked="0"/>
    </xf>
    <xf numFmtId="0" fontId="13" fillId="0" borderId="23" xfId="1" applyFont="1" applyBorder="1" applyAlignment="1" applyProtection="1">
      <alignment horizontal="center" vertical="center" wrapText="1"/>
      <protection locked="0"/>
    </xf>
    <xf numFmtId="0" fontId="12" fillId="0" borderId="1" xfId="1" applyFont="1" applyBorder="1" applyAlignment="1" applyProtection="1">
      <alignment horizontal="center" vertical="center" shrinkToFit="1"/>
      <protection locked="0"/>
    </xf>
    <xf numFmtId="0" fontId="15" fillId="0" borderId="1" xfId="1" applyFont="1" applyBorder="1" applyAlignment="1" applyProtection="1">
      <alignment horizontal="center" vertical="center" shrinkToFit="1"/>
      <protection locked="0"/>
    </xf>
    <xf numFmtId="178" fontId="17" fillId="0" borderId="1" xfId="2" applyNumberFormat="1" applyFont="1" applyBorder="1" applyAlignment="1" applyProtection="1">
      <alignment horizontal="center" vertical="center" shrinkToFit="1"/>
      <protection locked="0"/>
    </xf>
    <xf numFmtId="14" fontId="10" fillId="0" borderId="0" xfId="1" applyNumberFormat="1" applyFont="1" applyAlignment="1">
      <alignment horizontal="center" vertical="center" shrinkToFit="1"/>
    </xf>
    <xf numFmtId="0" fontId="8" fillId="0" borderId="1" xfId="1" applyFont="1" applyBorder="1" applyAlignment="1" applyProtection="1">
      <alignment horizontal="center" vertical="center" wrapText="1"/>
      <protection locked="0"/>
    </xf>
    <xf numFmtId="0" fontId="5" fillId="0" borderId="0" xfId="3" applyFont="1"/>
    <xf numFmtId="0" fontId="5" fillId="0" borderId="0" xfId="3" applyFont="1" applyAlignment="1">
      <alignment horizontal="left"/>
    </xf>
    <xf numFmtId="0" fontId="5" fillId="0" borderId="0" xfId="3" applyFont="1" applyAlignment="1">
      <alignment horizontal="left" shrinkToFit="1"/>
    </xf>
    <xf numFmtId="0" fontId="5" fillId="0" borderId="0" xfId="3" applyFont="1" applyAlignment="1">
      <alignment shrinkToFit="1"/>
    </xf>
    <xf numFmtId="0" fontId="10" fillId="0" borderId="0" xfId="3" applyAlignment="1">
      <alignment horizontal="center" vertical="center" wrapText="1"/>
    </xf>
    <xf numFmtId="0" fontId="10" fillId="0" borderId="0" xfId="3" applyAlignment="1">
      <alignment vertical="center" wrapText="1"/>
    </xf>
    <xf numFmtId="0" fontId="9" fillId="0" borderId="1" xfId="0" applyFont="1" applyBorder="1" applyAlignment="1">
      <alignment horizontal="center" vertical="center" shrinkToFit="1"/>
    </xf>
    <xf numFmtId="0" fontId="23" fillId="0" borderId="0" xfId="3" applyFont="1" applyAlignment="1">
      <alignment horizontal="center" vertical="center" wrapText="1"/>
    </xf>
    <xf numFmtId="0" fontId="23" fillId="0" borderId="0" xfId="3" applyFont="1" applyAlignment="1">
      <alignment vertical="center" wrapText="1"/>
    </xf>
    <xf numFmtId="0" fontId="10" fillId="0" borderId="38" xfId="3" applyBorder="1" applyAlignment="1">
      <alignment horizontal="center" wrapText="1"/>
    </xf>
    <xf numFmtId="0" fontId="23" fillId="0" borderId="38" xfId="3" applyFont="1" applyBorder="1" applyAlignment="1">
      <alignment horizontal="center" vertical="center" wrapText="1"/>
    </xf>
    <xf numFmtId="0" fontId="10" fillId="0" borderId="1" xfId="3" applyBorder="1" applyAlignment="1">
      <alignment horizontal="center" vertical="center" wrapText="1"/>
    </xf>
    <xf numFmtId="0" fontId="9" fillId="0" borderId="1" xfId="0" applyFont="1" applyBorder="1" applyAlignment="1">
      <alignment horizontal="center" vertical="center" wrapText="1"/>
    </xf>
    <xf numFmtId="0" fontId="13" fillId="0" borderId="22" xfId="3" applyFont="1" applyBorder="1" applyAlignment="1">
      <alignment horizontal="center" vertical="center" wrapText="1"/>
    </xf>
    <xf numFmtId="0" fontId="10" fillId="7" borderId="0" xfId="3" applyFill="1"/>
    <xf numFmtId="0" fontId="10" fillId="0" borderId="0" xfId="3" applyAlignment="1">
      <alignment horizontal="center" vertical="center"/>
    </xf>
    <xf numFmtId="0" fontId="10" fillId="0" borderId="0" xfId="3" applyAlignment="1">
      <alignment horizontal="right"/>
    </xf>
    <xf numFmtId="0" fontId="10" fillId="0" borderId="0" xfId="3"/>
    <xf numFmtId="0" fontId="0" fillId="0" borderId="0" xfId="0" applyAlignment="1">
      <alignment horizontal="left" shrinkToFit="1"/>
    </xf>
    <xf numFmtId="0" fontId="10" fillId="0" borderId="0" xfId="3" applyAlignment="1">
      <alignment vertical="center"/>
    </xf>
    <xf numFmtId="0" fontId="24" fillId="0" borderId="0" xfId="3" applyFont="1" applyAlignment="1">
      <alignment vertical="center"/>
    </xf>
    <xf numFmtId="0" fontId="10" fillId="0" borderId="0" xfId="3" applyAlignment="1">
      <alignment vertical="center" shrinkToFit="1"/>
    </xf>
    <xf numFmtId="0" fontId="0" fillId="0" borderId="0" xfId="0" applyAlignment="1">
      <alignment horizontal="right"/>
    </xf>
    <xf numFmtId="0" fontId="0" fillId="0" borderId="0" xfId="0" applyAlignment="1"/>
    <xf numFmtId="0" fontId="0" fillId="0" borderId="0" xfId="0" applyAlignment="1">
      <alignment wrapText="1"/>
    </xf>
    <xf numFmtId="0" fontId="10" fillId="0" borderId="0" xfId="0" applyFont="1">
      <alignment vertical="center"/>
    </xf>
    <xf numFmtId="0" fontId="24" fillId="0" borderId="0" xfId="0" applyFont="1">
      <alignment vertical="center"/>
    </xf>
    <xf numFmtId="0" fontId="0" fillId="0" borderId="0" xfId="0" applyAlignment="1">
      <alignment shrinkToFit="1"/>
    </xf>
    <xf numFmtId="0" fontId="0" fillId="0" borderId="0" xfId="0" applyAlignment="1">
      <alignment horizontal="left"/>
    </xf>
    <xf numFmtId="0" fontId="10" fillId="0" borderId="0" xfId="3" applyAlignment="1">
      <alignment shrinkToFit="1"/>
    </xf>
    <xf numFmtId="0" fontId="23" fillId="0" borderId="0" xfId="3" applyFont="1" applyAlignment="1">
      <alignment horizontal="center" shrinkToFit="1"/>
    </xf>
    <xf numFmtId="0" fontId="13" fillId="0" borderId="1" xfId="3" applyFont="1" applyBorder="1" applyAlignment="1">
      <alignment vertical="center" textRotation="255" wrapText="1"/>
    </xf>
    <xf numFmtId="0" fontId="13" fillId="0" borderId="1" xfId="3" applyFont="1" applyBorder="1" applyAlignment="1">
      <alignment horizontal="center" vertical="center" textRotation="255" wrapText="1"/>
    </xf>
    <xf numFmtId="0" fontId="10" fillId="0" borderId="0" xfId="3" applyAlignment="1">
      <alignment horizontal="center" vertical="center" textRotation="255" wrapText="1"/>
    </xf>
    <xf numFmtId="0" fontId="10" fillId="0" borderId="0" xfId="3" applyAlignment="1">
      <alignment horizontal="center" vertical="center" shrinkToFit="1"/>
    </xf>
    <xf numFmtId="180" fontId="10" fillId="0" borderId="0" xfId="3" applyNumberFormat="1"/>
    <xf numFmtId="0" fontId="10" fillId="0" borderId="0" xfId="3" applyAlignment="1">
      <alignment horizontal="center"/>
    </xf>
    <xf numFmtId="0" fontId="5" fillId="0" borderId="0" xfId="3" applyFont="1" applyAlignment="1">
      <alignment vertical="center"/>
    </xf>
    <xf numFmtId="0" fontId="5" fillId="0" borderId="0" xfId="3" applyFont="1" applyAlignment="1">
      <alignment vertical="center" shrinkToFit="1"/>
    </xf>
    <xf numFmtId="0" fontId="21" fillId="0" borderId="0" xfId="3" applyFont="1" applyAlignment="1">
      <alignment vertical="center"/>
    </xf>
    <xf numFmtId="0" fontId="7" fillId="0" borderId="0" xfId="3" applyFont="1" applyAlignment="1">
      <alignment horizontal="center" vertical="center"/>
    </xf>
    <xf numFmtId="0" fontId="0" fillId="6" borderId="1" xfId="0" applyFill="1" applyBorder="1" applyAlignment="1">
      <alignment horizontal="center" vertical="center" shrinkToFit="1"/>
    </xf>
    <xf numFmtId="0" fontId="10" fillId="0" borderId="1" xfId="3" applyBorder="1" applyAlignment="1">
      <alignment vertical="center"/>
    </xf>
    <xf numFmtId="0" fontId="22" fillId="6" borderId="1" xfId="0" applyFont="1" applyFill="1" applyBorder="1">
      <alignment vertical="center"/>
    </xf>
    <xf numFmtId="0" fontId="10" fillId="0" borderId="4" xfId="3" applyBorder="1" applyAlignment="1">
      <alignment vertical="center"/>
    </xf>
    <xf numFmtId="0" fontId="10" fillId="6" borderId="36" xfId="3" applyFill="1" applyBorder="1" applyAlignment="1">
      <alignment vertical="center"/>
    </xf>
    <xf numFmtId="0" fontId="10" fillId="6" borderId="5" xfId="3" applyFill="1" applyBorder="1" applyAlignment="1">
      <alignment vertical="center"/>
    </xf>
    <xf numFmtId="0" fontId="10" fillId="6" borderId="37" xfId="3" applyFill="1" applyBorder="1" applyAlignment="1">
      <alignment vertical="center"/>
    </xf>
    <xf numFmtId="0" fontId="10" fillId="0" borderId="1" xfId="3" applyBorder="1" applyAlignment="1" applyProtection="1">
      <alignment vertical="center"/>
      <protection locked="0"/>
    </xf>
    <xf numFmtId="0" fontId="10" fillId="0" borderId="1" xfId="3" applyBorder="1" applyAlignment="1">
      <alignment horizontal="center" vertical="center"/>
    </xf>
    <xf numFmtId="0" fontId="10" fillId="0" borderId="1" xfId="3" applyBorder="1" applyAlignment="1">
      <alignment horizontal="center" vertical="center" shrinkToFit="1"/>
    </xf>
    <xf numFmtId="0" fontId="0" fillId="4" borderId="0" xfId="0" applyFill="1">
      <alignment vertical="center"/>
    </xf>
    <xf numFmtId="0" fontId="5" fillId="0" borderId="0" xfId="1" applyFont="1" applyAlignment="1">
      <alignment vertical="center" shrinkToFit="1"/>
    </xf>
    <xf numFmtId="0" fontId="5" fillId="0" borderId="0" xfId="1" applyFont="1" applyAlignment="1">
      <alignment vertical="center"/>
    </xf>
    <xf numFmtId="0" fontId="7" fillId="0" borderId="0" xfId="1" applyFont="1" applyAlignment="1">
      <alignment horizontal="left" vertical="center"/>
    </xf>
    <xf numFmtId="0" fontId="8" fillId="0" borderId="0" xfId="1" applyFont="1" applyAlignment="1">
      <alignment vertical="center"/>
    </xf>
    <xf numFmtId="0" fontId="9" fillId="0" borderId="0" xfId="1" applyFont="1" applyAlignment="1">
      <alignment vertical="center"/>
    </xf>
    <xf numFmtId="0" fontId="7" fillId="0" borderId="0" xfId="1" applyFont="1" applyAlignment="1">
      <alignment vertical="center"/>
    </xf>
    <xf numFmtId="0" fontId="0" fillId="0" borderId="0" xfId="0" applyAlignment="1">
      <alignment vertical="center" shrinkToFit="1"/>
    </xf>
    <xf numFmtId="0" fontId="7" fillId="0" borderId="2" xfId="1" applyFont="1" applyBorder="1" applyAlignment="1">
      <alignment horizontal="left" vertical="center"/>
    </xf>
    <xf numFmtId="0" fontId="10" fillId="0" borderId="0" xfId="1" applyFont="1" applyAlignment="1">
      <alignment horizontal="center" vertical="center"/>
    </xf>
    <xf numFmtId="178" fontId="10" fillId="0" borderId="1" xfId="1" applyNumberFormat="1" applyFont="1" applyBorder="1" applyAlignment="1">
      <alignment horizontal="center" vertical="center"/>
    </xf>
    <xf numFmtId="0" fontId="8" fillId="0" borderId="1" xfId="1" applyFont="1" applyBorder="1" applyAlignment="1">
      <alignment vertical="center" textRotation="255" wrapText="1"/>
    </xf>
    <xf numFmtId="0" fontId="8" fillId="0" borderId="1" xfId="1" applyFont="1" applyBorder="1" applyAlignment="1">
      <alignment vertical="center" textRotation="255" shrinkToFit="1"/>
    </xf>
    <xf numFmtId="0" fontId="10" fillId="0" borderId="1" xfId="1" applyFont="1" applyBorder="1" applyAlignment="1">
      <alignment vertical="center" textRotation="255" wrapText="1"/>
    </xf>
    <xf numFmtId="0" fontId="10" fillId="0" borderId="1" xfId="1" applyFont="1" applyBorder="1" applyAlignment="1">
      <alignment horizontal="center" vertical="center" wrapText="1"/>
    </xf>
    <xf numFmtId="0" fontId="10" fillId="0" borderId="1" xfId="1" applyFont="1" applyBorder="1" applyAlignment="1">
      <alignment horizontal="center" vertical="center"/>
    </xf>
    <xf numFmtId="0" fontId="12" fillId="0" borderId="1" xfId="1" applyFont="1" applyBorder="1" applyAlignment="1">
      <alignment horizontal="center" vertical="center"/>
    </xf>
    <xf numFmtId="0" fontId="8" fillId="0" borderId="1" xfId="1" applyFont="1" applyBorder="1" applyAlignment="1">
      <alignment horizontal="center" vertical="center"/>
    </xf>
    <xf numFmtId="0" fontId="8" fillId="0" borderId="1" xfId="1" applyFont="1" applyBorder="1" applyAlignment="1">
      <alignment horizontal="center" vertical="center" shrinkToFit="1"/>
    </xf>
    <xf numFmtId="0" fontId="8" fillId="0" borderId="1" xfId="1" applyFont="1" applyBorder="1" applyAlignment="1">
      <alignment vertical="center"/>
    </xf>
    <xf numFmtId="0" fontId="8" fillId="0" borderId="0" xfId="1" applyFont="1" applyAlignment="1">
      <alignment horizontal="center" vertical="center"/>
    </xf>
    <xf numFmtId="0" fontId="8" fillId="0" borderId="22" xfId="1" applyFont="1" applyBorder="1" applyAlignment="1">
      <alignment horizontal="center" vertical="center"/>
    </xf>
    <xf numFmtId="0" fontId="12" fillId="0" borderId="27" xfId="1" applyFont="1" applyBorder="1" applyAlignment="1">
      <alignment horizontal="center" vertical="center"/>
    </xf>
    <xf numFmtId="0" fontId="12" fillId="0" borderId="26" xfId="1" applyFont="1" applyBorder="1" applyAlignment="1">
      <alignment horizontal="center" vertical="center"/>
    </xf>
    <xf numFmtId="0" fontId="12" fillId="0" borderId="28" xfId="1" applyFont="1" applyBorder="1" applyAlignment="1">
      <alignment horizontal="center" vertical="center"/>
    </xf>
    <xf numFmtId="0" fontId="8" fillId="0" borderId="28" xfId="1" applyFont="1" applyBorder="1" applyAlignment="1">
      <alignment horizontal="center" vertical="center"/>
    </xf>
    <xf numFmtId="178" fontId="8" fillId="0" borderId="28" xfId="1" applyNumberFormat="1" applyFont="1" applyBorder="1" applyAlignment="1">
      <alignment horizontal="center" vertical="center" shrinkToFit="1"/>
    </xf>
    <xf numFmtId="0" fontId="8" fillId="0" borderId="28" xfId="1" applyFont="1" applyBorder="1" applyAlignment="1">
      <alignment horizontal="center" vertical="center" shrinkToFit="1"/>
    </xf>
    <xf numFmtId="178" fontId="17" fillId="0" borderId="28" xfId="2" applyNumberFormat="1" applyFont="1" applyBorder="1" applyAlignment="1">
      <alignment horizontal="center" vertical="center" shrinkToFit="1"/>
    </xf>
    <xf numFmtId="0" fontId="8" fillId="0" borderId="0" xfId="1" applyFont="1"/>
    <xf numFmtId="0" fontId="8" fillId="0" borderId="0" xfId="1" applyFont="1" applyAlignment="1">
      <alignment horizontal="left" vertical="center"/>
    </xf>
    <xf numFmtId="0" fontId="19" fillId="0" borderId="0" xfId="1" applyFont="1" applyAlignment="1">
      <alignment vertical="center" shrinkToFit="1"/>
    </xf>
    <xf numFmtId="0" fontId="19" fillId="0" borderId="0" xfId="1" applyFont="1" applyAlignment="1">
      <alignment horizontal="left" vertical="center"/>
    </xf>
    <xf numFmtId="0" fontId="8" fillId="0" borderId="0" xfId="1" applyFont="1" applyAlignment="1">
      <alignment horizontal="left" vertical="center" wrapText="1"/>
    </xf>
    <xf numFmtId="0" fontId="9" fillId="0" borderId="0" xfId="1" applyFont="1" applyAlignment="1">
      <alignment horizontal="left" vertical="center" wrapText="1"/>
    </xf>
    <xf numFmtId="0" fontId="2" fillId="0" borderId="0" xfId="0" applyFont="1">
      <alignment vertical="center"/>
    </xf>
    <xf numFmtId="0" fontId="8" fillId="0" borderId="0" xfId="1" applyFont="1" applyAlignment="1" applyProtection="1">
      <alignment vertical="center"/>
      <protection locked="0"/>
    </xf>
    <xf numFmtId="0" fontId="19" fillId="0" borderId="0" xfId="1" applyFont="1" applyAlignment="1" applyProtection="1">
      <alignment vertical="center"/>
      <protection locked="0"/>
    </xf>
    <xf numFmtId="0" fontId="19" fillId="0" borderId="0" xfId="1" applyFont="1" applyAlignment="1" applyProtection="1">
      <alignment horizontal="left" vertical="center"/>
      <protection locked="0"/>
    </xf>
    <xf numFmtId="0" fontId="19" fillId="0" borderId="0" xfId="1" applyFont="1" applyAlignment="1" applyProtection="1">
      <alignment horizontal="left" vertical="center" wrapText="1"/>
      <protection locked="0"/>
    </xf>
    <xf numFmtId="0" fontId="9" fillId="0" borderId="0" xfId="1" applyFont="1" applyAlignment="1" applyProtection="1">
      <alignment horizontal="left" vertical="center" wrapText="1"/>
      <protection locked="0"/>
    </xf>
    <xf numFmtId="0" fontId="20" fillId="0" borderId="0" xfId="0" applyFont="1" applyAlignment="1">
      <alignment vertical="center" shrinkToFit="1"/>
    </xf>
    <xf numFmtId="0" fontId="0" fillId="0" borderId="0" xfId="1" applyFont="1" applyAlignment="1">
      <alignment horizontal="center" vertical="center" shrinkToFit="1"/>
    </xf>
    <xf numFmtId="0" fontId="10" fillId="0" borderId="30" xfId="1" applyFont="1" applyBorder="1" applyAlignment="1">
      <alignment vertical="center"/>
    </xf>
    <xf numFmtId="0" fontId="10" fillId="0" borderId="1" xfId="1" applyFont="1" applyBorder="1" applyAlignment="1">
      <alignment vertical="center" wrapText="1"/>
    </xf>
    <xf numFmtId="0" fontId="8" fillId="0" borderId="1" xfId="1" applyFont="1" applyBorder="1" applyAlignment="1">
      <alignment vertical="center" wrapText="1" shrinkToFit="1"/>
    </xf>
    <xf numFmtId="179" fontId="8" fillId="0" borderId="1" xfId="1" applyNumberFormat="1" applyFont="1" applyBorder="1" applyAlignment="1">
      <alignment horizontal="center" vertical="center"/>
    </xf>
    <xf numFmtId="0" fontId="8" fillId="5" borderId="1" xfId="1" applyFont="1" applyFill="1" applyBorder="1" applyAlignment="1">
      <alignment horizontal="center" vertical="center" shrinkToFit="1"/>
    </xf>
    <xf numFmtId="0" fontId="10" fillId="0" borderId="1" xfId="1" applyFont="1" applyBorder="1" applyAlignment="1" applyProtection="1">
      <alignment horizontal="center" vertical="center" wrapText="1"/>
      <protection locked="0"/>
    </xf>
    <xf numFmtId="0" fontId="0" fillId="0" borderId="0" xfId="0" applyAlignment="1">
      <alignment horizontal="center" vertical="center"/>
    </xf>
    <xf numFmtId="0" fontId="23" fillId="0" borderId="0" xfId="3" applyFont="1"/>
    <xf numFmtId="0" fontId="36" fillId="6" borderId="0" xfId="3" applyFont="1" applyFill="1"/>
    <xf numFmtId="0" fontId="36" fillId="6" borderId="0" xfId="3" applyFont="1" applyFill="1" applyAlignment="1">
      <alignment shrinkToFit="1"/>
    </xf>
    <xf numFmtId="0" fontId="23" fillId="0" borderId="4" xfId="3" applyFont="1" applyBorder="1" applyAlignment="1">
      <alignment horizontal="center" vertical="center"/>
    </xf>
    <xf numFmtId="0" fontId="23" fillId="0" borderId="1" xfId="3" applyFont="1" applyBorder="1" applyAlignment="1">
      <alignment horizontal="center" vertical="center"/>
    </xf>
    <xf numFmtId="180" fontId="24" fillId="7" borderId="1" xfId="3" applyNumberFormat="1" applyFont="1" applyFill="1" applyBorder="1" applyAlignment="1">
      <alignment vertical="center" shrinkToFit="1"/>
    </xf>
    <xf numFmtId="180" fontId="10" fillId="7" borderId="1" xfId="3" applyNumberFormat="1" applyFill="1" applyBorder="1" applyAlignment="1">
      <alignment vertical="center" shrinkToFit="1"/>
    </xf>
    <xf numFmtId="179" fontId="10" fillId="7" borderId="1" xfId="3" applyNumberFormat="1" applyFill="1" applyBorder="1" applyAlignment="1">
      <alignment vertical="center"/>
    </xf>
    <xf numFmtId="180" fontId="10" fillId="0" borderId="1" xfId="3" applyNumberFormat="1" applyBorder="1" applyAlignment="1">
      <alignment vertical="center" shrinkToFit="1"/>
    </xf>
    <xf numFmtId="180" fontId="10" fillId="0" borderId="34" xfId="3" applyNumberFormat="1" applyBorder="1" applyAlignment="1">
      <alignment vertical="center" shrinkToFit="1"/>
    </xf>
    <xf numFmtId="180" fontId="24" fillId="0" borderId="1" xfId="3" applyNumberFormat="1" applyFont="1" applyBorder="1" applyAlignment="1">
      <alignment vertical="center" shrinkToFit="1"/>
    </xf>
    <xf numFmtId="180" fontId="26" fillId="0" borderId="1" xfId="3" applyNumberFormat="1" applyFont="1" applyBorder="1" applyAlignment="1">
      <alignment vertical="center" shrinkToFit="1"/>
    </xf>
    <xf numFmtId="187" fontId="24" fillId="7" borderId="1" xfId="3" applyNumberFormat="1" applyFont="1" applyFill="1" applyBorder="1" applyAlignment="1">
      <alignment vertical="center" shrinkToFit="1"/>
    </xf>
    <xf numFmtId="180" fontId="24" fillId="0" borderId="0" xfId="3" applyNumberFormat="1" applyFont="1" applyAlignment="1">
      <alignment vertical="center" shrinkToFit="1"/>
    </xf>
    <xf numFmtId="186" fontId="24" fillId="7" borderId="1" xfId="3" applyNumberFormat="1" applyFont="1" applyFill="1" applyBorder="1" applyAlignment="1">
      <alignment vertical="center" shrinkToFit="1"/>
    </xf>
    <xf numFmtId="186" fontId="24" fillId="0" borderId="1" xfId="3" applyNumberFormat="1" applyFont="1" applyBorder="1" applyAlignment="1">
      <alignment vertical="center" shrinkToFit="1"/>
    </xf>
    <xf numFmtId="0" fontId="27" fillId="0" borderId="0" xfId="4" applyAlignment="1">
      <alignment vertical="center"/>
    </xf>
    <xf numFmtId="180" fontId="10" fillId="7" borderId="1" xfId="3" applyNumberFormat="1" applyFill="1" applyBorder="1" applyAlignment="1">
      <alignment horizontal="center" vertical="center" shrinkToFit="1"/>
    </xf>
    <xf numFmtId="181" fontId="24" fillId="5" borderId="1" xfId="3" applyNumberFormat="1" applyFont="1" applyFill="1" applyBorder="1" applyAlignment="1">
      <alignment horizontal="center" vertical="center" shrinkToFit="1"/>
    </xf>
    <xf numFmtId="0" fontId="45" fillId="0" borderId="0" xfId="0" applyFont="1">
      <alignment vertical="center"/>
    </xf>
    <xf numFmtId="0" fontId="46" fillId="0" borderId="0" xfId="0" applyFont="1">
      <alignment vertical="center"/>
    </xf>
    <xf numFmtId="0" fontId="47" fillId="0" borderId="0" xfId="0" applyFont="1">
      <alignment vertical="center"/>
    </xf>
    <xf numFmtId="0" fontId="0" fillId="0" borderId="1" xfId="0" applyBorder="1" applyAlignment="1">
      <alignment horizontal="center" vertical="center"/>
    </xf>
    <xf numFmtId="0" fontId="49" fillId="0" borderId="0" xfId="0" applyFont="1">
      <alignment vertical="center"/>
    </xf>
    <xf numFmtId="0" fontId="27" fillId="0" borderId="0" xfId="3" applyFont="1"/>
    <xf numFmtId="58" fontId="27" fillId="0" borderId="0" xfId="3" applyNumberFormat="1" applyFont="1"/>
    <xf numFmtId="0" fontId="48" fillId="0" borderId="0" xfId="3" applyFont="1"/>
    <xf numFmtId="0" fontId="27" fillId="0" borderId="52" xfId="3" applyFont="1" applyBorder="1"/>
    <xf numFmtId="0" fontId="27" fillId="0" borderId="4" xfId="3" applyFont="1" applyBorder="1" applyAlignment="1">
      <alignment horizontal="center" vertical="center"/>
    </xf>
    <xf numFmtId="0" fontId="27" fillId="0" borderId="3" xfId="3" applyFont="1" applyBorder="1" applyAlignment="1">
      <alignment vertical="center"/>
    </xf>
    <xf numFmtId="0" fontId="27" fillId="0" borderId="5" xfId="3" applyFont="1" applyBorder="1" applyAlignment="1">
      <alignment vertical="center"/>
    </xf>
    <xf numFmtId="0" fontId="27" fillId="0" borderId="42" xfId="3" applyFont="1" applyBorder="1" applyAlignment="1">
      <alignment vertical="center"/>
    </xf>
    <xf numFmtId="0" fontId="27" fillId="0" borderId="60" xfId="3" applyFont="1" applyBorder="1" applyAlignment="1">
      <alignment vertical="center"/>
    </xf>
    <xf numFmtId="0" fontId="27" fillId="0" borderId="0" xfId="3" applyFont="1" applyAlignment="1">
      <alignment vertical="center"/>
    </xf>
    <xf numFmtId="0" fontId="27" fillId="0" borderId="53" xfId="3" applyFont="1" applyBorder="1"/>
    <xf numFmtId="0" fontId="27" fillId="0" borderId="44" xfId="3" applyFont="1" applyBorder="1" applyAlignment="1">
      <alignment vertical="center"/>
    </xf>
    <xf numFmtId="0" fontId="27" fillId="0" borderId="6" xfId="3" applyFont="1" applyBorder="1" applyAlignment="1">
      <alignment vertical="center"/>
    </xf>
    <xf numFmtId="58" fontId="27" fillId="0" borderId="0" xfId="3" applyNumberFormat="1" applyFont="1" applyAlignment="1">
      <alignment horizontal="center"/>
    </xf>
    <xf numFmtId="0" fontId="27" fillId="0" borderId="0" xfId="3" applyFont="1" applyAlignment="1">
      <alignment horizontal="center"/>
    </xf>
    <xf numFmtId="0" fontId="27" fillId="0" borderId="0" xfId="3" applyFont="1" applyAlignment="1">
      <alignment horizontal="left" vertical="center"/>
    </xf>
    <xf numFmtId="0" fontId="27" fillId="0" borderId="0" xfId="4" applyAlignment="1">
      <alignment horizontal="left" vertical="center"/>
    </xf>
    <xf numFmtId="180" fontId="29" fillId="0" borderId="0" xfId="3" applyNumberFormat="1" applyFont="1"/>
    <xf numFmtId="0" fontId="27" fillId="0" borderId="39" xfId="3" applyFont="1" applyBorder="1" applyAlignment="1">
      <alignment horizontal="distributed" vertical="center"/>
    </xf>
    <xf numFmtId="0" fontId="27" fillId="0" borderId="10" xfId="3" applyFont="1" applyBorder="1"/>
    <xf numFmtId="0" fontId="27" fillId="0" borderId="11" xfId="3" applyFont="1" applyBorder="1"/>
    <xf numFmtId="0" fontId="27" fillId="0" borderId="10" xfId="3" applyFont="1" applyBorder="1" applyAlignment="1">
      <alignment horizontal="left" vertical="top"/>
    </xf>
    <xf numFmtId="0" fontId="27" fillId="0" borderId="12" xfId="3" applyFont="1" applyBorder="1" applyAlignment="1">
      <alignment horizontal="left" vertical="top"/>
    </xf>
    <xf numFmtId="0" fontId="27" fillId="0" borderId="44" xfId="3" applyFont="1" applyBorder="1"/>
    <xf numFmtId="0" fontId="27" fillId="0" borderId="2" xfId="3" applyFont="1" applyBorder="1" applyAlignment="1">
      <alignment horizontal="center"/>
    </xf>
    <xf numFmtId="0" fontId="27" fillId="0" borderId="13" xfId="3" applyFont="1" applyBorder="1" applyAlignment="1">
      <alignment horizontal="center"/>
    </xf>
    <xf numFmtId="0" fontId="27" fillId="0" borderId="43" xfId="3" applyFont="1" applyBorder="1" applyAlignment="1">
      <alignment horizontal="center"/>
    </xf>
    <xf numFmtId="0" fontId="27" fillId="0" borderId="47" xfId="3" applyFont="1" applyBorder="1" applyAlignment="1">
      <alignment horizontal="center"/>
    </xf>
    <xf numFmtId="0" fontId="27" fillId="0" borderId="49" xfId="3" applyFont="1" applyBorder="1" applyAlignment="1">
      <alignment horizontal="center"/>
    </xf>
    <xf numFmtId="0" fontId="27" fillId="0" borderId="48" xfId="3" applyFont="1" applyBorder="1" applyAlignment="1">
      <alignment horizontal="center"/>
    </xf>
    <xf numFmtId="0" fontId="27" fillId="0" borderId="4" xfId="3" applyFont="1" applyBorder="1" applyAlignment="1">
      <alignment vertical="center"/>
    </xf>
    <xf numFmtId="180" fontId="48" fillId="0" borderId="9" xfId="3" applyNumberFormat="1" applyFont="1" applyBorder="1" applyAlignment="1">
      <alignment horizontal="right"/>
    </xf>
    <xf numFmtId="0" fontId="48" fillId="0" borderId="10" xfId="3" applyFont="1" applyBorder="1"/>
    <xf numFmtId="180" fontId="48" fillId="0" borderId="9" xfId="3" applyNumberFormat="1" applyFont="1" applyBorder="1"/>
    <xf numFmtId="0" fontId="10" fillId="0" borderId="0" xfId="3" applyAlignment="1">
      <alignment wrapText="1"/>
    </xf>
    <xf numFmtId="0" fontId="26" fillId="7" borderId="0" xfId="3" applyFont="1" applyFill="1"/>
    <xf numFmtId="1" fontId="26" fillId="0" borderId="1" xfId="3" applyNumberFormat="1" applyFont="1" applyBorder="1" applyAlignment="1">
      <alignment vertical="center" shrinkToFit="1"/>
    </xf>
    <xf numFmtId="1" fontId="10" fillId="7" borderId="0" xfId="3" applyNumberFormat="1" applyFill="1"/>
    <xf numFmtId="1" fontId="26" fillId="7" borderId="0" xfId="3" applyNumberFormat="1" applyFont="1" applyFill="1"/>
    <xf numFmtId="0" fontId="51" fillId="0" borderId="0" xfId="0" applyFont="1">
      <alignment vertical="center"/>
    </xf>
    <xf numFmtId="0" fontId="7" fillId="6" borderId="0" xfId="3" applyFont="1" applyFill="1" applyAlignment="1">
      <alignment horizontal="center" vertical="center" shrinkToFit="1"/>
    </xf>
    <xf numFmtId="0" fontId="7" fillId="6" borderId="0" xfId="3" applyFont="1" applyFill="1" applyAlignment="1">
      <alignment horizontal="right" vertical="center"/>
    </xf>
    <xf numFmtId="0" fontId="3" fillId="0" borderId="0" xfId="0" applyFont="1">
      <alignment vertical="center"/>
    </xf>
    <xf numFmtId="0" fontId="5" fillId="0" borderId="1" xfId="3" applyFont="1" applyBorder="1" applyAlignment="1">
      <alignment vertical="center" shrinkToFit="1"/>
    </xf>
    <xf numFmtId="177" fontId="7" fillId="0" borderId="2" xfId="3" applyNumberFormat="1" applyFont="1" applyBorder="1" applyAlignment="1">
      <alignment vertical="center" shrinkToFit="1"/>
    </xf>
    <xf numFmtId="0" fontId="5" fillId="0" borderId="1" xfId="3" applyFont="1" applyBorder="1" applyAlignment="1">
      <alignment horizontal="center" vertical="center" shrinkToFit="1"/>
    </xf>
    <xf numFmtId="0" fontId="10" fillId="7" borderId="1" xfId="3" applyFill="1" applyBorder="1"/>
    <xf numFmtId="0" fontId="10" fillId="0" borderId="0" xfId="3" applyAlignment="1">
      <alignment horizontal="left" vertical="center"/>
    </xf>
    <xf numFmtId="0" fontId="10" fillId="7" borderId="30" xfId="3" applyFill="1" applyBorder="1"/>
    <xf numFmtId="0" fontId="10" fillId="7" borderId="1" xfId="3" applyFill="1" applyBorder="1" applyAlignment="1">
      <alignment vertical="center"/>
    </xf>
    <xf numFmtId="0" fontId="10" fillId="7" borderId="1" xfId="3" applyFill="1" applyBorder="1" applyAlignment="1">
      <alignment vertical="center" shrinkToFit="1"/>
    </xf>
    <xf numFmtId="0" fontId="8" fillId="0" borderId="61" xfId="1" applyFont="1" applyBorder="1" applyAlignment="1" applyProtection="1">
      <alignment horizontal="center" vertical="center" shrinkToFit="1"/>
      <protection locked="0"/>
    </xf>
    <xf numFmtId="179" fontId="10" fillId="0" borderId="1" xfId="3" applyNumberFormat="1" applyBorder="1" applyAlignment="1">
      <alignment vertical="center"/>
    </xf>
    <xf numFmtId="0" fontId="27" fillId="0" borderId="0" xfId="14" applyAlignment="1">
      <alignment vertical="center"/>
    </xf>
    <xf numFmtId="0" fontId="27" fillId="10" borderId="0" xfId="14" applyFill="1" applyAlignment="1">
      <alignment vertical="center"/>
    </xf>
    <xf numFmtId="38" fontId="27" fillId="0" borderId="0" xfId="13" applyFont="1" applyAlignment="1" applyProtection="1">
      <alignment vertical="center" shrinkToFit="1"/>
    </xf>
    <xf numFmtId="0" fontId="27" fillId="0" borderId="0" xfId="14" applyAlignment="1">
      <alignment vertical="center" shrinkToFit="1"/>
    </xf>
    <xf numFmtId="58" fontId="30" fillId="0" borderId="0" xfId="3" applyNumberFormat="1" applyFont="1"/>
    <xf numFmtId="0" fontId="31" fillId="5" borderId="0" xfId="4" applyFont="1" applyFill="1" applyAlignment="1" applyProtection="1">
      <alignment horizontal="right" vertical="center"/>
      <protection locked="0"/>
    </xf>
    <xf numFmtId="0" fontId="30" fillId="0" borderId="0" xfId="3" applyFont="1" applyAlignment="1">
      <alignment vertical="center"/>
    </xf>
    <xf numFmtId="0" fontId="30" fillId="0" borderId="0" xfId="14" applyFont="1" applyAlignment="1">
      <alignment vertical="center"/>
    </xf>
    <xf numFmtId="0" fontId="27" fillId="0" borderId="6" xfId="14" applyBorder="1" applyAlignment="1">
      <alignment vertical="center"/>
    </xf>
    <xf numFmtId="0" fontId="27" fillId="0" borderId="7" xfId="14" applyBorder="1" applyAlignment="1">
      <alignment vertical="center"/>
    </xf>
    <xf numFmtId="0" fontId="27" fillId="0" borderId="7" xfId="14" applyBorder="1" applyAlignment="1">
      <alignment horizontal="center" vertical="center"/>
    </xf>
    <xf numFmtId="0" fontId="27" fillId="0" borderId="13" xfId="14" applyBorder="1" applyAlignment="1">
      <alignment horizontal="center" vertical="center"/>
    </xf>
    <xf numFmtId="180" fontId="29" fillId="0" borderId="10" xfId="14" applyNumberFormat="1" applyFont="1" applyBorder="1" applyAlignment="1">
      <alignment vertical="center"/>
    </xf>
    <xf numFmtId="180" fontId="29" fillId="0" borderId="11" xfId="14" applyNumberFormat="1" applyFont="1" applyBorder="1" applyAlignment="1">
      <alignment vertical="center"/>
    </xf>
    <xf numFmtId="0" fontId="27" fillId="0" borderId="12" xfId="14" applyBorder="1" applyAlignment="1">
      <alignment vertical="center"/>
    </xf>
    <xf numFmtId="0" fontId="27" fillId="0" borderId="10" xfId="14" applyBorder="1" applyAlignment="1">
      <alignment vertical="center"/>
    </xf>
    <xf numFmtId="0" fontId="27" fillId="0" borderId="11" xfId="14" applyBorder="1" applyAlignment="1">
      <alignment vertical="center"/>
    </xf>
    <xf numFmtId="180" fontId="29" fillId="0" borderId="65" xfId="14" applyNumberFormat="1" applyFont="1" applyBorder="1" applyAlignment="1">
      <alignment vertical="center"/>
    </xf>
    <xf numFmtId="180" fontId="29" fillId="0" borderId="66" xfId="14" applyNumberFormat="1" applyFont="1" applyBorder="1" applyAlignment="1">
      <alignment vertical="center"/>
    </xf>
    <xf numFmtId="0" fontId="27" fillId="0" borderId="67" xfId="14" applyBorder="1" applyAlignment="1">
      <alignment vertical="center"/>
    </xf>
    <xf numFmtId="0" fontId="27" fillId="0" borderId="70" xfId="14" applyBorder="1" applyAlignment="1">
      <alignment horizontal="center" vertical="center"/>
    </xf>
    <xf numFmtId="1" fontId="61" fillId="7" borderId="0" xfId="3" applyNumberFormat="1" applyFont="1" applyFill="1"/>
    <xf numFmtId="0" fontId="61" fillId="0" borderId="6" xfId="3" applyFont="1" applyBorder="1"/>
    <xf numFmtId="0" fontId="61" fillId="0" borderId="0" xfId="3" applyFont="1"/>
    <xf numFmtId="0" fontId="62" fillId="6" borderId="0" xfId="0" applyFont="1" applyFill="1">
      <alignment vertical="center"/>
    </xf>
    <xf numFmtId="180" fontId="54" fillId="6" borderId="1" xfId="3" applyNumberFormat="1" applyFont="1" applyFill="1" applyBorder="1" applyAlignment="1">
      <alignment horizontal="right" vertical="center" shrinkToFit="1"/>
    </xf>
    <xf numFmtId="0" fontId="10" fillId="6" borderId="1" xfId="3" applyFill="1" applyBorder="1" applyAlignment="1">
      <alignment vertical="center"/>
    </xf>
    <xf numFmtId="180" fontId="10" fillId="6" borderId="1" xfId="3" applyNumberFormat="1" applyFill="1" applyBorder="1" applyAlignment="1">
      <alignment vertical="center" shrinkToFit="1"/>
    </xf>
    <xf numFmtId="0" fontId="10" fillId="6" borderId="34" xfId="3" applyFill="1" applyBorder="1" applyAlignment="1">
      <alignment vertical="center"/>
    </xf>
    <xf numFmtId="180" fontId="26" fillId="6" borderId="1" xfId="3" applyNumberFormat="1" applyFont="1" applyFill="1" applyBorder="1" applyAlignment="1">
      <alignment vertical="center" shrinkToFit="1"/>
    </xf>
    <xf numFmtId="180" fontId="24" fillId="6" borderId="1" xfId="3" applyNumberFormat="1" applyFont="1" applyFill="1" applyBorder="1" applyAlignment="1">
      <alignment vertical="center" shrinkToFit="1"/>
    </xf>
    <xf numFmtId="186" fontId="24" fillId="6" borderId="1" xfId="3" applyNumberFormat="1" applyFont="1" applyFill="1" applyBorder="1" applyAlignment="1">
      <alignment vertical="center" shrinkToFit="1"/>
    </xf>
    <xf numFmtId="0" fontId="10" fillId="6" borderId="0" xfId="3" applyFill="1" applyAlignment="1">
      <alignment vertical="center"/>
    </xf>
    <xf numFmtId="180" fontId="10" fillId="6" borderId="34" xfId="3" applyNumberFormat="1" applyFill="1" applyBorder="1" applyAlignment="1">
      <alignment vertical="center" shrinkToFit="1"/>
    </xf>
    <xf numFmtId="180" fontId="10" fillId="6" borderId="34" xfId="3" applyNumberFormat="1" applyFill="1" applyBorder="1" applyAlignment="1">
      <alignment vertical="center"/>
    </xf>
    <xf numFmtId="180" fontId="10" fillId="6" borderId="1" xfId="3" applyNumberFormat="1" applyFill="1" applyBorder="1" applyAlignment="1">
      <alignment vertical="center"/>
    </xf>
    <xf numFmtId="0" fontId="24" fillId="6" borderId="1" xfId="3" applyFont="1" applyFill="1" applyBorder="1" applyAlignment="1">
      <alignment vertical="center" shrinkToFit="1"/>
    </xf>
    <xf numFmtId="0" fontId="10" fillId="0" borderId="22" xfId="3" applyBorder="1" applyAlignment="1">
      <alignment horizontal="center" vertical="center" wrapText="1"/>
    </xf>
    <xf numFmtId="0" fontId="10" fillId="0" borderId="1" xfId="1" applyFont="1" applyBorder="1" applyAlignment="1">
      <alignment vertical="center" textRotation="255" shrinkToFit="1"/>
    </xf>
    <xf numFmtId="0" fontId="8" fillId="6" borderId="0" xfId="1" applyFont="1" applyFill="1" applyAlignment="1" applyProtection="1">
      <alignment horizontal="left" vertical="center"/>
      <protection locked="0"/>
    </xf>
    <xf numFmtId="0" fontId="8" fillId="6" borderId="0" xfId="1" applyFont="1" applyFill="1" applyAlignment="1" applyProtection="1">
      <alignment vertical="center"/>
      <protection locked="0"/>
    </xf>
    <xf numFmtId="0" fontId="25" fillId="0" borderId="22" xfId="3" applyFont="1" applyBorder="1" applyAlignment="1">
      <alignment vertical="center" wrapText="1"/>
    </xf>
    <xf numFmtId="193" fontId="24" fillId="7" borderId="1" xfId="3" applyNumberFormat="1" applyFont="1" applyFill="1" applyBorder="1" applyAlignment="1">
      <alignment vertical="center" shrinkToFit="1"/>
    </xf>
    <xf numFmtId="193" fontId="24" fillId="0" borderId="0" xfId="3" applyNumberFormat="1" applyFont="1" applyAlignment="1">
      <alignment vertical="center" shrinkToFit="1"/>
    </xf>
    <xf numFmtId="0" fontId="44" fillId="6" borderId="0" xfId="0" applyFont="1" applyFill="1">
      <alignment vertical="center"/>
    </xf>
    <xf numFmtId="1" fontId="44" fillId="6" borderId="0" xfId="0" applyNumberFormat="1" applyFont="1" applyFill="1">
      <alignment vertical="center"/>
    </xf>
    <xf numFmtId="0" fontId="44" fillId="11" borderId="0" xfId="0" applyFont="1" applyFill="1">
      <alignment vertical="center"/>
    </xf>
    <xf numFmtId="58" fontId="10" fillId="0" borderId="0" xfId="3" applyNumberFormat="1"/>
    <xf numFmtId="0" fontId="10" fillId="0" borderId="39" xfId="3" applyBorder="1" applyAlignment="1">
      <alignment horizontal="distributed" vertical="center"/>
    </xf>
    <xf numFmtId="0" fontId="10" fillId="0" borderId="10" xfId="3" applyBorder="1"/>
    <xf numFmtId="0" fontId="10" fillId="0" borderId="11" xfId="3" applyBorder="1"/>
    <xf numFmtId="0" fontId="27" fillId="0" borderId="11" xfId="3" applyFont="1" applyBorder="1" applyAlignment="1">
      <alignment horizontal="left" vertical="top"/>
    </xf>
    <xf numFmtId="0" fontId="10" fillId="0" borderId="6" xfId="3" applyBorder="1"/>
    <xf numFmtId="0" fontId="10" fillId="0" borderId="42" xfId="3" applyBorder="1"/>
    <xf numFmtId="182" fontId="29" fillId="0" borderId="9" xfId="3" applyNumberFormat="1" applyFont="1" applyBorder="1"/>
    <xf numFmtId="0" fontId="10" fillId="0" borderId="2" xfId="3" applyBorder="1" applyAlignment="1">
      <alignment horizontal="center"/>
    </xf>
    <xf numFmtId="180" fontId="29" fillId="0" borderId="9" xfId="3" applyNumberFormat="1" applyFont="1" applyBorder="1"/>
    <xf numFmtId="0" fontId="10" fillId="0" borderId="43" xfId="3" applyBorder="1" applyAlignment="1">
      <alignment horizontal="center"/>
    </xf>
    <xf numFmtId="182" fontId="10" fillId="0" borderId="10" xfId="3" applyNumberFormat="1" applyBorder="1"/>
    <xf numFmtId="0" fontId="10" fillId="0" borderId="44" xfId="3" applyBorder="1"/>
    <xf numFmtId="182" fontId="29" fillId="0" borderId="46" xfId="3" applyNumberFormat="1" applyFont="1" applyBorder="1"/>
    <xf numFmtId="0" fontId="10" fillId="0" borderId="47" xfId="3" applyBorder="1" applyAlignment="1">
      <alignment horizontal="center"/>
    </xf>
    <xf numFmtId="180" fontId="29" fillId="0" borderId="46" xfId="3" applyNumberFormat="1" applyFont="1" applyBorder="1"/>
    <xf numFmtId="0" fontId="10" fillId="0" borderId="48" xfId="3" applyBorder="1" applyAlignment="1">
      <alignment horizontal="center"/>
    </xf>
    <xf numFmtId="0" fontId="27" fillId="0" borderId="29" xfId="4" applyBorder="1" applyAlignment="1">
      <alignment vertical="center"/>
    </xf>
    <xf numFmtId="0" fontId="10" fillId="0" borderId="47" xfId="3" applyBorder="1" applyAlignment="1">
      <alignment vertical="center" wrapText="1"/>
    </xf>
    <xf numFmtId="0" fontId="10" fillId="0" borderId="49" xfId="3" applyBorder="1" applyAlignment="1">
      <alignment horizontal="center"/>
    </xf>
    <xf numFmtId="0" fontId="27" fillId="0" borderId="50" xfId="3" applyFont="1" applyBorder="1" applyAlignment="1">
      <alignment horizontal="center" vertical="center"/>
    </xf>
    <xf numFmtId="0" fontId="32" fillId="0" borderId="29" xfId="3" applyFont="1" applyBorder="1" applyAlignment="1">
      <alignment horizontal="center" vertical="center"/>
    </xf>
    <xf numFmtId="0" fontId="27" fillId="0" borderId="16" xfId="3" applyFont="1" applyBorder="1" applyAlignment="1">
      <alignment horizontal="center" vertical="center"/>
    </xf>
    <xf numFmtId="0" fontId="10" fillId="0" borderId="16" xfId="3" applyBorder="1" applyAlignment="1">
      <alignment horizontal="center" vertical="center"/>
    </xf>
    <xf numFmtId="0" fontId="10" fillId="0" borderId="40" xfId="3" applyBorder="1" applyAlignment="1">
      <alignment horizontal="center" vertical="center"/>
    </xf>
    <xf numFmtId="0" fontId="27" fillId="0" borderId="10" xfId="3" applyFont="1" applyBorder="1" applyAlignment="1">
      <alignment horizontal="center" vertical="center"/>
    </xf>
    <xf numFmtId="0" fontId="32" fillId="0" borderId="11" xfId="3" applyFont="1" applyBorder="1" applyAlignment="1">
      <alignment horizontal="center" vertical="center"/>
    </xf>
    <xf numFmtId="0" fontId="32" fillId="0" borderId="12" xfId="3" applyFont="1" applyBorder="1" applyAlignment="1">
      <alignment horizontal="center" vertical="center"/>
    </xf>
    <xf numFmtId="0" fontId="10" fillId="0" borderId="42" xfId="3" applyBorder="1" applyAlignment="1">
      <alignment horizontal="center" vertical="center"/>
    </xf>
    <xf numFmtId="0" fontId="27" fillId="0" borderId="6" xfId="3" applyFont="1" applyBorder="1" applyAlignment="1">
      <alignment horizontal="center" vertical="center"/>
    </xf>
    <xf numFmtId="0" fontId="32" fillId="0" borderId="0" xfId="3" applyFont="1" applyAlignment="1">
      <alignment horizontal="center" vertical="center"/>
    </xf>
    <xf numFmtId="0" fontId="32" fillId="0" borderId="7" xfId="3" applyFont="1" applyBorder="1" applyAlignment="1">
      <alignment horizontal="center" vertical="center"/>
    </xf>
    <xf numFmtId="0" fontId="27" fillId="0" borderId="7" xfId="3" applyFont="1" applyBorder="1" applyAlignment="1">
      <alignment horizontal="left" vertical="top"/>
    </xf>
    <xf numFmtId="0" fontId="10" fillId="0" borderId="13" xfId="3" applyBorder="1" applyAlignment="1">
      <alignment horizontal="center"/>
    </xf>
    <xf numFmtId="180" fontId="29" fillId="0" borderId="2" xfId="3" applyNumberFormat="1" applyFont="1" applyBorder="1"/>
    <xf numFmtId="0" fontId="10" fillId="0" borderId="11" xfId="3" applyBorder="1" applyAlignment="1">
      <alignment horizontal="center"/>
    </xf>
    <xf numFmtId="0" fontId="10" fillId="0" borderId="12" xfId="3" applyBorder="1" applyAlignment="1">
      <alignment horizontal="center"/>
    </xf>
    <xf numFmtId="0" fontId="10" fillId="0" borderId="42" xfId="3" applyBorder="1" applyAlignment="1">
      <alignment horizontal="center"/>
    </xf>
    <xf numFmtId="0" fontId="10" fillId="0" borderId="7" xfId="3" applyBorder="1" applyAlignment="1">
      <alignment horizontal="center"/>
    </xf>
    <xf numFmtId="0" fontId="10" fillId="0" borderId="7" xfId="3" applyBorder="1"/>
    <xf numFmtId="180" fontId="29" fillId="0" borderId="6" xfId="3" applyNumberFormat="1" applyFont="1" applyBorder="1" applyAlignment="1">
      <alignment horizontal="right"/>
    </xf>
    <xf numFmtId="180" fontId="29" fillId="0" borderId="47" xfId="3" applyNumberFormat="1" applyFont="1" applyBorder="1"/>
    <xf numFmtId="0" fontId="64" fillId="0" borderId="0" xfId="5" applyFont="1" applyAlignment="1">
      <alignment vertical="center"/>
    </xf>
    <xf numFmtId="58" fontId="64" fillId="0" borderId="0" xfId="5" quotePrefix="1" applyNumberFormat="1" applyFont="1" applyAlignment="1">
      <alignment horizontal="right" vertical="center"/>
    </xf>
    <xf numFmtId="0" fontId="67" fillId="0" borderId="0" xfId="5" applyFont="1" applyAlignment="1">
      <alignment vertical="center"/>
    </xf>
    <xf numFmtId="0" fontId="64" fillId="0" borderId="0" xfId="5" applyFont="1" applyAlignment="1">
      <alignment horizontal="right" vertical="center"/>
    </xf>
    <xf numFmtId="0" fontId="68" fillId="0" borderId="0" xfId="5" applyFont="1" applyAlignment="1">
      <alignment vertical="center"/>
    </xf>
    <xf numFmtId="0" fontId="64" fillId="0" borderId="0" xfId="5" applyFont="1" applyAlignment="1">
      <alignment horizontal="distributed" vertical="center"/>
    </xf>
    <xf numFmtId="0" fontId="64" fillId="0" borderId="0" xfId="5" applyFont="1" applyAlignment="1">
      <alignment horizontal="center" vertical="center"/>
    </xf>
    <xf numFmtId="0" fontId="64" fillId="0" borderId="0" xfId="5" applyFont="1" applyAlignment="1">
      <alignment vertical="center" shrinkToFit="1"/>
    </xf>
    <xf numFmtId="0" fontId="64" fillId="0" borderId="0" xfId="5" applyFont="1" applyAlignment="1">
      <alignment vertical="top"/>
    </xf>
    <xf numFmtId="0" fontId="69" fillId="0" borderId="0" xfId="5" applyFont="1" applyAlignment="1">
      <alignment horizontal="center" vertical="center"/>
    </xf>
    <xf numFmtId="0" fontId="64" fillId="0" borderId="0" xfId="5" applyFont="1" applyAlignment="1">
      <alignment horizontal="left" vertical="center"/>
    </xf>
    <xf numFmtId="0" fontId="64" fillId="0" borderId="0" xfId="5" applyFont="1" applyAlignment="1">
      <alignment horizontal="right"/>
    </xf>
    <xf numFmtId="0" fontId="64" fillId="0" borderId="4" xfId="5" applyFont="1" applyBorder="1" applyAlignment="1">
      <alignment horizontal="center" vertical="center"/>
    </xf>
    <xf numFmtId="0" fontId="64" fillId="0" borderId="1" xfId="5" applyFont="1" applyBorder="1" applyAlignment="1">
      <alignment horizontal="center" vertical="center"/>
    </xf>
    <xf numFmtId="0" fontId="64" fillId="0" borderId="1" xfId="5" applyFont="1" applyBorder="1" applyAlignment="1">
      <alignment horizontal="center" vertical="center" wrapText="1"/>
    </xf>
    <xf numFmtId="194" fontId="71" fillId="0" borderId="0" xfId="6" applyNumberFormat="1" applyFont="1" applyAlignment="1">
      <alignment horizontal="center" vertical="center"/>
    </xf>
    <xf numFmtId="0" fontId="71" fillId="0" borderId="0" xfId="5" applyFont="1" applyAlignment="1">
      <alignment vertical="center"/>
    </xf>
    <xf numFmtId="185" fontId="71" fillId="0" borderId="0" xfId="6" applyFont="1" applyAlignment="1">
      <alignment vertical="center"/>
    </xf>
    <xf numFmtId="185" fontId="64" fillId="0" borderId="0" xfId="5" applyNumberFormat="1" applyFont="1" applyAlignment="1">
      <alignment vertical="center"/>
    </xf>
    <xf numFmtId="0" fontId="10" fillId="16" borderId="8" xfId="3" applyFill="1" applyBorder="1" applyAlignment="1" applyProtection="1">
      <alignment vertical="center"/>
      <protection locked="0"/>
    </xf>
    <xf numFmtId="180" fontId="10" fillId="0" borderId="1" xfId="3" applyNumberFormat="1" applyBorder="1" applyAlignment="1">
      <alignment horizontal="center" vertical="center" shrinkToFit="1"/>
    </xf>
    <xf numFmtId="0" fontId="10" fillId="0" borderId="10" xfId="3" applyBorder="1" applyAlignment="1">
      <alignment horizontal="left" vertical="top"/>
    </xf>
    <xf numFmtId="180" fontId="29" fillId="0" borderId="9" xfId="3" applyNumberFormat="1" applyFont="1" applyBorder="1" applyAlignment="1">
      <alignment horizontal="right"/>
    </xf>
    <xf numFmtId="180" fontId="29" fillId="0" borderId="46" xfId="3" applyNumberFormat="1" applyFont="1" applyBorder="1" applyAlignment="1">
      <alignment horizontal="right"/>
    </xf>
    <xf numFmtId="0" fontId="31" fillId="0" borderId="10" xfId="3" applyFont="1" applyBorder="1" applyAlignment="1">
      <alignment horizontal="distributed" vertical="center" wrapText="1"/>
    </xf>
    <xf numFmtId="194" fontId="64" fillId="0" borderId="9" xfId="6" applyNumberFormat="1" applyFont="1" applyBorder="1" applyAlignment="1" applyProtection="1">
      <alignment horizontal="center" vertical="center"/>
    </xf>
    <xf numFmtId="194" fontId="64" fillId="0" borderId="22" xfId="5" applyNumberFormat="1" applyFont="1" applyBorder="1" applyAlignment="1">
      <alignment horizontal="center" vertical="center"/>
    </xf>
    <xf numFmtId="0" fontId="27" fillId="0" borderId="10" xfId="3" applyFont="1" applyBorder="1" applyAlignment="1">
      <alignment vertical="center"/>
    </xf>
    <xf numFmtId="0" fontId="27" fillId="0" borderId="11" xfId="3" applyFont="1" applyBorder="1" applyAlignment="1">
      <alignment vertical="center"/>
    </xf>
    <xf numFmtId="0" fontId="27" fillId="0" borderId="0" xfId="3" applyFont="1" applyAlignment="1">
      <alignment vertical="center" wrapText="1"/>
    </xf>
    <xf numFmtId="180" fontId="48" fillId="0" borderId="46" xfId="3" applyNumberFormat="1" applyFont="1" applyBorder="1" applyAlignment="1">
      <alignment horizontal="right"/>
    </xf>
    <xf numFmtId="0" fontId="36" fillId="4" borderId="4" xfId="3" applyFont="1" applyFill="1" applyBorder="1"/>
    <xf numFmtId="0" fontId="36" fillId="4" borderId="5" xfId="3" applyFont="1" applyFill="1" applyBorder="1"/>
    <xf numFmtId="0" fontId="36" fillId="9" borderId="4" xfId="3" applyFont="1" applyFill="1" applyBorder="1"/>
    <xf numFmtId="0" fontId="36" fillId="9" borderId="5" xfId="3" applyFont="1" applyFill="1" applyBorder="1"/>
    <xf numFmtId="0" fontId="77" fillId="0" borderId="0" xfId="3" applyFont="1" applyAlignment="1">
      <alignment horizontal="center" vertical="center"/>
    </xf>
    <xf numFmtId="0" fontId="38" fillId="6" borderId="0" xfId="3" applyFont="1" applyFill="1"/>
    <xf numFmtId="186" fontId="24" fillId="13" borderId="1" xfId="3" applyNumberFormat="1" applyFont="1" applyFill="1" applyBorder="1" applyAlignment="1">
      <alignment vertical="center" shrinkToFit="1"/>
    </xf>
    <xf numFmtId="0" fontId="36" fillId="6" borderId="0" xfId="3" applyFont="1" applyFill="1" applyAlignment="1">
      <alignment horizontal="right" vertical="top"/>
    </xf>
    <xf numFmtId="0" fontId="23" fillId="6" borderId="0" xfId="3" applyFont="1" applyFill="1"/>
    <xf numFmtId="0" fontId="23" fillId="6" borderId="0" xfId="3" applyFont="1" applyFill="1" applyAlignment="1">
      <alignment horizontal="center"/>
    </xf>
    <xf numFmtId="58" fontId="36" fillId="6" borderId="0" xfId="3" applyNumberFormat="1" applyFont="1" applyFill="1" applyAlignment="1">
      <alignment horizontal="center"/>
    </xf>
    <xf numFmtId="0" fontId="27" fillId="0" borderId="0" xfId="14" applyAlignment="1">
      <alignment horizontal="center" vertical="center"/>
    </xf>
    <xf numFmtId="0" fontId="27" fillId="0" borderId="0" xfId="14" applyAlignment="1">
      <alignment horizontal="distributed" vertical="center"/>
    </xf>
    <xf numFmtId="191" fontId="56" fillId="5" borderId="0" xfId="14" applyNumberFormat="1" applyFont="1" applyFill="1" applyAlignment="1">
      <alignment horizontal="right" vertical="center"/>
    </xf>
    <xf numFmtId="0" fontId="27" fillId="0" borderId="0" xfId="4" applyAlignment="1">
      <alignment horizontal="right"/>
    </xf>
    <xf numFmtId="0" fontId="10" fillId="0" borderId="0" xfId="1" applyFont="1" applyAlignment="1">
      <alignment horizontal="center" vertical="center" shrinkToFit="1"/>
    </xf>
    <xf numFmtId="195" fontId="26" fillId="7" borderId="1" xfId="3" applyNumberFormat="1" applyFont="1" applyFill="1" applyBorder="1" applyAlignment="1">
      <alignment vertical="center" shrinkToFit="1"/>
    </xf>
    <xf numFmtId="195" fontId="24" fillId="7" borderId="1" xfId="3" applyNumberFormat="1" applyFont="1" applyFill="1" applyBorder="1" applyAlignment="1">
      <alignment vertical="center" shrinkToFit="1"/>
    </xf>
    <xf numFmtId="0" fontId="93" fillId="0" borderId="0" xfId="0" applyFont="1">
      <alignment vertical="center"/>
    </xf>
    <xf numFmtId="0" fontId="95" fillId="0" borderId="0" xfId="0" applyFont="1">
      <alignment vertical="center"/>
    </xf>
    <xf numFmtId="0" fontId="95" fillId="4" borderId="0" xfId="0" applyFont="1" applyFill="1">
      <alignment vertical="center"/>
    </xf>
    <xf numFmtId="0" fontId="96" fillId="4" borderId="0" xfId="0" applyFont="1" applyFill="1" applyAlignment="1">
      <alignment vertical="center" wrapText="1"/>
    </xf>
    <xf numFmtId="0" fontId="95" fillId="4" borderId="1" xfId="0" applyFont="1" applyFill="1" applyBorder="1">
      <alignment vertical="center"/>
    </xf>
    <xf numFmtId="0" fontId="32" fillId="0" borderId="0" xfId="3" applyFont="1" applyAlignment="1">
      <alignment vertical="center" wrapText="1"/>
    </xf>
    <xf numFmtId="0" fontId="95" fillId="8" borderId="1" xfId="0" applyFont="1" applyFill="1" applyBorder="1" applyAlignment="1">
      <alignment vertical="center" wrapText="1"/>
    </xf>
    <xf numFmtId="0" fontId="95" fillId="0" borderId="1" xfId="0" applyFont="1" applyBorder="1">
      <alignment vertical="center"/>
    </xf>
    <xf numFmtId="0" fontId="95" fillId="8" borderId="1" xfId="0" applyFont="1" applyFill="1" applyBorder="1">
      <alignment vertical="center"/>
    </xf>
    <xf numFmtId="0" fontId="27" fillId="0" borderId="2" xfId="14" applyBorder="1" applyAlignment="1">
      <alignment horizontal="center" vertical="center"/>
    </xf>
    <xf numFmtId="0" fontId="100" fillId="0" borderId="0" xfId="0" applyFont="1">
      <alignment vertical="center"/>
    </xf>
    <xf numFmtId="0" fontId="95" fillId="0" borderId="0" xfId="0" applyFont="1" applyAlignment="1">
      <alignment horizontal="left" vertical="center"/>
    </xf>
    <xf numFmtId="0" fontId="95" fillId="0" borderId="0" xfId="0" applyFont="1" applyAlignment="1">
      <alignment horizontal="left" vertical="center" wrapText="1"/>
    </xf>
    <xf numFmtId="0" fontId="95" fillId="17" borderId="1" xfId="0" applyFont="1" applyFill="1" applyBorder="1" applyAlignment="1">
      <alignment horizontal="center" vertical="center"/>
    </xf>
    <xf numFmtId="0" fontId="95" fillId="17" borderId="55" xfId="0" applyFont="1" applyFill="1" applyBorder="1" applyAlignment="1">
      <alignment horizontal="center" vertical="center"/>
    </xf>
    <xf numFmtId="0" fontId="95" fillId="17" borderId="10" xfId="0" applyFont="1" applyFill="1" applyBorder="1" applyAlignment="1">
      <alignment horizontal="center" vertical="center"/>
    </xf>
    <xf numFmtId="0" fontId="95" fillId="17" borderId="5" xfId="0" applyFont="1" applyFill="1" applyBorder="1" applyAlignment="1">
      <alignment horizontal="center" vertical="center"/>
    </xf>
    <xf numFmtId="0" fontId="95" fillId="17" borderId="10" xfId="0" applyFont="1" applyFill="1" applyBorder="1">
      <alignment vertical="center"/>
    </xf>
    <xf numFmtId="0" fontId="95" fillId="0" borderId="10" xfId="0" applyFont="1" applyBorder="1" applyAlignment="1">
      <alignment horizontal="center" vertical="center" shrinkToFit="1"/>
    </xf>
    <xf numFmtId="0" fontId="95" fillId="0" borderId="92" xfId="0" applyFont="1" applyBorder="1" applyAlignment="1">
      <alignment horizontal="center" vertical="center"/>
    </xf>
    <xf numFmtId="0" fontId="95" fillId="0" borderId="11" xfId="0" applyFont="1" applyBorder="1">
      <alignment vertical="center"/>
    </xf>
    <xf numFmtId="0" fontId="95" fillId="0" borderId="7" xfId="0" applyFont="1" applyBorder="1">
      <alignment vertical="center"/>
    </xf>
    <xf numFmtId="0" fontId="95" fillId="0" borderId="6" xfId="0" applyFont="1" applyBorder="1" applyAlignment="1">
      <alignment horizontal="center" vertical="center" shrinkToFit="1"/>
    </xf>
    <xf numFmtId="0" fontId="95" fillId="0" borderId="93" xfId="0" applyFont="1" applyBorder="1">
      <alignment vertical="center"/>
    </xf>
    <xf numFmtId="0" fontId="95" fillId="17" borderId="6" xfId="0" applyFont="1" applyFill="1" applyBorder="1" applyAlignment="1">
      <alignment horizontal="left" vertical="center" wrapText="1"/>
    </xf>
    <xf numFmtId="0" fontId="95" fillId="17" borderId="9" xfId="0" applyFont="1" applyFill="1" applyBorder="1">
      <alignment vertical="center"/>
    </xf>
    <xf numFmtId="0" fontId="95" fillId="0" borderId="9" xfId="0" applyFont="1" applyBorder="1" applyAlignment="1">
      <alignment horizontal="center" vertical="center" shrinkToFit="1"/>
    </xf>
    <xf numFmtId="0" fontId="95" fillId="0" borderId="94" xfId="0" applyFont="1" applyBorder="1">
      <alignment vertical="center"/>
    </xf>
    <xf numFmtId="0" fontId="95" fillId="0" borderId="2" xfId="0" applyFont="1" applyBorder="1">
      <alignment vertical="center"/>
    </xf>
    <xf numFmtId="0" fontId="95" fillId="0" borderId="92" xfId="0" applyFont="1" applyBorder="1">
      <alignment vertical="center"/>
    </xf>
    <xf numFmtId="0" fontId="95" fillId="0" borderId="12" xfId="0" applyFont="1" applyBorder="1">
      <alignment vertical="center"/>
    </xf>
    <xf numFmtId="0" fontId="95" fillId="17" borderId="6" xfId="0" applyFont="1" applyFill="1" applyBorder="1">
      <alignment vertical="center"/>
    </xf>
    <xf numFmtId="0" fontId="95" fillId="0" borderId="13" xfId="0" applyFont="1" applyBorder="1">
      <alignment vertical="center"/>
    </xf>
    <xf numFmtId="0" fontId="101" fillId="0" borderId="0" xfId="0" applyFont="1">
      <alignment vertical="center"/>
    </xf>
    <xf numFmtId="0" fontId="87" fillId="0" borderId="0" xfId="0" applyFont="1">
      <alignment vertical="center"/>
    </xf>
    <xf numFmtId="0" fontId="99" fillId="0" borderId="0" xfId="0" applyFont="1">
      <alignment vertical="center"/>
    </xf>
    <xf numFmtId="0" fontId="102" fillId="0" borderId="0" xfId="0" applyFont="1">
      <alignment vertical="center"/>
    </xf>
    <xf numFmtId="0" fontId="99" fillId="0" borderId="0" xfId="0" applyFont="1" applyAlignment="1">
      <alignment vertical="top" wrapText="1"/>
    </xf>
    <xf numFmtId="0" fontId="95" fillId="0" borderId="0" xfId="0" applyFont="1" applyAlignment="1">
      <alignment vertical="top" wrapText="1"/>
    </xf>
    <xf numFmtId="0" fontId="95" fillId="0" borderId="0" xfId="8" applyFont="1"/>
    <xf numFmtId="0" fontId="95" fillId="0" borderId="1" xfId="8" applyFont="1" applyBorder="1" applyAlignment="1">
      <alignment horizontal="center"/>
    </xf>
    <xf numFmtId="0" fontId="95" fillId="0" borderId="34" xfId="8" applyFont="1" applyBorder="1" applyAlignment="1">
      <alignment horizontal="center"/>
    </xf>
    <xf numFmtId="0" fontId="95" fillId="22" borderId="1" xfId="8" applyFont="1" applyFill="1" applyBorder="1" applyAlignment="1">
      <alignment horizontal="center"/>
    </xf>
    <xf numFmtId="2" fontId="95" fillId="0" borderId="0" xfId="8" applyNumberFormat="1" applyFont="1"/>
    <xf numFmtId="0" fontId="95" fillId="23" borderId="0" xfId="8" applyFont="1" applyFill="1"/>
    <xf numFmtId="0" fontId="95" fillId="23" borderId="34" xfId="8" applyFont="1" applyFill="1" applyBorder="1" applyAlignment="1">
      <alignment horizontal="center" vertical="center"/>
    </xf>
    <xf numFmtId="0" fontId="95" fillId="23" borderId="95" xfId="8" applyFont="1" applyFill="1" applyBorder="1"/>
    <xf numFmtId="0" fontId="95" fillId="24" borderId="1" xfId="8" applyFont="1" applyFill="1" applyBorder="1" applyAlignment="1">
      <alignment horizontal="center"/>
    </xf>
    <xf numFmtId="0" fontId="95" fillId="0" borderId="22" xfId="8" applyFont="1" applyBorder="1"/>
    <xf numFmtId="0" fontId="95" fillId="0" borderId="22" xfId="8" applyFont="1" applyBorder="1" applyAlignment="1">
      <alignment horizontal="left"/>
    </xf>
    <xf numFmtId="0" fontId="95" fillId="0" borderId="1" xfId="8" applyFont="1" applyBorder="1"/>
    <xf numFmtId="0" fontId="95" fillId="0" borderId="1" xfId="8" applyFont="1" applyBorder="1" applyAlignment="1">
      <alignment horizontal="left"/>
    </xf>
    <xf numFmtId="0" fontId="95" fillId="25" borderId="1" xfId="8" applyFont="1" applyFill="1" applyBorder="1" applyAlignment="1">
      <alignment horizontal="center"/>
    </xf>
    <xf numFmtId="0" fontId="95" fillId="26" borderId="1" xfId="8" applyFont="1" applyFill="1" applyBorder="1" applyAlignment="1">
      <alignment horizontal="center"/>
    </xf>
    <xf numFmtId="0" fontId="95" fillId="27" borderId="1" xfId="8" applyFont="1" applyFill="1" applyBorder="1" applyAlignment="1">
      <alignment horizontal="center"/>
    </xf>
    <xf numFmtId="0" fontId="95" fillId="28" borderId="1" xfId="8" applyFont="1" applyFill="1" applyBorder="1" applyAlignment="1">
      <alignment horizontal="center"/>
    </xf>
    <xf numFmtId="0" fontId="95" fillId="29" borderId="1" xfId="8" applyFont="1" applyFill="1" applyBorder="1" applyAlignment="1">
      <alignment horizontal="center"/>
    </xf>
    <xf numFmtId="0" fontId="10" fillId="0" borderId="0" xfId="9">
      <alignment vertical="center"/>
    </xf>
    <xf numFmtId="0" fontId="10" fillId="0" borderId="1" xfId="9" applyBorder="1">
      <alignment vertical="center"/>
    </xf>
    <xf numFmtId="0" fontId="10" fillId="0" borderId="1" xfId="9" applyBorder="1" applyAlignment="1">
      <alignment horizontal="center" vertical="center"/>
    </xf>
    <xf numFmtId="0" fontId="10" fillId="0" borderId="1" xfId="9" applyBorder="1" applyAlignment="1">
      <alignment vertical="center" wrapText="1"/>
    </xf>
    <xf numFmtId="0" fontId="10" fillId="30" borderId="1" xfId="9" applyFill="1" applyBorder="1" applyAlignment="1">
      <alignment horizontal="center" vertical="center"/>
    </xf>
    <xf numFmtId="0" fontId="23" fillId="2" borderId="0" xfId="9" applyFont="1" applyFill="1">
      <alignment vertical="center"/>
    </xf>
    <xf numFmtId="0" fontId="103" fillId="2" borderId="0" xfId="9" applyFont="1" applyFill="1">
      <alignment vertical="center"/>
    </xf>
    <xf numFmtId="0" fontId="10" fillId="0" borderId="1" xfId="9" applyBorder="1" applyAlignment="1">
      <alignment horizontal="center" vertical="center" wrapText="1"/>
    </xf>
    <xf numFmtId="0" fontId="95" fillId="0" borderId="0" xfId="8" applyFont="1" applyAlignment="1">
      <alignment horizontal="center" vertical="center"/>
    </xf>
    <xf numFmtId="0" fontId="104" fillId="17" borderId="11" xfId="8" applyFont="1" applyFill="1" applyBorder="1" applyAlignment="1">
      <alignment horizontal="center" vertical="center"/>
    </xf>
    <xf numFmtId="0" fontId="104" fillId="17" borderId="5" xfId="8" applyFont="1" applyFill="1" applyBorder="1" applyAlignment="1">
      <alignment horizontal="center" vertical="center"/>
    </xf>
    <xf numFmtId="0" fontId="104" fillId="17" borderId="4" xfId="8" applyFont="1" applyFill="1" applyBorder="1" applyAlignment="1">
      <alignment vertical="center" wrapText="1"/>
    </xf>
    <xf numFmtId="0" fontId="104" fillId="17" borderId="3" xfId="8" applyFont="1" applyFill="1" applyBorder="1" applyAlignment="1">
      <alignment vertical="center" wrapText="1"/>
    </xf>
    <xf numFmtId="0" fontId="104" fillId="17" borderId="1" xfId="8" applyFont="1" applyFill="1" applyBorder="1" applyAlignment="1">
      <alignment horizontal="center" vertical="center"/>
    </xf>
    <xf numFmtId="0" fontId="104" fillId="17" borderId="22" xfId="8" applyFont="1" applyFill="1" applyBorder="1" applyAlignment="1">
      <alignment horizontal="center" vertical="center"/>
    </xf>
    <xf numFmtId="0" fontId="95" fillId="0" borderId="4" xfId="8" applyFont="1" applyBorder="1" applyAlignment="1">
      <alignment shrinkToFit="1"/>
    </xf>
    <xf numFmtId="0" fontId="95" fillId="0" borderId="3" xfId="8" applyFont="1" applyBorder="1" applyAlignment="1">
      <alignment shrinkToFit="1"/>
    </xf>
    <xf numFmtId="0" fontId="104" fillId="17" borderId="13" xfId="8" applyFont="1" applyFill="1" applyBorder="1" applyAlignment="1">
      <alignment horizontal="center" vertical="center"/>
    </xf>
    <xf numFmtId="0" fontId="104" fillId="0" borderId="1" xfId="8" applyFont="1" applyBorder="1" applyAlignment="1">
      <alignment horizontal="center" vertical="center" shrinkToFit="1"/>
    </xf>
    <xf numFmtId="0" fontId="104" fillId="13" borderId="4" xfId="8" applyFont="1" applyFill="1" applyBorder="1" applyAlignment="1">
      <alignment horizontal="center" vertical="center" shrinkToFit="1"/>
    </xf>
    <xf numFmtId="0" fontId="104" fillId="20" borderId="72" xfId="8" applyFont="1" applyFill="1" applyBorder="1" applyAlignment="1">
      <alignment horizontal="center" vertical="center" shrinkToFit="1"/>
    </xf>
    <xf numFmtId="0" fontId="104" fillId="10" borderId="73" xfId="8" applyFont="1" applyFill="1" applyBorder="1" applyAlignment="1">
      <alignment horizontal="center" vertical="center" shrinkToFit="1"/>
    </xf>
    <xf numFmtId="0" fontId="104" fillId="10" borderId="74" xfId="8" applyFont="1" applyFill="1" applyBorder="1" applyAlignment="1">
      <alignment horizontal="center" vertical="center" shrinkToFit="1"/>
    </xf>
    <xf numFmtId="0" fontId="104" fillId="0" borderId="5" xfId="8" applyFont="1" applyBorder="1" applyAlignment="1">
      <alignment horizontal="center" vertical="center" shrinkToFit="1"/>
    </xf>
    <xf numFmtId="0" fontId="104" fillId="10" borderId="72" xfId="8" applyFont="1" applyFill="1" applyBorder="1" applyAlignment="1">
      <alignment horizontal="center" vertical="center" shrinkToFit="1"/>
    </xf>
    <xf numFmtId="0" fontId="104" fillId="17" borderId="5" xfId="8" applyFont="1" applyFill="1" applyBorder="1" applyAlignment="1">
      <alignment horizontal="center" vertical="center" shrinkToFit="1"/>
    </xf>
    <xf numFmtId="0" fontId="104" fillId="17" borderId="4" xfId="8" applyFont="1" applyFill="1" applyBorder="1" applyAlignment="1">
      <alignment horizontal="center" vertical="center" shrinkToFit="1"/>
    </xf>
    <xf numFmtId="0" fontId="104" fillId="15" borderId="75" xfId="8" applyFont="1" applyFill="1" applyBorder="1" applyAlignment="1">
      <alignment horizontal="center" vertical="center" shrinkToFit="1"/>
    </xf>
    <xf numFmtId="0" fontId="104" fillId="14" borderId="78" xfId="8" applyFont="1" applyFill="1" applyBorder="1" applyAlignment="1">
      <alignment horizontal="center" vertical="center" shrinkToFit="1"/>
    </xf>
    <xf numFmtId="0" fontId="104" fillId="17" borderId="1" xfId="8" applyFont="1" applyFill="1" applyBorder="1" applyAlignment="1">
      <alignment horizontal="center" vertical="center" shrinkToFit="1"/>
    </xf>
    <xf numFmtId="0" fontId="104" fillId="17" borderId="75" xfId="8" applyFont="1" applyFill="1" applyBorder="1" applyAlignment="1">
      <alignment horizontal="center" vertical="center" shrinkToFit="1"/>
    </xf>
    <xf numFmtId="0" fontId="95" fillId="0" borderId="1" xfId="8" applyFont="1" applyBorder="1" applyAlignment="1">
      <alignment horizontal="center" vertical="center" shrinkToFit="1"/>
    </xf>
    <xf numFmtId="0" fontId="104" fillId="13" borderId="13" xfId="8" applyFont="1" applyFill="1" applyBorder="1" applyAlignment="1">
      <alignment horizontal="center" vertical="center" shrinkToFit="1"/>
    </xf>
    <xf numFmtId="0" fontId="104" fillId="20" borderId="76" xfId="8" applyFont="1" applyFill="1" applyBorder="1" applyAlignment="1">
      <alignment horizontal="center" vertical="center" shrinkToFit="1"/>
    </xf>
    <xf numFmtId="0" fontId="104" fillId="10" borderId="13" xfId="8" applyFont="1" applyFill="1" applyBorder="1" applyAlignment="1">
      <alignment horizontal="center" vertical="center" shrinkToFit="1"/>
    </xf>
    <xf numFmtId="0" fontId="104" fillId="10" borderId="77" xfId="8" applyFont="1" applyFill="1" applyBorder="1" applyAlignment="1">
      <alignment horizontal="center" vertical="center" shrinkToFit="1"/>
    </xf>
    <xf numFmtId="0" fontId="104" fillId="10" borderId="78" xfId="8" applyFont="1" applyFill="1" applyBorder="1" applyAlignment="1">
      <alignment horizontal="center" vertical="center" shrinkToFit="1"/>
    </xf>
    <xf numFmtId="0" fontId="104" fillId="0" borderId="4" xfId="8" applyFont="1" applyBorder="1" applyAlignment="1">
      <alignment horizontal="center" vertical="center" shrinkToFit="1"/>
    </xf>
    <xf numFmtId="0" fontId="104" fillId="15" borderId="79" xfId="8" applyFont="1" applyFill="1" applyBorder="1" applyAlignment="1">
      <alignment horizontal="center" vertical="center" shrinkToFit="1"/>
    </xf>
    <xf numFmtId="0" fontId="104" fillId="17" borderId="79" xfId="8" applyFont="1" applyFill="1" applyBorder="1" applyAlignment="1">
      <alignment horizontal="center" vertical="center" shrinkToFit="1"/>
    </xf>
    <xf numFmtId="0" fontId="104" fillId="17" borderId="84" xfId="8" applyFont="1" applyFill="1" applyBorder="1" applyAlignment="1">
      <alignment horizontal="center" vertical="center" shrinkToFit="1"/>
    </xf>
    <xf numFmtId="0" fontId="104" fillId="0" borderId="0" xfId="8" applyFont="1" applyAlignment="1">
      <alignment horizontal="center" vertical="center" shrinkToFit="1"/>
    </xf>
    <xf numFmtId="1" fontId="104" fillId="0" borderId="0" xfId="8" applyNumberFormat="1" applyFont="1" applyAlignment="1">
      <alignment horizontal="center" vertical="center" shrinkToFit="1"/>
    </xf>
    <xf numFmtId="0" fontId="104" fillId="6" borderId="0" xfId="8" applyFont="1" applyFill="1" applyAlignment="1">
      <alignment horizontal="center" vertical="center" shrinkToFit="1"/>
    </xf>
    <xf numFmtId="0" fontId="95" fillId="0" borderId="0" xfId="8" applyFont="1" applyAlignment="1">
      <alignment horizontal="center" vertical="center" shrinkToFit="1"/>
    </xf>
    <xf numFmtId="0" fontId="104" fillId="13" borderId="2" xfId="8" applyFont="1" applyFill="1" applyBorder="1" applyAlignment="1">
      <alignment horizontal="center" vertical="center" shrinkToFit="1"/>
    </xf>
    <xf numFmtId="0" fontId="104" fillId="20" borderId="80" xfId="8" applyFont="1" applyFill="1" applyBorder="1" applyAlignment="1">
      <alignment horizontal="center" vertical="center" shrinkToFit="1"/>
    </xf>
    <xf numFmtId="0" fontId="104" fillId="10" borderId="81" xfId="8" applyFont="1" applyFill="1" applyBorder="1" applyAlignment="1">
      <alignment horizontal="center" vertical="center" shrinkToFit="1"/>
    </xf>
    <xf numFmtId="0" fontId="104" fillId="10" borderId="82" xfId="8" applyFont="1" applyFill="1" applyBorder="1" applyAlignment="1">
      <alignment horizontal="center" vertical="center" shrinkToFit="1"/>
    </xf>
    <xf numFmtId="0" fontId="104" fillId="10" borderId="83" xfId="8" applyFont="1" applyFill="1" applyBorder="1" applyAlignment="1">
      <alignment horizontal="center" vertical="center" shrinkToFit="1"/>
    </xf>
    <xf numFmtId="0" fontId="104" fillId="15" borderId="84" xfId="8" applyFont="1" applyFill="1" applyBorder="1" applyAlignment="1">
      <alignment horizontal="center" vertical="center" shrinkToFit="1"/>
    </xf>
    <xf numFmtId="0" fontId="107" fillId="0" borderId="0" xfId="3" applyFont="1"/>
    <xf numFmtId="0" fontId="107" fillId="6" borderId="0" xfId="3" applyFont="1" applyFill="1"/>
    <xf numFmtId="58" fontId="107" fillId="6" borderId="0" xfId="3" applyNumberFormat="1" applyFont="1" applyFill="1" applyAlignment="1">
      <alignment horizontal="center"/>
    </xf>
    <xf numFmtId="0" fontId="107" fillId="4" borderId="4" xfId="3" applyFont="1" applyFill="1" applyBorder="1"/>
    <xf numFmtId="0" fontId="107" fillId="4" borderId="5" xfId="3" applyFont="1" applyFill="1" applyBorder="1"/>
    <xf numFmtId="0" fontId="107" fillId="9" borderId="4" xfId="3" applyFont="1" applyFill="1" applyBorder="1"/>
    <xf numFmtId="0" fontId="107" fillId="9" borderId="5" xfId="3" applyFont="1" applyFill="1" applyBorder="1"/>
    <xf numFmtId="0" fontId="110" fillId="6" borderId="0" xfId="3" applyFont="1" applyFill="1"/>
    <xf numFmtId="0" fontId="107" fillId="6" borderId="0" xfId="3" applyFont="1" applyFill="1" applyAlignment="1">
      <alignment horizontal="center"/>
    </xf>
    <xf numFmtId="0" fontId="107" fillId="6" borderId="0" xfId="3" applyFont="1" applyFill="1" applyAlignment="1">
      <alignment shrinkToFit="1"/>
    </xf>
    <xf numFmtId="0" fontId="95" fillId="0" borderId="0" xfId="0" applyFont="1" applyAlignment="1">
      <alignment horizontal="right" vertical="center"/>
    </xf>
    <xf numFmtId="0" fontId="95" fillId="0" borderId="1" xfId="0" applyFont="1" applyBorder="1" applyAlignment="1">
      <alignment horizontal="center" vertical="center"/>
    </xf>
    <xf numFmtId="0" fontId="95" fillId="0" borderId="0" xfId="0" applyFont="1" applyAlignment="1">
      <alignment horizontal="center" vertical="center"/>
    </xf>
    <xf numFmtId="176" fontId="95" fillId="6" borderId="2" xfId="0" applyNumberFormat="1" applyFont="1" applyFill="1" applyBorder="1" applyAlignment="1">
      <alignment horizontal="center" vertical="center"/>
    </xf>
    <xf numFmtId="0" fontId="95" fillId="0" borderId="10" xfId="0" applyFont="1" applyBorder="1">
      <alignment vertical="center"/>
    </xf>
    <xf numFmtId="0" fontId="95" fillId="0" borderId="6" xfId="0" applyFont="1" applyBorder="1">
      <alignment vertical="center"/>
    </xf>
    <xf numFmtId="0" fontId="95" fillId="0" borderId="9" xfId="0" applyFont="1" applyBorder="1">
      <alignment vertical="center"/>
    </xf>
    <xf numFmtId="189" fontId="95" fillId="0" borderId="1" xfId="0" applyNumberFormat="1" applyFont="1" applyBorder="1" applyAlignment="1">
      <alignment horizontal="center" vertical="center"/>
    </xf>
    <xf numFmtId="0" fontId="95" fillId="0" borderId="4" xfId="0" applyFont="1" applyBorder="1">
      <alignment vertical="center"/>
    </xf>
    <xf numFmtId="0" fontId="95" fillId="0" borderId="3" xfId="0" applyFont="1" applyBorder="1">
      <alignment vertical="center"/>
    </xf>
    <xf numFmtId="0" fontId="95" fillId="0" borderId="5" xfId="0" applyFont="1" applyBorder="1">
      <alignment vertical="center"/>
    </xf>
    <xf numFmtId="0" fontId="95" fillId="6" borderId="1" xfId="0" applyFont="1" applyFill="1" applyBorder="1" applyAlignment="1">
      <alignment horizontal="center" vertical="center"/>
    </xf>
    <xf numFmtId="0" fontId="95" fillId="0" borderId="8" xfId="0" applyFont="1" applyBorder="1" applyAlignment="1">
      <alignment horizontal="center" vertical="center"/>
    </xf>
    <xf numFmtId="0" fontId="95" fillId="0" borderId="6" xfId="0" applyFont="1" applyBorder="1" applyAlignment="1">
      <alignment horizontal="center" vertical="center"/>
    </xf>
    <xf numFmtId="177" fontId="95" fillId="6" borderId="1" xfId="0" applyNumberFormat="1" applyFont="1" applyFill="1" applyBorder="1" applyAlignment="1">
      <alignment horizontal="center" vertical="center"/>
    </xf>
    <xf numFmtId="180" fontId="95" fillId="9" borderId="1" xfId="0" applyNumberFormat="1" applyFont="1" applyFill="1" applyBorder="1" applyAlignment="1" applyProtection="1">
      <alignment horizontal="center" vertical="center" shrinkToFit="1"/>
      <protection locked="0"/>
    </xf>
    <xf numFmtId="0" fontId="99" fillId="0" borderId="1" xfId="1" applyFont="1" applyBorder="1" applyAlignment="1">
      <alignment horizontal="center" vertical="center" wrapText="1"/>
    </xf>
    <xf numFmtId="0" fontId="112" fillId="0" borderId="1" xfId="1" applyFont="1" applyBorder="1" applyAlignment="1">
      <alignment horizontal="center" vertical="center" wrapText="1"/>
    </xf>
    <xf numFmtId="0" fontId="99" fillId="0" borderId="0" xfId="1" applyFont="1" applyAlignment="1">
      <alignment horizontal="center" vertical="center"/>
    </xf>
    <xf numFmtId="0" fontId="112" fillId="0" borderId="1" xfId="1" applyFont="1" applyBorder="1" applyAlignment="1">
      <alignment vertical="center" textRotation="255" wrapText="1"/>
    </xf>
    <xf numFmtId="0" fontId="112" fillId="0" borderId="1" xfId="1" applyFont="1" applyBorder="1" applyAlignment="1">
      <alignment vertical="center" textRotation="255" shrinkToFit="1"/>
    </xf>
    <xf numFmtId="0" fontId="112" fillId="0" borderId="1" xfId="1" applyFont="1" applyBorder="1" applyAlignment="1">
      <alignment horizontal="center" vertical="center"/>
    </xf>
    <xf numFmtId="0" fontId="112" fillId="0" borderId="11" xfId="1" applyFont="1" applyBorder="1" applyAlignment="1">
      <alignment horizontal="center" vertical="center"/>
    </xf>
    <xf numFmtId="0" fontId="112" fillId="0" borderId="0" xfId="1" applyFont="1" applyAlignment="1">
      <alignment horizontal="center" vertical="center"/>
    </xf>
    <xf numFmtId="0" fontId="99" fillId="0" borderId="0" xfId="3" applyFont="1"/>
    <xf numFmtId="0" fontId="115" fillId="0" borderId="0" xfId="9" applyFont="1">
      <alignment vertical="center"/>
    </xf>
    <xf numFmtId="0" fontId="95" fillId="0" borderId="1" xfId="0" applyFont="1" applyBorder="1" applyAlignment="1">
      <alignment horizontal="center" vertical="center" shrinkToFit="1"/>
    </xf>
    <xf numFmtId="0" fontId="116" fillId="0" borderId="0" xfId="3" applyFont="1" applyAlignment="1">
      <alignment horizontal="center"/>
    </xf>
    <xf numFmtId="0" fontId="116" fillId="0" borderId="0" xfId="3" applyFont="1"/>
    <xf numFmtId="0" fontId="95" fillId="0" borderId="0" xfId="0" quotePrefix="1" applyFont="1" applyAlignment="1">
      <alignment horizontal="right" vertical="center"/>
    </xf>
    <xf numFmtId="0" fontId="117" fillId="0" borderId="1" xfId="0" applyFont="1" applyBorder="1" applyAlignment="1">
      <alignment horizontal="center" vertical="center" wrapText="1"/>
    </xf>
    <xf numFmtId="0" fontId="95" fillId="0" borderId="1" xfId="0" applyFont="1" applyBorder="1" applyProtection="1">
      <alignment vertical="center"/>
      <protection locked="0"/>
    </xf>
    <xf numFmtId="0" fontId="95" fillId="0" borderId="1" xfId="0" applyFont="1" applyBorder="1" applyAlignment="1" applyProtection="1">
      <alignment horizontal="center" vertical="center"/>
      <protection locked="0"/>
    </xf>
    <xf numFmtId="183" fontId="95" fillId="0" borderId="1" xfId="0" applyNumberFormat="1" applyFont="1" applyBorder="1" applyAlignment="1">
      <alignment horizontal="center" vertical="center"/>
    </xf>
    <xf numFmtId="183" fontId="95" fillId="0" borderId="1" xfId="0" applyNumberFormat="1" applyFont="1" applyBorder="1">
      <alignment vertical="center"/>
    </xf>
    <xf numFmtId="183" fontId="95" fillId="0" borderId="0" xfId="0" applyNumberFormat="1" applyFont="1">
      <alignment vertical="center"/>
    </xf>
    <xf numFmtId="179" fontId="99" fillId="0" borderId="4" xfId="3" applyNumberFormat="1" applyFont="1" applyBorder="1" applyAlignment="1">
      <alignment horizontal="center"/>
    </xf>
    <xf numFmtId="0" fontId="99" fillId="0" borderId="0" xfId="3" applyFont="1" applyAlignment="1">
      <alignment horizontal="center"/>
    </xf>
    <xf numFmtId="0" fontId="99" fillId="0" borderId="0" xfId="3" applyFont="1" applyAlignment="1">
      <alignment horizontal="center" shrinkToFit="1"/>
    </xf>
    <xf numFmtId="0" fontId="95" fillId="0" borderId="1" xfId="0" applyFont="1" applyBorder="1" applyAlignment="1">
      <alignment horizontal="center" vertical="center" wrapText="1" shrinkToFit="1"/>
    </xf>
    <xf numFmtId="0" fontId="95" fillId="0" borderId="34" xfId="0" applyFont="1" applyBorder="1" applyAlignment="1">
      <alignment horizontal="center" vertical="center"/>
    </xf>
    <xf numFmtId="183" fontId="95" fillId="0" borderId="1" xfId="0" applyNumberFormat="1" applyFont="1" applyBorder="1" applyAlignment="1">
      <alignment horizontal="center" vertical="center" shrinkToFit="1"/>
    </xf>
    <xf numFmtId="183" fontId="95" fillId="0" borderId="1" xfId="0" applyNumberFormat="1" applyFont="1" applyBorder="1" applyAlignment="1">
      <alignment vertical="center" shrinkToFit="1"/>
    </xf>
    <xf numFmtId="183" fontId="95" fillId="0" borderId="34" xfId="0" applyNumberFormat="1" applyFont="1" applyBorder="1">
      <alignment vertical="center"/>
    </xf>
    <xf numFmtId="184" fontId="95" fillId="0" borderId="1" xfId="0" applyNumberFormat="1" applyFont="1" applyBorder="1">
      <alignment vertical="center"/>
    </xf>
    <xf numFmtId="184" fontId="95" fillId="0" borderId="1" xfId="0" applyNumberFormat="1" applyFont="1" applyBorder="1" applyAlignment="1">
      <alignment vertical="center" shrinkToFit="1"/>
    </xf>
    <xf numFmtId="0" fontId="95" fillId="0" borderId="1" xfId="0" applyFont="1" applyBorder="1" applyAlignment="1">
      <alignment horizontal="center" vertical="center" wrapText="1"/>
    </xf>
    <xf numFmtId="177" fontId="95" fillId="0" borderId="8" xfId="0" applyNumberFormat="1" applyFont="1" applyBorder="1" applyAlignment="1">
      <alignment horizontal="center" vertical="center"/>
    </xf>
    <xf numFmtId="177" fontId="95" fillId="0" borderId="62" xfId="0" applyNumberFormat="1" applyFont="1" applyBorder="1" applyAlignment="1">
      <alignment horizontal="center" vertical="center"/>
    </xf>
    <xf numFmtId="179" fontId="99" fillId="0" borderId="9" xfId="3" applyNumberFormat="1" applyFont="1" applyBorder="1" applyAlignment="1">
      <alignment horizontal="center"/>
    </xf>
    <xf numFmtId="179" fontId="99" fillId="0" borderId="1" xfId="3" applyNumberFormat="1" applyFont="1" applyBorder="1" applyAlignment="1">
      <alignment horizontal="center"/>
    </xf>
    <xf numFmtId="0" fontId="107" fillId="0" borderId="0" xfId="3" applyFont="1" applyAlignment="1">
      <alignment horizontal="center"/>
    </xf>
    <xf numFmtId="0" fontId="118" fillId="6" borderId="0" xfId="3" applyFont="1" applyFill="1" applyAlignment="1">
      <alignment horizontal="center" vertical="center" shrinkToFit="1"/>
    </xf>
    <xf numFmtId="0" fontId="99" fillId="0" borderId="0" xfId="3" applyFont="1" applyAlignment="1">
      <alignment shrinkToFit="1"/>
    </xf>
    <xf numFmtId="0" fontId="117" fillId="0" borderId="0" xfId="0" applyFont="1">
      <alignment vertical="center"/>
    </xf>
    <xf numFmtId="0" fontId="95" fillId="0" borderId="4" xfId="0" applyFont="1" applyBorder="1" applyAlignment="1">
      <alignment horizontal="center" vertical="center"/>
    </xf>
    <xf numFmtId="0" fontId="95" fillId="0" borderId="5" xfId="0" applyFont="1" applyBorder="1" applyAlignment="1">
      <alignment horizontal="center" vertical="center"/>
    </xf>
    <xf numFmtId="38" fontId="95" fillId="0" borderId="1" xfId="0" applyNumberFormat="1" applyFont="1" applyBorder="1">
      <alignment vertical="center"/>
    </xf>
    <xf numFmtId="38" fontId="95" fillId="0" borderId="1" xfId="17" applyFont="1" applyBorder="1">
      <alignment vertical="center"/>
    </xf>
    <xf numFmtId="38" fontId="95" fillId="0" borderId="5" xfId="17" applyFont="1" applyFill="1" applyBorder="1">
      <alignment vertical="center"/>
    </xf>
    <xf numFmtId="38" fontId="95" fillId="0" borderId="1" xfId="17" applyFont="1" applyFill="1" applyBorder="1">
      <alignment vertical="center"/>
    </xf>
    <xf numFmtId="38" fontId="95" fillId="0" borderId="34" xfId="17" applyFont="1" applyBorder="1">
      <alignment vertical="center"/>
    </xf>
    <xf numFmtId="0" fontId="95" fillId="0" borderId="88" xfId="0" applyFont="1" applyBorder="1" applyAlignment="1">
      <alignment horizontal="center" vertical="center"/>
    </xf>
    <xf numFmtId="0" fontId="95" fillId="0" borderId="89" xfId="0" applyFont="1" applyBorder="1" applyAlignment="1">
      <alignment horizontal="center" vertical="center"/>
    </xf>
    <xf numFmtId="0" fontId="95" fillId="0" borderId="90" xfId="0" applyFont="1" applyBorder="1">
      <alignment vertical="center"/>
    </xf>
    <xf numFmtId="38" fontId="95" fillId="0" borderId="91" xfId="17" applyFont="1" applyBorder="1">
      <alignment vertical="center"/>
    </xf>
    <xf numFmtId="38" fontId="95" fillId="0" borderId="0" xfId="17" applyFont="1" applyBorder="1">
      <alignment vertical="center"/>
    </xf>
    <xf numFmtId="38" fontId="95" fillId="0" borderId="90" xfId="17" applyFont="1" applyBorder="1">
      <alignment vertical="center"/>
    </xf>
    <xf numFmtId="38" fontId="95" fillId="0" borderId="0" xfId="0" applyNumberFormat="1" applyFont="1">
      <alignment vertical="center"/>
    </xf>
    <xf numFmtId="38" fontId="95" fillId="0" borderId="96" xfId="17" applyFont="1" applyBorder="1">
      <alignment vertical="center"/>
    </xf>
    <xf numFmtId="38" fontId="95" fillId="0" borderId="0" xfId="17" applyFont="1">
      <alignment vertical="center"/>
    </xf>
    <xf numFmtId="38" fontId="95" fillId="0" borderId="95" xfId="17" applyFont="1" applyBorder="1">
      <alignment vertical="center"/>
    </xf>
    <xf numFmtId="0" fontId="95" fillId="0" borderId="1" xfId="0" applyFont="1" applyBorder="1" applyAlignment="1">
      <alignment horizontal="center"/>
    </xf>
    <xf numFmtId="38" fontId="95" fillId="0" borderId="1" xfId="17" applyFont="1" applyBorder="1" applyAlignment="1"/>
    <xf numFmtId="196" fontId="95" fillId="0" borderId="1" xfId="0" applyNumberFormat="1" applyFont="1" applyBorder="1" applyAlignment="1"/>
    <xf numFmtId="0" fontId="10" fillId="0" borderId="35" xfId="3" applyBorder="1" applyAlignment="1">
      <alignment horizontal="center" vertical="center"/>
    </xf>
    <xf numFmtId="0" fontId="15" fillId="0" borderId="5" xfId="3" applyFont="1" applyBorder="1" applyAlignment="1">
      <alignment horizontal="center" vertical="center" wrapText="1"/>
    </xf>
    <xf numFmtId="0" fontId="15" fillId="0" borderId="1" xfId="3" applyFont="1" applyBorder="1" applyAlignment="1">
      <alignment horizontal="center" vertical="center" wrapText="1"/>
    </xf>
    <xf numFmtId="0" fontId="10" fillId="0" borderId="36" xfId="3" applyBorder="1" applyAlignment="1">
      <alignment vertical="center"/>
    </xf>
    <xf numFmtId="0" fontId="10" fillId="0" borderId="5" xfId="3" applyBorder="1" applyAlignment="1">
      <alignment vertical="center"/>
    </xf>
    <xf numFmtId="0" fontId="9" fillId="0" borderId="0" xfId="3" applyFont="1" applyAlignment="1">
      <alignment vertical="top" wrapText="1"/>
    </xf>
    <xf numFmtId="0" fontId="10" fillId="0" borderId="0" xfId="3" applyAlignment="1">
      <alignment horizontal="right" vertical="center"/>
    </xf>
    <xf numFmtId="0" fontId="9" fillId="0" borderId="1" xfId="9" applyFont="1" applyBorder="1" applyAlignment="1" applyProtection="1">
      <alignment horizontal="center" vertical="center" wrapText="1"/>
      <protection locked="0"/>
    </xf>
    <xf numFmtId="189" fontId="95" fillId="0" borderId="0" xfId="0" applyNumberFormat="1" applyFont="1" applyAlignment="1">
      <alignment horizontal="center" vertical="center"/>
    </xf>
    <xf numFmtId="177" fontId="95" fillId="0" borderId="0" xfId="0" applyNumberFormat="1" applyFont="1" applyAlignment="1">
      <alignment horizontal="center" vertical="center"/>
    </xf>
    <xf numFmtId="176" fontId="95" fillId="0" borderId="0" xfId="0" applyNumberFormat="1" applyFont="1" applyAlignment="1">
      <alignment horizontal="center" vertical="center"/>
    </xf>
    <xf numFmtId="180" fontId="95" fillId="0" borderId="0" xfId="0" applyNumberFormat="1" applyFont="1" applyAlignment="1">
      <alignment horizontal="center" vertical="center" shrinkToFit="1"/>
    </xf>
    <xf numFmtId="176" fontId="95" fillId="9" borderId="1" xfId="0" applyNumberFormat="1" applyFont="1" applyFill="1" applyBorder="1" applyAlignment="1" applyProtection="1">
      <alignment horizontal="center" vertical="center"/>
      <protection locked="0" hidden="1"/>
    </xf>
    <xf numFmtId="176" fontId="95" fillId="9" borderId="1" xfId="0" quotePrefix="1" applyNumberFormat="1" applyFont="1" applyFill="1" applyBorder="1" applyAlignment="1" applyProtection="1">
      <alignment horizontal="center" vertical="center"/>
      <protection locked="0" hidden="1"/>
    </xf>
    <xf numFmtId="176" fontId="95" fillId="0" borderId="1" xfId="0" applyNumberFormat="1" applyFont="1" applyBorder="1" applyAlignment="1">
      <alignment horizontal="center" vertical="center"/>
    </xf>
    <xf numFmtId="0" fontId="99" fillId="0" borderId="2" xfId="3" applyFont="1" applyBorder="1" applyAlignment="1">
      <alignment horizontal="center" vertical="center"/>
    </xf>
    <xf numFmtId="0" fontId="10" fillId="0" borderId="0" xfId="3" applyAlignment="1">
      <alignment horizontal="left" shrinkToFit="1"/>
    </xf>
    <xf numFmtId="183" fontId="95" fillId="0" borderId="1" xfId="0" applyNumberFormat="1" applyFont="1" applyBorder="1" applyProtection="1">
      <alignment vertical="center"/>
      <protection locked="0" hidden="1"/>
    </xf>
    <xf numFmtId="0" fontId="95" fillId="0" borderId="1" xfId="0" applyFont="1" applyBorder="1" applyProtection="1">
      <alignment vertical="center"/>
      <protection locked="0" hidden="1"/>
    </xf>
    <xf numFmtId="0" fontId="95" fillId="0" borderId="4" xfId="0" applyFont="1" applyBorder="1" applyAlignment="1">
      <alignment horizontal="center" vertical="center" wrapText="1" shrinkToFit="1"/>
    </xf>
    <xf numFmtId="0" fontId="8" fillId="6" borderId="0" xfId="1" applyFont="1" applyFill="1" applyProtection="1">
      <protection locked="0"/>
    </xf>
    <xf numFmtId="0" fontId="14" fillId="0" borderId="28" xfId="1" applyFont="1" applyBorder="1" applyAlignment="1">
      <alignment horizontal="center" vertical="center"/>
    </xf>
    <xf numFmtId="0" fontId="13" fillId="0" borderId="97" xfId="1" applyFont="1" applyBorder="1" applyAlignment="1" applyProtection="1">
      <alignment horizontal="center" vertical="center" wrapText="1"/>
      <protection locked="0"/>
    </xf>
    <xf numFmtId="0" fontId="104" fillId="4" borderId="5" xfId="8" applyFont="1" applyFill="1" applyBorder="1" applyAlignment="1" applyProtection="1">
      <alignment horizontal="center" vertical="center" shrinkToFit="1"/>
      <protection locked="0"/>
    </xf>
    <xf numFmtId="0" fontId="104" fillId="4" borderId="1" xfId="8" applyFont="1" applyFill="1" applyBorder="1" applyAlignment="1" applyProtection="1">
      <alignment horizontal="center" vertical="center" shrinkToFit="1"/>
      <protection locked="0"/>
    </xf>
    <xf numFmtId="183" fontId="122" fillId="0" borderId="1" xfId="0" applyNumberFormat="1" applyFont="1" applyBorder="1">
      <alignment vertical="center"/>
    </xf>
    <xf numFmtId="0" fontId="97" fillId="0" borderId="0" xfId="0" applyFont="1">
      <alignment vertical="center"/>
    </xf>
    <xf numFmtId="183" fontId="95" fillId="0" borderId="1" xfId="0" applyNumberFormat="1" applyFont="1" applyBorder="1" applyAlignment="1" applyProtection="1">
      <alignment horizontal="center" vertical="center"/>
      <protection locked="0" hidden="1"/>
    </xf>
    <xf numFmtId="178" fontId="95" fillId="0" borderId="0" xfId="8" applyNumberFormat="1" applyFont="1"/>
    <xf numFmtId="0" fontId="102" fillId="0" borderId="0" xfId="8" applyFont="1"/>
    <xf numFmtId="0" fontId="99" fillId="0" borderId="0" xfId="8" applyFont="1"/>
    <xf numFmtId="0" fontId="95" fillId="0" borderId="0" xfId="8" applyFont="1" applyAlignment="1">
      <alignment vertical="center" wrapText="1"/>
    </xf>
    <xf numFmtId="0" fontId="102" fillId="0" borderId="0" xfId="8" applyFont="1" applyAlignment="1">
      <alignment vertical="center" wrapText="1"/>
    </xf>
    <xf numFmtId="0" fontId="99" fillId="0" borderId="0" xfId="8" applyFont="1" applyAlignment="1">
      <alignment vertical="center" wrapText="1"/>
    </xf>
    <xf numFmtId="0" fontId="95" fillId="4" borderId="0" xfId="8" applyFont="1" applyFill="1"/>
    <xf numFmtId="0" fontId="95" fillId="6" borderId="0" xfId="8" applyFont="1" applyFill="1"/>
    <xf numFmtId="0" fontId="123" fillId="0" borderId="0" xfId="8" applyFont="1"/>
    <xf numFmtId="0" fontId="54" fillId="0" borderId="0" xfId="0" applyFont="1">
      <alignment vertical="center"/>
    </xf>
    <xf numFmtId="0" fontId="99" fillId="0" borderId="0" xfId="3" applyFont="1" applyAlignment="1">
      <alignment horizontal="left"/>
    </xf>
    <xf numFmtId="38" fontId="27" fillId="0" borderId="0" xfId="4" applyNumberFormat="1" applyAlignment="1">
      <alignment vertical="center"/>
    </xf>
    <xf numFmtId="0" fontId="125" fillId="0" borderId="0" xfId="3" applyFont="1" applyAlignment="1">
      <alignment horizontal="center" vertical="center"/>
    </xf>
    <xf numFmtId="0" fontId="107" fillId="6" borderId="0" xfId="3" quotePrefix="1" applyFont="1" applyFill="1" applyAlignment="1">
      <alignment horizontal="right" vertical="top"/>
    </xf>
    <xf numFmtId="0" fontId="107" fillId="9" borderId="10" xfId="3" applyFont="1" applyFill="1" applyBorder="1"/>
    <xf numFmtId="0" fontId="107" fillId="9" borderId="12" xfId="3" applyFont="1" applyFill="1" applyBorder="1"/>
    <xf numFmtId="0" fontId="107" fillId="9" borderId="9" xfId="3" applyFont="1" applyFill="1" applyBorder="1"/>
    <xf numFmtId="0" fontId="107" fillId="9" borderId="13" xfId="3" applyFont="1" applyFill="1" applyBorder="1"/>
    <xf numFmtId="38" fontId="95" fillId="0" borderId="5" xfId="17" applyFont="1" applyFill="1" applyBorder="1" applyProtection="1">
      <alignment vertical="center"/>
      <protection locked="0"/>
    </xf>
    <xf numFmtId="0" fontId="102" fillId="6" borderId="0" xfId="9" applyFont="1" applyFill="1">
      <alignment vertical="center"/>
    </xf>
    <xf numFmtId="0" fontId="102" fillId="6" borderId="0" xfId="9" applyFont="1" applyFill="1" applyAlignment="1">
      <alignment horizontal="center" vertical="center"/>
    </xf>
    <xf numFmtId="0" fontId="102" fillId="0" borderId="0" xfId="9" applyFont="1">
      <alignment vertical="center"/>
    </xf>
    <xf numFmtId="0" fontId="128" fillId="6" borderId="0" xfId="9" applyFont="1" applyFill="1">
      <alignment vertical="center"/>
    </xf>
    <xf numFmtId="0" fontId="128" fillId="6" borderId="0" xfId="9" applyFont="1" applyFill="1" applyAlignment="1">
      <alignment horizontal="left" vertical="center"/>
    </xf>
    <xf numFmtId="0" fontId="102" fillId="10" borderId="0" xfId="9" applyFont="1" applyFill="1" applyAlignment="1">
      <alignment horizontal="center" vertical="center"/>
    </xf>
    <xf numFmtId="0" fontId="102" fillId="13" borderId="0" xfId="9" applyFont="1" applyFill="1" applyAlignment="1">
      <alignment horizontal="center" vertical="center" wrapText="1"/>
    </xf>
    <xf numFmtId="0" fontId="102" fillId="15" borderId="0" xfId="9" applyFont="1" applyFill="1" applyAlignment="1">
      <alignment horizontal="center" vertical="center"/>
    </xf>
    <xf numFmtId="0" fontId="128" fillId="6" borderId="47" xfId="10" applyFont="1" applyFill="1" applyBorder="1">
      <alignment vertical="center"/>
    </xf>
    <xf numFmtId="0" fontId="102" fillId="6" borderId="0" xfId="9" applyFont="1" applyFill="1" applyAlignment="1">
      <alignment horizontal="left" vertical="center"/>
    </xf>
    <xf numFmtId="0" fontId="102" fillId="6" borderId="1" xfId="9" applyFont="1" applyFill="1" applyBorder="1">
      <alignment vertical="center"/>
    </xf>
    <xf numFmtId="0" fontId="102" fillId="6" borderId="3" xfId="9" applyFont="1" applyFill="1" applyBorder="1">
      <alignment vertical="center"/>
    </xf>
    <xf numFmtId="0" fontId="102" fillId="6" borderId="5" xfId="9" applyFont="1" applyFill="1" applyBorder="1">
      <alignment vertical="center"/>
    </xf>
    <xf numFmtId="0" fontId="102" fillId="6" borderId="4" xfId="9" applyFont="1" applyFill="1" applyBorder="1">
      <alignment vertical="center"/>
    </xf>
    <xf numFmtId="0" fontId="128" fillId="6" borderId="0" xfId="10" applyFont="1" applyFill="1">
      <alignment vertical="center"/>
    </xf>
    <xf numFmtId="0" fontId="102" fillId="6" borderId="1" xfId="9" applyFont="1" applyFill="1" applyBorder="1" applyAlignment="1">
      <alignment vertical="center" wrapText="1"/>
    </xf>
    <xf numFmtId="0" fontId="102" fillId="10" borderId="0" xfId="0" applyFont="1" applyFill="1" applyAlignment="1"/>
    <xf numFmtId="0" fontId="102" fillId="13" borderId="0" xfId="9" applyFont="1" applyFill="1" applyAlignment="1">
      <alignment horizontal="center" vertical="center"/>
    </xf>
    <xf numFmtId="0" fontId="102" fillId="0" borderId="0" xfId="9" applyFont="1" applyAlignment="1">
      <alignment horizontal="center" vertical="center"/>
    </xf>
    <xf numFmtId="0" fontId="102" fillId="0" borderId="1" xfId="9" applyFont="1" applyBorder="1" applyAlignment="1">
      <alignment horizontal="center" vertical="center"/>
    </xf>
    <xf numFmtId="0" fontId="102" fillId="0" borderId="1" xfId="0" applyFont="1" applyBorder="1" applyAlignment="1">
      <alignment vertical="center" shrinkToFit="1"/>
    </xf>
    <xf numFmtId="0" fontId="102" fillId="0" borderId="1" xfId="9" applyFont="1" applyBorder="1">
      <alignment vertical="center"/>
    </xf>
    <xf numFmtId="0" fontId="102" fillId="0" borderId="0" xfId="9" applyFont="1" applyAlignment="1">
      <alignment horizontal="left" vertical="center"/>
    </xf>
    <xf numFmtId="0" fontId="102" fillId="0" borderId="0" xfId="0" applyFont="1" applyAlignment="1">
      <alignment horizontal="center" vertical="center"/>
    </xf>
    <xf numFmtId="0" fontId="102" fillId="0" borderId="1" xfId="9" applyFont="1" applyBorder="1" applyAlignment="1">
      <alignment vertical="center" shrinkToFit="1"/>
    </xf>
    <xf numFmtId="0" fontId="102" fillId="6" borderId="0" xfId="0" applyFont="1" applyFill="1">
      <alignment vertical="center"/>
    </xf>
    <xf numFmtId="0" fontId="102" fillId="0" borderId="1" xfId="0" applyFont="1" applyBorder="1" applyAlignment="1">
      <alignment vertical="center" wrapText="1" shrinkToFit="1"/>
    </xf>
    <xf numFmtId="0" fontId="129" fillId="11" borderId="0" xfId="9" applyFont="1" applyFill="1">
      <alignment vertical="center"/>
    </xf>
    <xf numFmtId="0" fontId="102" fillId="11" borderId="0" xfId="9" applyFont="1" applyFill="1">
      <alignment vertical="center"/>
    </xf>
    <xf numFmtId="0" fontId="102" fillId="11" borderId="0" xfId="9" applyFont="1" applyFill="1" applyAlignment="1">
      <alignment horizontal="left" vertical="center"/>
    </xf>
    <xf numFmtId="0" fontId="102" fillId="11" borderId="0" xfId="9" applyFont="1" applyFill="1" applyAlignment="1">
      <alignment horizontal="center" vertical="center"/>
    </xf>
    <xf numFmtId="0" fontId="102" fillId="6" borderId="0" xfId="0" applyFont="1" applyFill="1" applyAlignment="1">
      <alignment vertical="center" wrapText="1"/>
    </xf>
    <xf numFmtId="0" fontId="102" fillId="8" borderId="1" xfId="0" applyFont="1" applyFill="1" applyBorder="1" applyAlignment="1">
      <alignment vertical="center" wrapText="1"/>
    </xf>
    <xf numFmtId="0" fontId="102" fillId="6" borderId="2" xfId="0" applyFont="1" applyFill="1" applyBorder="1" applyAlignment="1">
      <alignment vertical="center" wrapText="1"/>
    </xf>
    <xf numFmtId="0" fontId="102" fillId="6" borderId="1" xfId="9" applyFont="1" applyFill="1" applyBorder="1" applyAlignment="1">
      <alignment horizontal="center" vertical="center" wrapText="1"/>
    </xf>
    <xf numFmtId="0" fontId="102" fillId="6" borderId="1" xfId="0" applyFont="1" applyFill="1" applyBorder="1" applyAlignment="1">
      <alignment vertical="center" wrapText="1"/>
    </xf>
    <xf numFmtId="0" fontId="102" fillId="0" borderId="1" xfId="0" applyFont="1" applyBorder="1">
      <alignment vertical="center"/>
    </xf>
    <xf numFmtId="0" fontId="102" fillId="8" borderId="1" xfId="0" applyFont="1" applyFill="1" applyBorder="1">
      <alignment vertical="center"/>
    </xf>
    <xf numFmtId="49" fontId="102" fillId="8" borderId="1" xfId="0" applyNumberFormat="1" applyFont="1" applyFill="1" applyBorder="1" applyAlignment="1">
      <alignment vertical="center" shrinkToFit="1"/>
    </xf>
    <xf numFmtId="0" fontId="102" fillId="8" borderId="1" xfId="0" applyFont="1" applyFill="1" applyBorder="1" applyAlignment="1">
      <alignment vertical="center" shrinkToFit="1"/>
    </xf>
    <xf numFmtId="0" fontId="102" fillId="9" borderId="1" xfId="0" applyFont="1" applyFill="1" applyBorder="1" applyAlignment="1">
      <alignment horizontal="left" vertical="center"/>
    </xf>
    <xf numFmtId="0" fontId="102" fillId="4" borderId="1" xfId="0" applyFont="1" applyFill="1" applyBorder="1" applyAlignment="1">
      <alignment horizontal="left" vertical="center"/>
    </xf>
    <xf numFmtId="0" fontId="102" fillId="19" borderId="1" xfId="0" applyFont="1" applyFill="1" applyBorder="1" applyAlignment="1">
      <alignment horizontal="left" vertical="center"/>
    </xf>
    <xf numFmtId="0" fontId="102" fillId="8" borderId="15" xfId="0" applyFont="1" applyFill="1" applyBorder="1" applyAlignment="1">
      <alignment horizontal="center" vertical="center" shrinkToFit="1"/>
    </xf>
    <xf numFmtId="0" fontId="102" fillId="8" borderId="1" xfId="0" applyFont="1" applyFill="1" applyBorder="1" applyAlignment="1">
      <alignment horizontal="center" vertical="center" shrinkToFit="1"/>
    </xf>
    <xf numFmtId="0" fontId="102" fillId="19" borderId="0" xfId="0" applyFont="1" applyFill="1" applyAlignment="1">
      <alignment horizontal="left" vertical="center"/>
    </xf>
    <xf numFmtId="0" fontId="102" fillId="8" borderId="22" xfId="9" applyFont="1" applyFill="1" applyBorder="1" applyAlignment="1">
      <alignment horizontal="center" vertical="center" shrinkToFit="1"/>
    </xf>
    <xf numFmtId="0" fontId="102" fillId="8" borderId="1" xfId="9" applyFont="1" applyFill="1" applyBorder="1" applyAlignment="1">
      <alignment horizontal="center" vertical="center" shrinkToFit="1"/>
    </xf>
    <xf numFmtId="0" fontId="102" fillId="8" borderId="34" xfId="9" applyFont="1" applyFill="1" applyBorder="1" applyAlignment="1">
      <alignment horizontal="center" vertical="center" shrinkToFit="1"/>
    </xf>
    <xf numFmtId="0" fontId="102" fillId="8" borderId="34" xfId="0" applyFont="1" applyFill="1" applyBorder="1" applyAlignment="1">
      <alignment horizontal="center" vertical="center" shrinkToFit="1"/>
    </xf>
    <xf numFmtId="0" fontId="102" fillId="6" borderId="1" xfId="9" applyFont="1" applyFill="1" applyBorder="1" applyAlignment="1">
      <alignment horizontal="center" vertical="center" shrinkToFit="1"/>
    </xf>
    <xf numFmtId="0" fontId="102" fillId="6" borderId="1" xfId="9" applyFont="1" applyFill="1" applyBorder="1" applyAlignment="1">
      <alignment horizontal="center" vertical="center"/>
    </xf>
    <xf numFmtId="0" fontId="102" fillId="6" borderId="1" xfId="0" applyFont="1" applyFill="1" applyBorder="1">
      <alignment vertical="center"/>
    </xf>
    <xf numFmtId="0" fontId="102" fillId="9" borderId="1" xfId="0" applyFont="1" applyFill="1" applyBorder="1">
      <alignment vertical="center"/>
    </xf>
    <xf numFmtId="0" fontId="102" fillId="19" borderId="1" xfId="0" applyFont="1" applyFill="1" applyBorder="1">
      <alignment vertical="center"/>
    </xf>
    <xf numFmtId="2" fontId="104" fillId="21" borderId="4" xfId="8" applyNumberFormat="1" applyFont="1" applyFill="1" applyBorder="1" applyAlignment="1">
      <alignment horizontal="center" vertical="center" shrinkToFit="1"/>
    </xf>
    <xf numFmtId="0" fontId="89" fillId="31" borderId="0" xfId="0" applyFont="1" applyFill="1">
      <alignment vertical="center"/>
    </xf>
    <xf numFmtId="0" fontId="92" fillId="31" borderId="1" xfId="0" applyFont="1" applyFill="1" applyBorder="1" applyAlignment="1">
      <alignment horizontal="center" vertical="center" wrapText="1"/>
    </xf>
    <xf numFmtId="0" fontId="89" fillId="31" borderId="1" xfId="0" applyFont="1" applyFill="1" applyBorder="1" applyAlignment="1">
      <alignment horizontal="left" vertical="center" wrapText="1"/>
    </xf>
    <xf numFmtId="0" fontId="89" fillId="31" borderId="1" xfId="0" applyFont="1" applyFill="1" applyBorder="1" applyAlignment="1">
      <alignment vertical="center" wrapText="1"/>
    </xf>
    <xf numFmtId="0" fontId="89" fillId="31" borderId="1" xfId="0" applyFont="1" applyFill="1" applyBorder="1" applyAlignment="1">
      <alignment horizontal="left" vertical="center" shrinkToFit="1"/>
    </xf>
    <xf numFmtId="0" fontId="95" fillId="31" borderId="0" xfId="0" applyFont="1" applyFill="1">
      <alignment vertical="center"/>
    </xf>
    <xf numFmtId="0" fontId="96" fillId="31" borderId="0" xfId="0" applyFont="1" applyFill="1" applyAlignment="1">
      <alignment vertical="center" wrapText="1"/>
    </xf>
    <xf numFmtId="0" fontId="95" fillId="31" borderId="1" xfId="0" applyFont="1" applyFill="1" applyBorder="1">
      <alignment vertical="center"/>
    </xf>
    <xf numFmtId="0" fontId="95" fillId="31" borderId="1" xfId="0" applyFont="1" applyFill="1" applyBorder="1" applyAlignment="1">
      <alignment horizontal="left" vertical="center" wrapText="1"/>
    </xf>
    <xf numFmtId="0" fontId="90" fillId="31" borderId="0" xfId="1" applyFont="1" applyFill="1" applyAlignment="1">
      <alignment vertical="center"/>
    </xf>
    <xf numFmtId="0" fontId="91" fillId="31" borderId="1" xfId="1" applyFont="1" applyFill="1" applyBorder="1" applyAlignment="1">
      <alignment horizontal="center" vertical="center"/>
    </xf>
    <xf numFmtId="0" fontId="90" fillId="31" borderId="1" xfId="1" applyFont="1" applyFill="1" applyBorder="1" applyAlignment="1">
      <alignment vertical="center"/>
    </xf>
    <xf numFmtId="0" fontId="90" fillId="31" borderId="1" xfId="1" applyFont="1" applyFill="1" applyBorder="1" applyAlignment="1">
      <alignment vertical="center" wrapText="1"/>
    </xf>
    <xf numFmtId="0" fontId="10" fillId="31" borderId="0" xfId="3" applyFill="1"/>
    <xf numFmtId="0" fontId="90" fillId="31" borderId="0" xfId="3" applyFont="1" applyFill="1"/>
    <xf numFmtId="0" fontId="95" fillId="15" borderId="0" xfId="8" applyFont="1" applyFill="1" applyAlignment="1">
      <alignment horizontal="center"/>
    </xf>
    <xf numFmtId="0" fontId="95" fillId="11" borderId="0" xfId="8" applyFont="1" applyFill="1" applyAlignment="1">
      <alignment horizontal="center"/>
    </xf>
    <xf numFmtId="0" fontId="95" fillId="12" borderId="0" xfId="8" applyFont="1" applyFill="1" applyAlignment="1">
      <alignment horizontal="center"/>
    </xf>
    <xf numFmtId="0" fontId="95" fillId="4" borderId="0" xfId="8" applyFont="1" applyFill="1" applyAlignment="1">
      <alignment horizontal="center"/>
    </xf>
    <xf numFmtId="0" fontId="95" fillId="13" borderId="0" xfId="8" applyFont="1" applyFill="1" applyAlignment="1">
      <alignment horizontal="center"/>
    </xf>
    <xf numFmtId="0" fontId="95" fillId="14" borderId="0" xfId="8" applyFont="1" applyFill="1" applyAlignment="1">
      <alignment horizontal="center"/>
    </xf>
    <xf numFmtId="0" fontId="102" fillId="15" borderId="2" xfId="9" applyFont="1" applyFill="1" applyBorder="1" applyAlignment="1">
      <alignment horizontal="center" vertical="center"/>
    </xf>
    <xf numFmtId="0" fontId="102" fillId="6" borderId="9" xfId="0" applyFont="1" applyFill="1" applyBorder="1" applyAlignment="1">
      <alignment horizontal="left" vertical="center" wrapText="1"/>
    </xf>
    <xf numFmtId="0" fontId="102" fillId="6" borderId="2" xfId="0" applyFont="1" applyFill="1" applyBorder="1" applyAlignment="1">
      <alignment horizontal="left" vertical="center" wrapText="1"/>
    </xf>
    <xf numFmtId="0" fontId="95" fillId="17" borderId="38" xfId="0" applyFont="1" applyFill="1" applyBorder="1" applyAlignment="1">
      <alignment horizontal="left" vertical="center" wrapText="1"/>
    </xf>
    <xf numFmtId="0" fontId="95" fillId="17" borderId="6" xfId="0" applyFont="1" applyFill="1" applyBorder="1" applyAlignment="1">
      <alignment horizontal="left" vertical="center" wrapText="1"/>
    </xf>
    <xf numFmtId="0" fontId="104" fillId="17" borderId="4" xfId="8" applyFont="1" applyFill="1" applyBorder="1" applyAlignment="1">
      <alignment horizontal="right" vertical="center"/>
    </xf>
    <xf numFmtId="0" fontId="104" fillId="17" borderId="3" xfId="8" applyFont="1" applyFill="1" applyBorder="1" applyAlignment="1">
      <alignment horizontal="right" vertical="center"/>
    </xf>
    <xf numFmtId="0" fontId="104" fillId="17" borderId="5" xfId="8" applyFont="1" applyFill="1" applyBorder="1" applyAlignment="1">
      <alignment horizontal="right" vertical="center"/>
    </xf>
    <xf numFmtId="0" fontId="104" fillId="17" borderId="10" xfId="8" applyFont="1" applyFill="1" applyBorder="1" applyAlignment="1">
      <alignment horizontal="right" vertical="center"/>
    </xf>
    <xf numFmtId="0" fontId="104" fillId="17" borderId="11" xfId="8" applyFont="1" applyFill="1" applyBorder="1" applyAlignment="1">
      <alignment horizontal="right" vertical="center"/>
    </xf>
    <xf numFmtId="0" fontId="104" fillId="17" borderId="12" xfId="8" applyFont="1" applyFill="1" applyBorder="1" applyAlignment="1">
      <alignment horizontal="right" vertical="center"/>
    </xf>
    <xf numFmtId="0" fontId="95" fillId="0" borderId="12" xfId="8" applyFont="1" applyBorder="1" applyAlignment="1">
      <alignment horizontal="center" shrinkToFit="1"/>
    </xf>
    <xf numFmtId="0" fontId="95" fillId="0" borderId="38" xfId="8" applyFont="1" applyBorder="1" applyAlignment="1">
      <alignment horizontal="center" shrinkToFit="1"/>
    </xf>
    <xf numFmtId="0" fontId="95" fillId="0" borderId="22" xfId="8" applyFont="1" applyBorder="1" applyAlignment="1">
      <alignment horizontal="center" shrinkToFit="1"/>
    </xf>
    <xf numFmtId="0" fontId="95" fillId="0" borderId="34" xfId="8" applyFont="1" applyBorder="1" applyAlignment="1">
      <alignment horizontal="center" shrinkToFit="1"/>
    </xf>
    <xf numFmtId="0" fontId="104" fillId="17" borderId="34" xfId="8" applyFont="1" applyFill="1" applyBorder="1" applyAlignment="1">
      <alignment horizontal="center" vertical="center"/>
    </xf>
    <xf numFmtId="0" fontId="104" fillId="17" borderId="38" xfId="8" applyFont="1" applyFill="1" applyBorder="1" applyAlignment="1">
      <alignment horizontal="center" vertical="center"/>
    </xf>
    <xf numFmtId="0" fontId="104" fillId="17" borderId="22" xfId="8" applyFont="1" applyFill="1" applyBorder="1" applyAlignment="1">
      <alignment horizontal="center" vertical="center"/>
    </xf>
    <xf numFmtId="0" fontId="104" fillId="17" borderId="10" xfId="8" applyFont="1" applyFill="1" applyBorder="1" applyAlignment="1">
      <alignment horizontal="center" vertical="center"/>
    </xf>
    <xf numFmtId="0" fontId="104" fillId="17" borderId="11" xfId="8" applyFont="1" applyFill="1" applyBorder="1" applyAlignment="1">
      <alignment horizontal="center" vertical="center"/>
    </xf>
    <xf numFmtId="0" fontId="104" fillId="17" borderId="12" xfId="8" applyFont="1" applyFill="1" applyBorder="1" applyAlignment="1">
      <alignment horizontal="center" vertical="center"/>
    </xf>
    <xf numFmtId="0" fontId="104" fillId="17" borderId="4" xfId="8" applyFont="1" applyFill="1" applyBorder="1" applyAlignment="1">
      <alignment horizontal="center" vertical="center"/>
    </xf>
    <xf numFmtId="0" fontId="104" fillId="17" borderId="5" xfId="8" applyFont="1" applyFill="1" applyBorder="1" applyAlignment="1">
      <alignment horizontal="center" vertical="center"/>
    </xf>
    <xf numFmtId="0" fontId="104" fillId="17" borderId="34" xfId="8" applyFont="1" applyFill="1" applyBorder="1" applyAlignment="1">
      <alignment horizontal="center" vertical="center" shrinkToFit="1"/>
    </xf>
    <xf numFmtId="0" fontId="104" fillId="17" borderId="38" xfId="8" applyFont="1" applyFill="1" applyBorder="1" applyAlignment="1">
      <alignment horizontal="center" vertical="center" shrinkToFit="1"/>
    </xf>
    <xf numFmtId="0" fontId="104" fillId="17" borderId="1" xfId="8" applyFont="1" applyFill="1" applyBorder="1" applyAlignment="1">
      <alignment horizontal="center" vertical="center"/>
    </xf>
    <xf numFmtId="0" fontId="104" fillId="17" borderId="34" xfId="8" applyFont="1" applyFill="1" applyBorder="1" applyAlignment="1">
      <alignment horizontal="center" vertical="center" wrapText="1"/>
    </xf>
    <xf numFmtId="0" fontId="104" fillId="17" borderId="7" xfId="8" applyFont="1" applyFill="1" applyBorder="1" applyAlignment="1">
      <alignment horizontal="center" vertical="center"/>
    </xf>
    <xf numFmtId="0" fontId="104" fillId="13" borderId="34" xfId="8" applyFont="1" applyFill="1" applyBorder="1" applyAlignment="1">
      <alignment horizontal="center" vertical="center" wrapText="1"/>
    </xf>
    <xf numFmtId="0" fontId="104" fillId="13" borderId="22" xfId="8" applyFont="1" applyFill="1" applyBorder="1" applyAlignment="1">
      <alignment horizontal="center" vertical="center" wrapText="1"/>
    </xf>
    <xf numFmtId="0" fontId="104" fillId="17" borderId="12" xfId="8" applyFont="1" applyFill="1" applyBorder="1" applyAlignment="1">
      <alignment horizontal="center" vertical="center" wrapText="1"/>
    </xf>
    <xf numFmtId="0" fontId="104" fillId="17" borderId="22" xfId="8" applyFont="1" applyFill="1" applyBorder="1" applyAlignment="1">
      <alignment horizontal="center" vertical="center" wrapText="1"/>
    </xf>
    <xf numFmtId="0" fontId="104" fillId="17" borderId="10" xfId="8" applyFont="1" applyFill="1" applyBorder="1" applyAlignment="1">
      <alignment horizontal="center" vertical="center" wrapText="1"/>
    </xf>
    <xf numFmtId="0" fontId="104" fillId="14" borderId="34" xfId="8" applyFont="1" applyFill="1" applyBorder="1" applyAlignment="1">
      <alignment horizontal="center" vertical="center" wrapText="1"/>
    </xf>
    <xf numFmtId="0" fontId="104" fillId="14" borderId="38" xfId="8" applyFont="1" applyFill="1" applyBorder="1" applyAlignment="1">
      <alignment horizontal="center" vertical="center" wrapText="1"/>
    </xf>
    <xf numFmtId="0" fontId="104" fillId="14" borderId="22" xfId="8" applyFont="1" applyFill="1" applyBorder="1" applyAlignment="1">
      <alignment horizontal="center" vertical="center" wrapText="1"/>
    </xf>
    <xf numFmtId="0" fontId="104" fillId="17" borderId="13" xfId="8" applyFont="1" applyFill="1" applyBorder="1" applyAlignment="1">
      <alignment horizontal="center" vertical="center"/>
    </xf>
    <xf numFmtId="0" fontId="104" fillId="17" borderId="85" xfId="8" applyFont="1" applyFill="1" applyBorder="1" applyAlignment="1">
      <alignment horizontal="center" vertical="center"/>
    </xf>
    <xf numFmtId="0" fontId="106" fillId="6" borderId="0" xfId="3" applyFont="1" applyFill="1" applyAlignment="1">
      <alignment horizontal="center"/>
    </xf>
    <xf numFmtId="58" fontId="107" fillId="6" borderId="0" xfId="3" applyNumberFormat="1" applyFont="1" applyFill="1" applyAlignment="1">
      <alignment horizontal="center"/>
    </xf>
    <xf numFmtId="0" fontId="108" fillId="6" borderId="0" xfId="3" applyFont="1" applyFill="1"/>
    <xf numFmtId="0" fontId="107" fillId="6" borderId="0" xfId="3" applyFont="1" applyFill="1" applyAlignment="1">
      <alignment horizontal="left" vertical="top" wrapText="1"/>
    </xf>
    <xf numFmtId="0" fontId="109" fillId="6" borderId="0" xfId="3" applyFont="1" applyFill="1" applyAlignment="1">
      <alignment horizontal="left" vertical="center" shrinkToFit="1"/>
    </xf>
    <xf numFmtId="0" fontId="110" fillId="6" borderId="0" xfId="3" applyFont="1" applyFill="1" applyAlignment="1">
      <alignment horizontal="left" vertical="center"/>
    </xf>
    <xf numFmtId="0" fontId="107" fillId="6" borderId="0" xfId="3" applyFont="1" applyFill="1"/>
    <xf numFmtId="0" fontId="111" fillId="6" borderId="0" xfId="7" applyFont="1" applyFill="1" applyAlignment="1">
      <alignment horizontal="left"/>
    </xf>
    <xf numFmtId="0" fontId="107" fillId="6" borderId="0" xfId="3" applyFont="1" applyFill="1" applyAlignment="1">
      <alignment vertical="center" wrapText="1"/>
    </xf>
    <xf numFmtId="0" fontId="110" fillId="6" borderId="0" xfId="3" applyFont="1" applyFill="1"/>
    <xf numFmtId="0" fontId="111" fillId="0" borderId="0" xfId="7" applyFont="1" applyFill="1" applyAlignment="1" applyProtection="1"/>
    <xf numFmtId="0" fontId="110" fillId="0" borderId="0" xfId="3" applyFont="1"/>
    <xf numFmtId="0" fontId="107" fillId="6" borderId="0" xfId="3" applyFont="1" applyFill="1" applyAlignment="1">
      <alignment wrapText="1"/>
    </xf>
    <xf numFmtId="0" fontId="36" fillId="6" borderId="0" xfId="3" applyFont="1" applyFill="1"/>
    <xf numFmtId="0" fontId="35" fillId="6" borderId="0" xfId="7" applyFill="1" applyAlignment="1">
      <alignment horizontal="left"/>
    </xf>
    <xf numFmtId="0" fontId="76" fillId="18" borderId="0" xfId="3" applyFont="1" applyFill="1" applyAlignment="1">
      <alignment horizontal="center" vertical="center"/>
    </xf>
    <xf numFmtId="0" fontId="39" fillId="6" borderId="57" xfId="3" applyFont="1" applyFill="1" applyBorder="1" applyAlignment="1">
      <alignment horizontal="left" vertical="center" wrapText="1"/>
    </xf>
    <xf numFmtId="0" fontId="37" fillId="6" borderId="0" xfId="3" applyFont="1" applyFill="1"/>
    <xf numFmtId="0" fontId="36" fillId="6" borderId="0" xfId="3" applyFont="1" applyFill="1" applyAlignment="1">
      <alignment horizontal="left" vertical="top" wrapText="1"/>
    </xf>
    <xf numFmtId="0" fontId="82" fillId="6" borderId="0" xfId="3" applyFont="1" applyFill="1" applyAlignment="1">
      <alignment horizontal="left" vertical="top" shrinkToFit="1"/>
    </xf>
    <xf numFmtId="0" fontId="36" fillId="6" borderId="0" xfId="3" applyFont="1" applyFill="1" applyAlignment="1">
      <alignment vertical="center" wrapText="1"/>
    </xf>
    <xf numFmtId="0" fontId="37" fillId="6" borderId="0" xfId="3" applyFont="1" applyFill="1" applyAlignment="1">
      <alignment horizontal="left"/>
    </xf>
    <xf numFmtId="0" fontId="38" fillId="6" borderId="0" xfId="3" applyFont="1" applyFill="1"/>
    <xf numFmtId="0" fontId="35" fillId="0" borderId="0" xfId="7" applyFill="1" applyAlignment="1"/>
    <xf numFmtId="0" fontId="38" fillId="0" borderId="0" xfId="3" applyFont="1"/>
    <xf numFmtId="0" fontId="83" fillId="6" borderId="0" xfId="3" applyFont="1" applyFill="1" applyAlignment="1">
      <alignment vertical="top"/>
    </xf>
    <xf numFmtId="0" fontId="82" fillId="6" borderId="0" xfId="3" applyFont="1" applyFill="1" applyAlignment="1">
      <alignment horizontal="center" vertical="top" shrinkToFit="1"/>
    </xf>
    <xf numFmtId="0" fontId="36" fillId="6" borderId="0" xfId="3" applyFont="1" applyFill="1" applyAlignment="1">
      <alignment horizontal="left" vertical="top" wrapText="1" indent="2"/>
    </xf>
    <xf numFmtId="0" fontId="36" fillId="6" borderId="0" xfId="3" applyFont="1" applyFill="1" applyAlignment="1">
      <alignment vertical="top"/>
    </xf>
    <xf numFmtId="0" fontId="39" fillId="4" borderId="31" xfId="3" applyFont="1" applyFill="1" applyBorder="1" applyAlignment="1">
      <alignment vertical="center" wrapText="1"/>
    </xf>
    <xf numFmtId="0" fontId="36" fillId="4" borderId="32" xfId="3" applyFont="1" applyFill="1" applyBorder="1" applyAlignment="1">
      <alignment vertical="center"/>
    </xf>
    <xf numFmtId="0" fontId="36" fillId="4" borderId="33" xfId="3" applyFont="1" applyFill="1" applyBorder="1" applyAlignment="1">
      <alignment vertical="center"/>
    </xf>
    <xf numFmtId="0" fontId="108" fillId="6" borderId="0" xfId="3" applyFont="1" applyFill="1" applyAlignment="1">
      <alignment horizontal="left"/>
    </xf>
    <xf numFmtId="0" fontId="111" fillId="0" borderId="0" xfId="7" applyFont="1" applyFill="1" applyAlignment="1"/>
    <xf numFmtId="0" fontId="127" fillId="6" borderId="0" xfId="7" applyFont="1" applyFill="1" applyAlignment="1">
      <alignment horizontal="center" vertical="center"/>
    </xf>
    <xf numFmtId="0" fontId="108" fillId="6" borderId="0" xfId="3" applyFont="1" applyFill="1" applyAlignment="1">
      <alignment vertical="center"/>
    </xf>
    <xf numFmtId="0" fontId="107" fillId="6" borderId="6" xfId="3" applyFont="1" applyFill="1" applyBorder="1" applyAlignment="1">
      <alignment horizontal="left" vertical="center" wrapText="1"/>
    </xf>
    <xf numFmtId="0" fontId="107" fillId="6" borderId="0" xfId="3" applyFont="1" applyFill="1" applyAlignment="1">
      <alignment horizontal="left" vertical="center" wrapText="1"/>
    </xf>
    <xf numFmtId="0" fontId="23" fillId="6" borderId="0" xfId="3" applyFont="1" applyFill="1" applyAlignment="1">
      <alignment horizontal="center"/>
    </xf>
    <xf numFmtId="0" fontId="72" fillId="6" borderId="0" xfId="3" applyFont="1" applyFill="1" applyAlignment="1">
      <alignment horizontal="center" vertical="center"/>
    </xf>
    <xf numFmtId="55" fontId="36" fillId="6" borderId="0" xfId="3" applyNumberFormat="1" applyFont="1" applyFill="1" applyAlignment="1">
      <alignment horizontal="center"/>
    </xf>
    <xf numFmtId="0" fontId="36" fillId="6" borderId="0" xfId="3" applyFont="1" applyFill="1" applyAlignment="1">
      <alignment horizontal="center"/>
    </xf>
    <xf numFmtId="0" fontId="36" fillId="4" borderId="10" xfId="3" applyFont="1" applyFill="1" applyBorder="1" applyAlignment="1">
      <alignment horizontal="center"/>
    </xf>
    <xf numFmtId="0" fontId="36" fillId="4" borderId="12" xfId="3" applyFont="1" applyFill="1" applyBorder="1" applyAlignment="1">
      <alignment horizontal="center"/>
    </xf>
    <xf numFmtId="0" fontId="36" fillId="4" borderId="9" xfId="3" applyFont="1" applyFill="1" applyBorder="1" applyAlignment="1">
      <alignment horizontal="center"/>
    </xf>
    <xf numFmtId="0" fontId="36" fillId="4" borderId="13" xfId="3" applyFont="1" applyFill="1" applyBorder="1" applyAlignment="1">
      <alignment horizontal="center"/>
    </xf>
    <xf numFmtId="0" fontId="36" fillId="6" borderId="0" xfId="3" applyFont="1" applyFill="1" applyAlignment="1">
      <alignment horizontal="left" vertical="center" wrapText="1"/>
    </xf>
    <xf numFmtId="0" fontId="73" fillId="6" borderId="0" xfId="3" applyFont="1" applyFill="1" applyAlignment="1">
      <alignment horizontal="left" shrinkToFit="1"/>
    </xf>
    <xf numFmtId="0" fontId="99" fillId="6" borderId="0" xfId="0" applyFont="1" applyFill="1" applyAlignment="1">
      <alignment horizontal="left" vertical="center"/>
    </xf>
    <xf numFmtId="0" fontId="95" fillId="4" borderId="31" xfId="0" applyFont="1" applyFill="1" applyBorder="1" applyAlignment="1" applyProtection="1">
      <alignment horizontal="left" vertical="center"/>
      <protection locked="0"/>
    </xf>
    <xf numFmtId="0" fontId="95" fillId="4" borderId="32" xfId="0" applyFont="1" applyFill="1" applyBorder="1" applyAlignment="1" applyProtection="1">
      <alignment horizontal="left" vertical="center"/>
      <protection locked="0"/>
    </xf>
    <xf numFmtId="0" fontId="95" fillId="4" borderId="33" xfId="0" applyFont="1" applyFill="1" applyBorder="1" applyAlignment="1" applyProtection="1">
      <alignment horizontal="left" vertical="center"/>
      <protection locked="0"/>
    </xf>
    <xf numFmtId="176" fontId="95" fillId="4" borderId="1" xfId="0" applyNumberFormat="1" applyFont="1" applyFill="1" applyBorder="1" applyAlignment="1" applyProtection="1">
      <alignment horizontal="center" vertical="center"/>
      <protection locked="0"/>
    </xf>
    <xf numFmtId="0" fontId="95" fillId="0" borderId="1" xfId="0" applyFont="1" applyBorder="1" applyAlignment="1">
      <alignment horizontal="center" vertical="center"/>
    </xf>
    <xf numFmtId="0" fontId="95" fillId="0" borderId="2" xfId="0" applyFont="1" applyBorder="1" applyAlignment="1" applyProtection="1">
      <alignment horizontal="center" vertical="center"/>
      <protection locked="0"/>
    </xf>
    <xf numFmtId="0" fontId="95" fillId="0" borderId="2" xfId="0" applyFont="1" applyBorder="1" applyProtection="1">
      <alignment vertical="center"/>
      <protection locked="0"/>
    </xf>
    <xf numFmtId="0" fontId="95" fillId="4" borderId="2" xfId="0" applyFont="1" applyFill="1" applyBorder="1" applyAlignment="1" applyProtection="1">
      <alignment horizontal="left" vertical="center" shrinkToFit="1"/>
      <protection locked="0"/>
    </xf>
    <xf numFmtId="0" fontId="95" fillId="0" borderId="1" xfId="0" applyFont="1" applyBorder="1" applyAlignment="1">
      <alignment horizontal="center" vertical="center" shrinkToFit="1"/>
    </xf>
    <xf numFmtId="0" fontId="99" fillId="0" borderId="1" xfId="1" applyFont="1" applyBorder="1" applyAlignment="1">
      <alignment horizontal="center" vertical="center" wrapText="1"/>
    </xf>
    <xf numFmtId="0" fontId="112" fillId="0" borderId="1" xfId="1" applyFont="1" applyBorder="1" applyAlignment="1">
      <alignment horizontal="center" vertical="center" wrapText="1"/>
    </xf>
    <xf numFmtId="0" fontId="99" fillId="0" borderId="16" xfId="1" applyFont="1" applyBorder="1" applyAlignment="1">
      <alignment horizontal="center" vertical="center" wrapText="1"/>
    </xf>
    <xf numFmtId="0" fontId="99" fillId="0" borderId="18" xfId="1" applyFont="1" applyBorder="1" applyAlignment="1">
      <alignment horizontal="center" vertical="center" wrapText="1"/>
    </xf>
    <xf numFmtId="0" fontId="99" fillId="0" borderId="15" xfId="1" applyFont="1" applyBorder="1" applyAlignment="1">
      <alignment horizontal="center" vertical="center" wrapText="1"/>
    </xf>
    <xf numFmtId="0" fontId="112" fillId="0" borderId="16" xfId="1" applyFont="1" applyBorder="1" applyAlignment="1">
      <alignment horizontal="center" vertical="center" wrapText="1"/>
    </xf>
    <xf numFmtId="0" fontId="112" fillId="0" borderId="17" xfId="1" applyFont="1" applyBorder="1" applyAlignment="1">
      <alignment horizontal="center" vertical="center" wrapText="1"/>
    </xf>
    <xf numFmtId="0" fontId="113" fillId="3" borderId="19" xfId="1" applyFont="1" applyFill="1" applyBorder="1" applyAlignment="1">
      <alignment horizontal="center" vertical="center" wrapText="1"/>
    </xf>
    <xf numFmtId="0" fontId="113" fillId="3" borderId="22" xfId="1" applyFont="1" applyFill="1" applyBorder="1" applyAlignment="1">
      <alignment horizontal="center" vertical="center" wrapText="1"/>
    </xf>
    <xf numFmtId="0" fontId="18" fillId="4" borderId="0" xfId="1" applyFont="1" applyFill="1" applyAlignment="1" applyProtection="1">
      <alignment horizontal="left" vertical="center" shrinkToFit="1"/>
      <protection locked="0"/>
    </xf>
    <xf numFmtId="0" fontId="10" fillId="0" borderId="1" xfId="1" applyFont="1" applyBorder="1" applyAlignment="1">
      <alignment horizontal="center" vertical="center"/>
    </xf>
    <xf numFmtId="0" fontId="10" fillId="0" borderId="15" xfId="1" applyFont="1" applyBorder="1" applyAlignment="1">
      <alignment horizontal="center" vertical="center" wrapText="1"/>
    </xf>
    <xf numFmtId="0" fontId="10" fillId="0" borderId="1" xfId="1" applyFont="1" applyBorder="1" applyAlignment="1">
      <alignment horizontal="center" vertical="center" wrapText="1"/>
    </xf>
    <xf numFmtId="0" fontId="0" fillId="0" borderId="1" xfId="0" applyBorder="1" applyAlignment="1">
      <alignment horizontal="left" vertical="center" wrapText="1"/>
    </xf>
    <xf numFmtId="0" fontId="16" fillId="0" borderId="25" xfId="1" applyFont="1" applyBorder="1" applyAlignment="1">
      <alignment horizontal="center" vertical="center"/>
    </xf>
    <xf numFmtId="0" fontId="16" fillId="0" borderId="26" xfId="1" applyFont="1" applyBorder="1" applyAlignment="1">
      <alignment horizontal="center" vertical="center"/>
    </xf>
    <xf numFmtId="0" fontId="10" fillId="0" borderId="16" xfId="1" applyFont="1" applyBorder="1" applyAlignment="1">
      <alignment horizontal="center" vertical="center" wrapText="1"/>
    </xf>
    <xf numFmtId="0" fontId="10" fillId="0" borderId="18" xfId="1" applyFont="1" applyBorder="1" applyAlignment="1">
      <alignment horizontal="center" vertical="center" wrapText="1"/>
    </xf>
    <xf numFmtId="0" fontId="10" fillId="0" borderId="20" xfId="1" applyFont="1" applyBorder="1" applyAlignment="1">
      <alignment horizontal="center" vertical="center" wrapText="1"/>
    </xf>
    <xf numFmtId="0" fontId="10" fillId="0" borderId="23" xfId="1" applyFont="1" applyBorder="1" applyAlignment="1">
      <alignment horizontal="center" vertical="center" wrapText="1"/>
    </xf>
    <xf numFmtId="0" fontId="5" fillId="0" borderId="0" xfId="1" applyFont="1" applyAlignment="1">
      <alignment horizontal="center" vertical="center"/>
    </xf>
    <xf numFmtId="0" fontId="0" fillId="0" borderId="2" xfId="1" applyFont="1" applyBorder="1" applyAlignment="1">
      <alignment horizontal="left" vertical="center" shrinkToFit="1"/>
    </xf>
    <xf numFmtId="0" fontId="10" fillId="0" borderId="2" xfId="1" applyFont="1" applyBorder="1" applyAlignment="1">
      <alignment horizontal="left" vertical="center" shrinkToFit="1"/>
    </xf>
    <xf numFmtId="0" fontId="10" fillId="0" borderId="14" xfId="1" applyFont="1" applyBorder="1" applyAlignment="1">
      <alignment horizontal="center" vertical="center"/>
    </xf>
    <xf numFmtId="0" fontId="10" fillId="0" borderId="21" xfId="1" applyFont="1" applyBorder="1" applyAlignment="1">
      <alignment horizontal="center" vertical="center"/>
    </xf>
    <xf numFmtId="0" fontId="10" fillId="0" borderId="15" xfId="1" applyFont="1" applyBorder="1" applyAlignment="1">
      <alignment horizontal="center" vertical="center" textRotation="255" wrapText="1"/>
    </xf>
    <xf numFmtId="0" fontId="10" fillId="0" borderId="1" xfId="1" applyFont="1" applyBorder="1" applyAlignment="1">
      <alignment horizontal="center" vertical="center" textRotation="255" wrapText="1"/>
    </xf>
    <xf numFmtId="0" fontId="8" fillId="0" borderId="16" xfId="1" applyFont="1" applyBorder="1" applyAlignment="1">
      <alignment horizontal="center" vertical="center" wrapText="1"/>
    </xf>
    <xf numFmtId="0" fontId="8" fillId="0" borderId="17" xfId="1" applyFont="1" applyBorder="1" applyAlignment="1">
      <alignment horizontal="center" vertical="center" wrapText="1"/>
    </xf>
    <xf numFmtId="0" fontId="8" fillId="0" borderId="18" xfId="1" applyFont="1" applyBorder="1" applyAlignment="1">
      <alignment horizontal="center" vertical="center" wrapText="1"/>
    </xf>
    <xf numFmtId="0" fontId="11" fillId="3" borderId="19" xfId="1" applyFont="1" applyFill="1" applyBorder="1" applyAlignment="1">
      <alignment horizontal="center" vertical="center" wrapText="1"/>
    </xf>
    <xf numFmtId="0" fontId="11" fillId="3" borderId="22" xfId="1" applyFont="1" applyFill="1" applyBorder="1" applyAlignment="1">
      <alignment horizontal="center" vertical="center" wrapText="1"/>
    </xf>
    <xf numFmtId="0" fontId="89" fillId="31" borderId="1" xfId="0" applyFont="1" applyFill="1" applyBorder="1" applyAlignment="1">
      <alignment horizontal="left" vertical="center" wrapText="1"/>
    </xf>
    <xf numFmtId="0" fontId="89" fillId="31" borderId="1" xfId="0" applyFont="1" applyFill="1" applyBorder="1" applyAlignment="1">
      <alignment horizontal="left" vertical="center" shrinkToFit="1"/>
    </xf>
    <xf numFmtId="0" fontId="5" fillId="0" borderId="0" xfId="1" applyFont="1" applyAlignment="1">
      <alignment horizontal="center" vertical="center" shrinkToFit="1"/>
    </xf>
    <xf numFmtId="0" fontId="0" fillId="0" borderId="2" xfId="1" applyFont="1" applyBorder="1" applyAlignment="1">
      <alignment horizontal="center" vertical="center" shrinkToFit="1"/>
    </xf>
    <xf numFmtId="0" fontId="10" fillId="5" borderId="34" xfId="1" applyFont="1" applyFill="1" applyBorder="1" applyAlignment="1">
      <alignment horizontal="center" vertical="center" wrapText="1"/>
    </xf>
    <xf numFmtId="0" fontId="0" fillId="5" borderId="22" xfId="0" applyFill="1" applyBorder="1" applyAlignment="1">
      <alignment horizontal="center" vertical="center"/>
    </xf>
    <xf numFmtId="0" fontId="7" fillId="6" borderId="1" xfId="3" applyFont="1" applyFill="1" applyBorder="1" applyAlignment="1">
      <alignment horizontal="center" vertical="center" shrinkToFit="1"/>
    </xf>
    <xf numFmtId="0" fontId="10" fillId="0" borderId="34" xfId="3" applyBorder="1" applyAlignment="1">
      <alignment horizontal="center" vertical="center"/>
    </xf>
    <xf numFmtId="0" fontId="10" fillId="0" borderId="1" xfId="3" applyBorder="1" applyAlignment="1">
      <alignment horizontal="center" vertical="center"/>
    </xf>
    <xf numFmtId="0" fontId="5" fillId="0" borderId="4" xfId="3" applyFont="1" applyBorder="1" applyAlignment="1">
      <alignment horizontal="center" vertical="center"/>
    </xf>
    <xf numFmtId="0" fontId="5" fillId="0" borderId="3" xfId="3" applyFont="1" applyBorder="1" applyAlignment="1">
      <alignment horizontal="center" vertical="center"/>
    </xf>
    <xf numFmtId="0" fontId="5" fillId="0" borderId="5" xfId="3" applyFont="1" applyBorder="1" applyAlignment="1">
      <alignment horizontal="center" vertical="center"/>
    </xf>
    <xf numFmtId="0" fontId="10" fillId="0" borderId="1" xfId="3" applyBorder="1"/>
    <xf numFmtId="0" fontId="10" fillId="0" borderId="1" xfId="3" applyBorder="1" applyAlignment="1">
      <alignment horizontal="center" vertical="center" shrinkToFit="1"/>
    </xf>
    <xf numFmtId="0" fontId="10" fillId="0" borderId="1" xfId="3" applyBorder="1" applyAlignment="1">
      <alignment horizontal="center" vertical="center" wrapText="1"/>
    </xf>
    <xf numFmtId="0" fontId="8" fillId="0" borderId="1" xfId="3" applyFont="1" applyBorder="1" applyAlignment="1">
      <alignment horizontal="center" vertical="center" wrapText="1"/>
    </xf>
    <xf numFmtId="0" fontId="9" fillId="0" borderId="6" xfId="3" applyFont="1" applyBorder="1" applyAlignment="1">
      <alignment horizontal="left" vertical="top" wrapText="1"/>
    </xf>
    <xf numFmtId="0" fontId="9" fillId="0" borderId="0" xfId="3" applyFont="1" applyAlignment="1">
      <alignment horizontal="left" vertical="top" wrapText="1"/>
    </xf>
    <xf numFmtId="0" fontId="0" fillId="6" borderId="5" xfId="0" applyFill="1" applyBorder="1" applyAlignment="1">
      <alignment horizontal="center" vertical="center" wrapText="1"/>
    </xf>
    <xf numFmtId="0" fontId="0" fillId="6" borderId="5" xfId="0" applyFill="1" applyBorder="1" applyAlignment="1"/>
    <xf numFmtId="0" fontId="7" fillId="0" borderId="1" xfId="3" applyFont="1" applyBorder="1" applyAlignment="1">
      <alignment horizontal="center" vertical="center" shrinkToFit="1"/>
    </xf>
    <xf numFmtId="0" fontId="10" fillId="0" borderId="35" xfId="3" applyBorder="1" applyAlignment="1">
      <alignment horizontal="center" vertical="center" wrapText="1"/>
    </xf>
    <xf numFmtId="0" fontId="10" fillId="0" borderId="36" xfId="3" applyBorder="1"/>
    <xf numFmtId="0" fontId="5" fillId="0" borderId="1" xfId="3" applyFont="1" applyBorder="1" applyAlignment="1">
      <alignment horizontal="center" vertical="center"/>
    </xf>
    <xf numFmtId="0" fontId="8" fillId="0" borderId="4" xfId="0" applyFont="1" applyBorder="1" applyAlignment="1">
      <alignment horizontal="center" vertical="center" wrapText="1"/>
    </xf>
    <xf numFmtId="0" fontId="10" fillId="0" borderId="1" xfId="3" applyBorder="1" applyAlignment="1">
      <alignment horizontal="center" vertical="center" textRotation="255" wrapText="1"/>
    </xf>
    <xf numFmtId="0" fontId="13" fillId="0" borderId="1" xfId="3" applyFont="1" applyBorder="1" applyAlignment="1">
      <alignment horizontal="center" vertical="center" textRotation="255" wrapText="1"/>
    </xf>
    <xf numFmtId="0" fontId="10" fillId="0" borderId="4" xfId="3" applyBorder="1" applyAlignment="1">
      <alignment horizontal="center" vertical="center" wrapText="1"/>
    </xf>
    <xf numFmtId="0" fontId="10" fillId="0" borderId="3" xfId="3" applyBorder="1" applyAlignment="1">
      <alignment horizontal="center" vertical="center" wrapText="1"/>
    </xf>
    <xf numFmtId="0" fontId="10" fillId="0" borderId="5" xfId="3" applyBorder="1" applyAlignment="1">
      <alignment horizontal="center" vertical="center" wrapText="1"/>
    </xf>
    <xf numFmtId="0" fontId="13" fillId="0" borderId="4" xfId="3" applyFont="1" applyBorder="1" applyAlignment="1">
      <alignment horizontal="center" vertical="center" textRotation="255" wrapText="1"/>
    </xf>
    <xf numFmtId="0" fontId="10" fillId="0" borderId="34" xfId="3" applyBorder="1" applyAlignment="1">
      <alignment horizontal="center" vertical="center" wrapText="1"/>
    </xf>
    <xf numFmtId="0" fontId="10" fillId="0" borderId="38" xfId="3" applyBorder="1" applyAlignment="1">
      <alignment horizontal="center" vertical="center" wrapText="1"/>
    </xf>
    <xf numFmtId="0" fontId="10" fillId="0" borderId="22" xfId="3" applyBorder="1" applyAlignment="1">
      <alignment horizontal="center" vertical="center" wrapText="1"/>
    </xf>
    <xf numFmtId="0" fontId="9" fillId="0" borderId="1" xfId="3" applyFont="1" applyBorder="1" applyAlignment="1">
      <alignment horizontal="center" vertical="center" wrapText="1"/>
    </xf>
    <xf numFmtId="0" fontId="10" fillId="0" borderId="34" xfId="3" applyBorder="1" applyAlignment="1">
      <alignment horizontal="center" vertical="center" textRotation="255" wrapText="1"/>
    </xf>
    <xf numFmtId="0" fontId="10" fillId="0" borderId="38" xfId="3" applyBorder="1" applyAlignment="1">
      <alignment horizontal="center" vertical="center" textRotation="255" wrapText="1"/>
    </xf>
    <xf numFmtId="0" fontId="9" fillId="0" borderId="1" xfId="0" applyFont="1" applyBorder="1" applyAlignment="1">
      <alignment horizontal="center" vertical="center" textRotation="255" shrinkToFit="1"/>
    </xf>
    <xf numFmtId="0" fontId="13" fillId="0" borderId="1" xfId="3" applyFont="1" applyBorder="1" applyAlignment="1">
      <alignment vertical="center" textRotation="255" wrapText="1"/>
    </xf>
    <xf numFmtId="0" fontId="0" fillId="0" borderId="1" xfId="0" applyBorder="1">
      <alignment vertical="center"/>
    </xf>
    <xf numFmtId="0" fontId="9" fillId="0" borderId="34" xfId="0" applyFont="1" applyBorder="1" applyAlignment="1">
      <alignment horizontal="center" vertical="center" textRotation="255" shrinkToFit="1"/>
    </xf>
    <xf numFmtId="0" fontId="9" fillId="0" borderId="38" xfId="0" applyFont="1" applyBorder="1" applyAlignment="1">
      <alignment horizontal="center" vertical="center" textRotation="255" shrinkToFit="1"/>
    </xf>
    <xf numFmtId="0" fontId="9" fillId="0" borderId="22" xfId="0" applyFont="1" applyBorder="1" applyAlignment="1">
      <alignment horizontal="center" vertical="center" textRotation="255" shrinkToFit="1"/>
    </xf>
    <xf numFmtId="0" fontId="23" fillId="0" borderId="2" xfId="3" applyFont="1" applyBorder="1" applyAlignment="1">
      <alignment horizontal="center" shrinkToFit="1"/>
    </xf>
    <xf numFmtId="0" fontId="23" fillId="0" borderId="1" xfId="3" applyFont="1" applyBorder="1" applyAlignment="1">
      <alignment horizontal="center" vertical="center" wrapText="1"/>
    </xf>
    <xf numFmtId="0" fontId="10" fillId="0" borderId="6" xfId="3" applyBorder="1" applyAlignment="1">
      <alignment horizontal="center" vertical="center" wrapText="1"/>
    </xf>
    <xf numFmtId="0" fontId="10" fillId="0" borderId="0" xfId="3" applyAlignment="1">
      <alignment horizontal="center" vertical="center" wrapText="1"/>
    </xf>
    <xf numFmtId="0" fontId="15" fillId="0" borderId="34" xfId="3" applyFont="1" applyBorder="1" applyAlignment="1">
      <alignment horizontal="center" vertical="center" textRotation="255" wrapText="1"/>
    </xf>
    <xf numFmtId="0" fontId="15" fillId="0" borderId="22" xfId="3" applyFont="1" applyBorder="1" applyAlignment="1">
      <alignment horizontal="center" vertical="center" textRotation="255" wrapText="1"/>
    </xf>
    <xf numFmtId="0" fontId="13" fillId="0" borderId="34" xfId="3" applyFont="1" applyBorder="1" applyAlignment="1">
      <alignment horizontal="center" vertical="center" textRotation="255" wrapText="1"/>
    </xf>
    <xf numFmtId="0" fontId="13" fillId="0" borderId="22" xfId="3" applyFont="1" applyBorder="1" applyAlignment="1">
      <alignment horizontal="center" vertical="center" textRotation="255" wrapText="1"/>
    </xf>
    <xf numFmtId="0" fontId="5" fillId="0" borderId="2" xfId="3" applyFont="1" applyBorder="1" applyAlignment="1">
      <alignment horizontal="center" shrinkToFit="1"/>
    </xf>
    <xf numFmtId="0" fontId="10" fillId="0" borderId="10" xfId="3" applyBorder="1" applyAlignment="1">
      <alignment horizontal="center" vertical="center" wrapText="1"/>
    </xf>
    <xf numFmtId="0" fontId="10" fillId="0" borderId="12" xfId="3" applyBorder="1" applyAlignment="1">
      <alignment horizontal="center" vertical="center" wrapText="1"/>
    </xf>
    <xf numFmtId="0" fontId="10" fillId="0" borderId="7" xfId="3" applyBorder="1" applyAlignment="1">
      <alignment horizontal="center" vertical="center" wrapText="1"/>
    </xf>
    <xf numFmtId="0" fontId="10" fillId="0" borderId="34" xfId="3" applyBorder="1" applyAlignment="1">
      <alignment wrapText="1"/>
    </xf>
    <xf numFmtId="0" fontId="10" fillId="0" borderId="38" xfId="3" applyBorder="1" applyAlignment="1">
      <alignment wrapText="1"/>
    </xf>
    <xf numFmtId="0" fontId="10" fillId="0" borderId="9" xfId="3" applyBorder="1" applyAlignment="1">
      <alignment horizontal="center" vertical="center" wrapText="1"/>
    </xf>
    <xf numFmtId="0" fontId="10" fillId="0" borderId="13" xfId="3" applyBorder="1" applyAlignment="1">
      <alignment horizontal="center" vertical="center" wrapText="1"/>
    </xf>
    <xf numFmtId="0" fontId="15" fillId="0" borderId="1" xfId="3" applyFont="1" applyBorder="1" applyAlignment="1">
      <alignment horizontal="center" vertical="center" textRotation="255" wrapText="1"/>
    </xf>
    <xf numFmtId="183" fontId="95" fillId="0" borderId="34" xfId="0" applyNumberFormat="1" applyFont="1" applyBorder="1" applyAlignment="1">
      <alignment horizontal="right" vertical="center"/>
    </xf>
    <xf numFmtId="183" fontId="95" fillId="0" borderId="22" xfId="0" applyNumberFormat="1" applyFont="1" applyBorder="1" applyAlignment="1">
      <alignment horizontal="right" vertical="center"/>
    </xf>
    <xf numFmtId="183" fontId="95" fillId="0" borderId="34" xfId="0" applyNumberFormat="1" applyFont="1" applyBorder="1" applyAlignment="1">
      <alignment horizontal="center" vertical="center"/>
    </xf>
    <xf numFmtId="183" fontId="95" fillId="0" borderId="22" xfId="0" applyNumberFormat="1" applyFont="1" applyBorder="1" applyAlignment="1">
      <alignment horizontal="center" vertical="center"/>
    </xf>
    <xf numFmtId="179" fontId="99" fillId="0" borderId="34" xfId="3" applyNumberFormat="1" applyFont="1" applyBorder="1" applyAlignment="1">
      <alignment horizontal="center" vertical="center"/>
    </xf>
    <xf numFmtId="0" fontId="95" fillId="0" borderId="22" xfId="0" applyFont="1" applyBorder="1">
      <alignment vertical="center"/>
    </xf>
    <xf numFmtId="182" fontId="95" fillId="0" borderId="34" xfId="0" applyNumberFormat="1" applyFont="1" applyBorder="1" applyAlignment="1">
      <alignment horizontal="center" vertical="center"/>
    </xf>
    <xf numFmtId="182" fontId="95" fillId="0" borderId="22" xfId="0" applyNumberFormat="1" applyFont="1" applyBorder="1" applyAlignment="1">
      <alignment horizontal="center" vertical="center"/>
    </xf>
    <xf numFmtId="182" fontId="95" fillId="0" borderId="34" xfId="0" applyNumberFormat="1" applyFont="1" applyBorder="1" applyAlignment="1">
      <alignment horizontal="center" vertical="center" shrinkToFit="1"/>
    </xf>
    <xf numFmtId="182" fontId="95" fillId="0" borderId="22" xfId="0" applyNumberFormat="1" applyFont="1" applyBorder="1" applyAlignment="1">
      <alignment horizontal="center" vertical="center" shrinkToFit="1"/>
    </xf>
    <xf numFmtId="0" fontId="95" fillId="8" borderId="4" xfId="0" applyFont="1" applyFill="1" applyBorder="1" applyAlignment="1">
      <alignment horizontal="center" vertical="center"/>
    </xf>
    <xf numFmtId="0" fontId="95" fillId="8" borderId="5" xfId="0" applyFont="1" applyFill="1" applyBorder="1" applyAlignment="1">
      <alignment horizontal="center" vertical="center"/>
    </xf>
    <xf numFmtId="0" fontId="116" fillId="0" borderId="0" xfId="3" applyFont="1" applyAlignment="1">
      <alignment horizontal="center"/>
    </xf>
    <xf numFmtId="0" fontId="116" fillId="0" borderId="2" xfId="3" applyFont="1" applyBorder="1" applyAlignment="1">
      <alignment horizontal="center"/>
    </xf>
    <xf numFmtId="0" fontId="116" fillId="0" borderId="2" xfId="3" applyFont="1" applyBorder="1" applyAlignment="1">
      <alignment horizontal="center" shrinkToFit="1"/>
    </xf>
    <xf numFmtId="186" fontId="95" fillId="0" borderId="34" xfId="0" applyNumberFormat="1" applyFont="1" applyBorder="1" applyAlignment="1">
      <alignment horizontal="center" vertical="center" shrinkToFit="1"/>
    </xf>
    <xf numFmtId="186" fontId="95" fillId="0" borderId="38" xfId="0" applyNumberFormat="1" applyFont="1" applyBorder="1" applyAlignment="1">
      <alignment horizontal="center" vertical="center" shrinkToFit="1"/>
    </xf>
    <xf numFmtId="186" fontId="95" fillId="0" borderId="22" xfId="0" applyNumberFormat="1" applyFont="1" applyBorder="1" applyAlignment="1">
      <alignment horizontal="center" vertical="center" shrinkToFit="1"/>
    </xf>
    <xf numFmtId="188" fontId="95" fillId="0" borderId="34" xfId="0" applyNumberFormat="1" applyFont="1" applyBorder="1" applyAlignment="1">
      <alignment horizontal="center" vertical="center" shrinkToFit="1"/>
    </xf>
    <xf numFmtId="188" fontId="95" fillId="0" borderId="38" xfId="0" applyNumberFormat="1" applyFont="1" applyBorder="1" applyAlignment="1">
      <alignment horizontal="center" vertical="center" shrinkToFit="1"/>
    </xf>
    <xf numFmtId="188" fontId="95" fillId="0" borderId="22" xfId="0" applyNumberFormat="1" applyFont="1" applyBorder="1" applyAlignment="1">
      <alignment horizontal="center" vertical="center" shrinkToFit="1"/>
    </xf>
    <xf numFmtId="179" fontId="99" fillId="0" borderId="38" xfId="3" applyNumberFormat="1" applyFont="1" applyBorder="1" applyAlignment="1">
      <alignment horizontal="center" vertical="center"/>
    </xf>
    <xf numFmtId="179" fontId="99" fillId="0" borderId="22" xfId="3" applyNumberFormat="1" applyFont="1" applyBorder="1" applyAlignment="1">
      <alignment horizontal="center" vertical="center"/>
    </xf>
    <xf numFmtId="177" fontId="95" fillId="0" borderId="34" xfId="0" applyNumberFormat="1" applyFont="1" applyBorder="1" applyAlignment="1">
      <alignment horizontal="center" vertical="center"/>
    </xf>
    <xf numFmtId="177" fontId="95" fillId="0" borderId="38" xfId="0" applyNumberFormat="1" applyFont="1" applyBorder="1" applyAlignment="1">
      <alignment horizontal="center" vertical="center"/>
    </xf>
    <xf numFmtId="177" fontId="95" fillId="0" borderId="22" xfId="0" applyNumberFormat="1" applyFont="1" applyBorder="1" applyAlignment="1">
      <alignment horizontal="center" vertical="center"/>
    </xf>
    <xf numFmtId="0" fontId="95" fillId="0" borderId="34" xfId="0" applyFont="1" applyBorder="1" applyAlignment="1">
      <alignment horizontal="center" vertical="center"/>
    </xf>
    <xf numFmtId="0" fontId="95" fillId="0" borderId="38" xfId="0" applyFont="1" applyBorder="1" applyAlignment="1">
      <alignment horizontal="center" vertical="center"/>
    </xf>
    <xf numFmtId="0" fontId="95" fillId="0" borderId="22" xfId="0" applyFont="1" applyBorder="1" applyAlignment="1">
      <alignment horizontal="center" vertical="center"/>
    </xf>
    <xf numFmtId="0" fontId="99" fillId="0" borderId="2" xfId="3" applyFont="1" applyBorder="1" applyAlignment="1">
      <alignment horizontal="center"/>
    </xf>
    <xf numFmtId="0" fontId="99" fillId="0" borderId="2" xfId="3" applyFont="1" applyBorder="1" applyAlignment="1">
      <alignment horizontal="center" shrinkToFit="1"/>
    </xf>
    <xf numFmtId="177" fontId="95" fillId="0" borderId="56" xfId="0" applyNumberFormat="1" applyFont="1" applyBorder="1" applyAlignment="1">
      <alignment horizontal="center" vertical="center"/>
    </xf>
    <xf numFmtId="182" fontId="95" fillId="0" borderId="38" xfId="0" applyNumberFormat="1" applyFont="1" applyBorder="1" applyAlignment="1">
      <alignment horizontal="center" vertical="center" shrinkToFit="1"/>
    </xf>
    <xf numFmtId="0" fontId="95" fillId="4" borderId="1" xfId="0" applyFont="1" applyFill="1" applyBorder="1" applyAlignment="1">
      <alignment horizontal="left" vertical="center" wrapText="1"/>
    </xf>
    <xf numFmtId="192" fontId="95" fillId="0" borderId="34" xfId="0" applyNumberFormat="1" applyFont="1" applyBorder="1" applyAlignment="1">
      <alignment horizontal="center" vertical="center" shrinkToFit="1"/>
    </xf>
    <xf numFmtId="192" fontId="95" fillId="0" borderId="38" xfId="0" applyNumberFormat="1" applyFont="1" applyBorder="1" applyAlignment="1">
      <alignment horizontal="center" vertical="center" shrinkToFit="1"/>
    </xf>
    <xf numFmtId="192" fontId="95" fillId="0" borderId="22" xfId="0" applyNumberFormat="1" applyFont="1" applyBorder="1" applyAlignment="1">
      <alignment horizontal="center" vertical="center" shrinkToFit="1"/>
    </xf>
    <xf numFmtId="0" fontId="95" fillId="4" borderId="4" xfId="0" applyFont="1" applyFill="1" applyBorder="1" applyAlignment="1">
      <alignment horizontal="left" vertical="center" wrapText="1"/>
    </xf>
    <xf numFmtId="0" fontId="95" fillId="4" borderId="3" xfId="0" applyFont="1" applyFill="1" applyBorder="1" applyAlignment="1">
      <alignment horizontal="left" vertical="center" wrapText="1"/>
    </xf>
    <xf numFmtId="0" fontId="95" fillId="4" borderId="5" xfId="0" applyFont="1" applyFill="1" applyBorder="1" applyAlignment="1">
      <alignment horizontal="left" vertical="center" wrapText="1"/>
    </xf>
    <xf numFmtId="0" fontId="95" fillId="0" borderId="38" xfId="0" applyFont="1" applyBorder="1">
      <alignment vertical="center"/>
    </xf>
    <xf numFmtId="177" fontId="95" fillId="0" borderId="1" xfId="0" applyNumberFormat="1" applyFont="1" applyBorder="1" applyAlignment="1">
      <alignment horizontal="center" vertical="center"/>
    </xf>
    <xf numFmtId="180" fontId="95" fillId="0" borderId="34" xfId="0" applyNumberFormat="1" applyFont="1" applyBorder="1" applyAlignment="1">
      <alignment horizontal="center" vertical="center"/>
    </xf>
    <xf numFmtId="180" fontId="95" fillId="0" borderId="38" xfId="0" applyNumberFormat="1" applyFont="1" applyBorder="1" applyAlignment="1">
      <alignment horizontal="center" vertical="center"/>
    </xf>
    <xf numFmtId="180" fontId="95" fillId="0" borderId="22" xfId="0" applyNumberFormat="1" applyFont="1" applyBorder="1" applyAlignment="1">
      <alignment horizontal="center" vertical="center"/>
    </xf>
    <xf numFmtId="0" fontId="107" fillId="0" borderId="0" xfId="3" applyFont="1" applyAlignment="1">
      <alignment horizontal="center" vertical="center"/>
    </xf>
    <xf numFmtId="0" fontId="118" fillId="6" borderId="2" xfId="3" applyFont="1" applyFill="1" applyBorder="1" applyAlignment="1">
      <alignment horizontal="center" vertical="center" shrinkToFit="1"/>
    </xf>
    <xf numFmtId="0" fontId="124" fillId="4" borderId="0" xfId="0" applyFont="1" applyFill="1" applyAlignment="1">
      <alignment horizontal="center" vertical="center"/>
    </xf>
    <xf numFmtId="0" fontId="124" fillId="4" borderId="2" xfId="0" applyFont="1" applyFill="1" applyBorder="1" applyAlignment="1">
      <alignment horizontal="center" vertical="center"/>
    </xf>
    <xf numFmtId="180" fontId="30" fillId="0" borderId="4" xfId="3" applyNumberFormat="1" applyFont="1" applyBorder="1" applyAlignment="1">
      <alignment horizontal="right" vertical="center"/>
    </xf>
    <xf numFmtId="180" fontId="30" fillId="0" borderId="3" xfId="3" applyNumberFormat="1" applyFont="1" applyBorder="1" applyAlignment="1">
      <alignment horizontal="right" vertical="center"/>
    </xf>
    <xf numFmtId="0" fontId="27" fillId="0" borderId="51" xfId="3" applyFont="1" applyBorder="1" applyAlignment="1">
      <alignment horizontal="center" vertical="center"/>
    </xf>
    <xf numFmtId="0" fontId="27" fillId="0" borderId="52" xfId="3" applyFont="1" applyBorder="1" applyAlignment="1">
      <alignment horizontal="center" vertical="center"/>
    </xf>
    <xf numFmtId="0" fontId="27" fillId="0" borderId="10" xfId="3" applyFont="1" applyBorder="1" applyAlignment="1">
      <alignment vertical="center"/>
    </xf>
    <xf numFmtId="0" fontId="27" fillId="0" borderId="11" xfId="3" applyFont="1" applyBorder="1" applyAlignment="1">
      <alignment vertical="center"/>
    </xf>
    <xf numFmtId="0" fontId="27" fillId="0" borderId="0" xfId="3" applyFont="1" applyAlignment="1">
      <alignment vertical="center" shrinkToFit="1"/>
    </xf>
    <xf numFmtId="0" fontId="27" fillId="0" borderId="51" xfId="3" applyFont="1" applyBorder="1" applyAlignment="1">
      <alignment horizontal="distributed" vertical="center"/>
    </xf>
    <xf numFmtId="0" fontId="27" fillId="0" borderId="52" xfId="3" applyFont="1" applyBorder="1" applyAlignment="1">
      <alignment horizontal="distributed" vertical="center"/>
    </xf>
    <xf numFmtId="0" fontId="27" fillId="0" borderId="54" xfId="3" applyFont="1" applyBorder="1" applyAlignment="1">
      <alignment horizontal="distributed" vertical="center"/>
    </xf>
    <xf numFmtId="0" fontId="27" fillId="0" borderId="6" xfId="3" applyFont="1" applyBorder="1" applyAlignment="1">
      <alignment shrinkToFit="1"/>
    </xf>
    <xf numFmtId="0" fontId="10" fillId="0" borderId="0" xfId="3" applyAlignment="1">
      <alignment shrinkToFit="1"/>
    </xf>
    <xf numFmtId="0" fontId="10" fillId="0" borderId="42" xfId="3" applyBorder="1" applyAlignment="1">
      <alignment shrinkToFit="1"/>
    </xf>
    <xf numFmtId="0" fontId="27" fillId="0" borderId="46" xfId="3" applyFont="1" applyBorder="1"/>
    <xf numFmtId="0" fontId="27" fillId="0" borderId="47" xfId="4" applyBorder="1"/>
    <xf numFmtId="0" fontId="27" fillId="0" borderId="47" xfId="3" applyFont="1" applyBorder="1"/>
    <xf numFmtId="0" fontId="27" fillId="0" borderId="48" xfId="3" applyFont="1" applyBorder="1"/>
    <xf numFmtId="0" fontId="27" fillId="0" borderId="0" xfId="3" applyFont="1" applyAlignment="1">
      <alignment vertical="center" wrapText="1"/>
    </xf>
    <xf numFmtId="180" fontId="30" fillId="0" borderId="0" xfId="3" applyNumberFormat="1" applyFont="1"/>
    <xf numFmtId="0" fontId="30" fillId="0" borderId="0" xfId="3" applyFont="1"/>
    <xf numFmtId="0" fontId="27" fillId="0" borderId="58" xfId="3" applyFont="1" applyBorder="1" applyAlignment="1">
      <alignment horizontal="distributed" vertical="center" wrapText="1"/>
    </xf>
    <xf numFmtId="0" fontId="42" fillId="0" borderId="53" xfId="0" applyFont="1" applyBorder="1" applyAlignment="1">
      <alignment horizontal="distributed" vertical="center" wrapText="1"/>
    </xf>
    <xf numFmtId="0" fontId="27" fillId="0" borderId="50" xfId="3" applyFont="1" applyBorder="1" applyAlignment="1">
      <alignment vertical="center" wrapText="1"/>
    </xf>
    <xf numFmtId="0" fontId="27" fillId="0" borderId="29" xfId="3" applyFont="1" applyBorder="1" applyAlignment="1">
      <alignment vertical="center" wrapText="1"/>
    </xf>
    <xf numFmtId="0" fontId="27" fillId="0" borderId="59" xfId="3" applyFont="1" applyBorder="1" applyAlignment="1">
      <alignment vertical="center" wrapText="1"/>
    </xf>
    <xf numFmtId="0" fontId="27" fillId="0" borderId="9" xfId="3" applyFont="1" applyBorder="1" applyAlignment="1">
      <alignment vertical="center" wrapText="1"/>
    </xf>
    <xf numFmtId="0" fontId="27" fillId="0" borderId="2" xfId="3" applyFont="1" applyBorder="1" applyAlignment="1">
      <alignment vertical="center" wrapText="1"/>
    </xf>
    <xf numFmtId="0" fontId="27" fillId="0" borderId="43" xfId="3" applyFont="1" applyBorder="1" applyAlignment="1">
      <alignment vertical="center" wrapText="1"/>
    </xf>
    <xf numFmtId="180" fontId="30" fillId="0" borderId="4" xfId="3" applyNumberFormat="1" applyFont="1" applyBorder="1" applyAlignment="1">
      <alignment vertical="center"/>
    </xf>
    <xf numFmtId="180" fontId="30" fillId="0" borderId="3" xfId="3" applyNumberFormat="1" applyFont="1" applyBorder="1" applyAlignment="1">
      <alignment vertical="center"/>
    </xf>
    <xf numFmtId="0" fontId="27" fillId="0" borderId="0" xfId="3" applyFont="1" applyAlignment="1">
      <alignment horizontal="distributed"/>
    </xf>
    <xf numFmtId="0" fontId="27" fillId="0" borderId="0" xfId="3" applyFont="1" applyAlignment="1" applyProtection="1">
      <alignment horizontal="left" shrinkToFit="1"/>
      <protection locked="0" hidden="1"/>
    </xf>
    <xf numFmtId="0" fontId="27" fillId="0" borderId="0" xfId="3" applyFont="1" applyAlignment="1">
      <alignment horizontal="center" shrinkToFit="1"/>
    </xf>
    <xf numFmtId="0" fontId="27" fillId="0" borderId="0" xfId="3" applyFont="1" applyAlignment="1">
      <alignment horizontal="left" shrinkToFit="1"/>
    </xf>
    <xf numFmtId="0" fontId="27" fillId="0" borderId="0" xfId="3" applyFont="1" applyAlignment="1">
      <alignment horizontal="right" shrinkToFit="1"/>
    </xf>
    <xf numFmtId="0" fontId="27" fillId="0" borderId="0" xfId="3" applyFont="1" applyAlignment="1">
      <alignment horizontal="distributed" indent="8"/>
    </xf>
    <xf numFmtId="0" fontId="10" fillId="0" borderId="0" xfId="3" applyAlignment="1">
      <alignment horizontal="distributed" indent="8"/>
    </xf>
    <xf numFmtId="0" fontId="10" fillId="0" borderId="0" xfId="3" applyAlignment="1" applyProtection="1">
      <alignment shrinkToFit="1"/>
      <protection locked="0" hidden="1"/>
    </xf>
    <xf numFmtId="0" fontId="0" fillId="0" borderId="0" xfId="0" applyAlignment="1" applyProtection="1">
      <alignment shrinkToFit="1"/>
      <protection locked="0" hidden="1"/>
    </xf>
    <xf numFmtId="0" fontId="27" fillId="0" borderId="0" xfId="3" applyFont="1" applyAlignment="1">
      <alignment horizontal="distributed" vertical="center"/>
    </xf>
    <xf numFmtId="38" fontId="27" fillId="0" borderId="0" xfId="3" applyNumberFormat="1" applyFont="1" applyAlignment="1" applyProtection="1">
      <alignment horizontal="left" shrinkToFit="1"/>
      <protection locked="0" hidden="1"/>
    </xf>
    <xf numFmtId="0" fontId="27" fillId="0" borderId="0" xfId="14" applyAlignment="1">
      <alignment horizontal="center" vertical="center"/>
    </xf>
    <xf numFmtId="191" fontId="58" fillId="0" borderId="68" xfId="14" applyNumberFormat="1" applyFont="1" applyBorder="1" applyAlignment="1">
      <alignment horizontal="right" vertical="center"/>
    </xf>
    <xf numFmtId="191" fontId="58" fillId="0" borderId="69" xfId="14" applyNumberFormat="1" applyFont="1" applyBorder="1" applyAlignment="1">
      <alignment horizontal="right" vertical="center"/>
    </xf>
    <xf numFmtId="0" fontId="55" fillId="0" borderId="0" xfId="14" applyFont="1" applyAlignment="1">
      <alignment horizontal="center" vertical="center" wrapText="1" shrinkToFit="1"/>
    </xf>
    <xf numFmtId="0" fontId="27" fillId="0" borderId="10" xfId="14" applyBorder="1" applyAlignment="1">
      <alignment horizontal="center" vertical="center"/>
    </xf>
    <xf numFmtId="0" fontId="27" fillId="0" borderId="11" xfId="14" applyBorder="1" applyAlignment="1">
      <alignment horizontal="center" vertical="center"/>
    </xf>
    <xf numFmtId="0" fontId="27" fillId="0" borderId="12" xfId="14" applyBorder="1" applyAlignment="1">
      <alignment horizontal="center" vertical="center"/>
    </xf>
    <xf numFmtId="58" fontId="27" fillId="0" borderId="0" xfId="14" applyNumberFormat="1" applyAlignment="1">
      <alignment horizontal="center" vertical="center"/>
    </xf>
    <xf numFmtId="0" fontId="27" fillId="0" borderId="0" xfId="14" applyAlignment="1">
      <alignment horizontal="left" vertical="center"/>
    </xf>
    <xf numFmtId="0" fontId="27" fillId="0" borderId="0" xfId="14" applyAlignment="1">
      <alignment horizontal="distributed" vertical="center" shrinkToFit="1"/>
    </xf>
    <xf numFmtId="0" fontId="31" fillId="5" borderId="0" xfId="14" applyFont="1" applyFill="1" applyAlignment="1" applyProtection="1">
      <alignment horizontal="left" vertical="center" wrapText="1"/>
      <protection locked="0"/>
    </xf>
    <xf numFmtId="38" fontId="31" fillId="5" borderId="0" xfId="13" applyFont="1" applyFill="1" applyAlignment="1" applyProtection="1">
      <alignment horizontal="left" vertical="center" wrapText="1"/>
      <protection locked="0"/>
    </xf>
    <xf numFmtId="38" fontId="27" fillId="0" borderId="0" xfId="13" applyFont="1" applyAlignment="1" applyProtection="1">
      <alignment horizontal="distributed" vertical="center" shrinkToFit="1"/>
    </xf>
    <xf numFmtId="0" fontId="31" fillId="5" borderId="0" xfId="4" applyFont="1" applyFill="1" applyAlignment="1" applyProtection="1">
      <alignment horizontal="left" vertical="center" wrapText="1"/>
      <protection locked="0"/>
    </xf>
    <xf numFmtId="0" fontId="31" fillId="5" borderId="0" xfId="4" applyFont="1" applyFill="1" applyAlignment="1" applyProtection="1">
      <alignment horizontal="left" vertical="center" shrinkToFit="1"/>
      <protection locked="0"/>
    </xf>
    <xf numFmtId="0" fontId="27" fillId="0" borderId="0" xfId="4" applyAlignment="1">
      <alignment vertical="center" wrapText="1"/>
    </xf>
    <xf numFmtId="0" fontId="27" fillId="0" borderId="0" xfId="14" applyAlignment="1">
      <alignment vertical="center" wrapText="1"/>
    </xf>
    <xf numFmtId="191" fontId="58" fillId="0" borderId="9" xfId="14" applyNumberFormat="1" applyFont="1" applyBorder="1" applyAlignment="1">
      <alignment horizontal="right" vertical="center"/>
    </xf>
    <xf numFmtId="191" fontId="58" fillId="0" borderId="2" xfId="14" applyNumberFormat="1" applyFont="1" applyBorder="1" applyAlignment="1">
      <alignment horizontal="right" vertical="center"/>
    </xf>
    <xf numFmtId="190" fontId="56" fillId="0" borderId="0" xfId="14" applyNumberFormat="1" applyFont="1" applyAlignment="1">
      <alignment horizontal="center" vertical="center"/>
    </xf>
    <xf numFmtId="0" fontId="27" fillId="0" borderId="1" xfId="14" applyBorder="1" applyAlignment="1">
      <alignment horizontal="distributed" vertical="center"/>
    </xf>
    <xf numFmtId="0" fontId="27" fillId="0" borderId="4" xfId="14" applyBorder="1" applyAlignment="1">
      <alignment horizontal="distributed" vertical="center"/>
    </xf>
    <xf numFmtId="0" fontId="57" fillId="0" borderId="57" xfId="14" applyFont="1" applyBorder="1" applyAlignment="1">
      <alignment horizontal="center" vertical="center"/>
    </xf>
    <xf numFmtId="0" fontId="32" fillId="0" borderId="3" xfId="14" applyFont="1" applyBorder="1" applyAlignment="1">
      <alignment horizontal="center" vertical="center"/>
    </xf>
    <xf numFmtId="0" fontId="32" fillId="0" borderId="5" xfId="14" applyFont="1" applyBorder="1" applyAlignment="1">
      <alignment horizontal="center" vertical="center"/>
    </xf>
    <xf numFmtId="0" fontId="57" fillId="0" borderId="57" xfId="14" applyFont="1" applyBorder="1" applyAlignment="1">
      <alignment horizontal="center" vertical="center" shrinkToFit="1"/>
    </xf>
    <xf numFmtId="0" fontId="27" fillId="0" borderId="63" xfId="3" applyFont="1" applyBorder="1" applyAlignment="1">
      <alignment horizontal="center" vertical="center"/>
    </xf>
    <xf numFmtId="0" fontId="27" fillId="0" borderId="11" xfId="3" applyFont="1" applyBorder="1" applyAlignment="1">
      <alignment horizontal="center" vertical="center"/>
    </xf>
    <xf numFmtId="0" fontId="27" fillId="0" borderId="12" xfId="3" applyFont="1" applyBorder="1" applyAlignment="1">
      <alignment horizontal="center" vertical="center"/>
    </xf>
    <xf numFmtId="0" fontId="27" fillId="0" borderId="64" xfId="3" applyFont="1" applyBorder="1" applyAlignment="1">
      <alignment horizontal="center" vertical="center"/>
    </xf>
    <xf numFmtId="0" fontId="27" fillId="0" borderId="2" xfId="3" applyFont="1" applyBorder="1" applyAlignment="1">
      <alignment horizontal="center" vertical="center"/>
    </xf>
    <xf numFmtId="0" fontId="27" fillId="0" borderId="13" xfId="3" applyFont="1" applyBorder="1" applyAlignment="1">
      <alignment horizontal="center" vertical="center"/>
    </xf>
    <xf numFmtId="191" fontId="56" fillId="5" borderId="9" xfId="14" applyNumberFormat="1" applyFont="1" applyFill="1" applyBorder="1" applyAlignment="1">
      <alignment horizontal="right" vertical="center"/>
    </xf>
    <xf numFmtId="191" fontId="56" fillId="5" borderId="2" xfId="14" applyNumberFormat="1" applyFont="1" applyFill="1" applyBorder="1" applyAlignment="1">
      <alignment horizontal="right" vertical="center"/>
    </xf>
    <xf numFmtId="191" fontId="56" fillId="5" borderId="9" xfId="14" applyNumberFormat="1" applyFont="1" applyFill="1" applyBorder="1" applyAlignment="1" applyProtection="1">
      <alignment horizontal="right" vertical="center"/>
      <protection locked="0"/>
    </xf>
    <xf numFmtId="191" fontId="56" fillId="5" borderId="2" xfId="14" applyNumberFormat="1" applyFont="1" applyFill="1" applyBorder="1" applyAlignment="1" applyProtection="1">
      <alignment horizontal="right" vertical="center"/>
      <protection locked="0"/>
    </xf>
    <xf numFmtId="0" fontId="27" fillId="0" borderId="4" xfId="14" applyBorder="1" applyAlignment="1">
      <alignment horizontal="center" vertical="center"/>
    </xf>
    <xf numFmtId="0" fontId="27" fillId="0" borderId="3" xfId="14" applyBorder="1" applyAlignment="1">
      <alignment horizontal="center" vertical="center"/>
    </xf>
    <xf numFmtId="0" fontId="27" fillId="0" borderId="5" xfId="14" applyBorder="1" applyAlignment="1">
      <alignment horizontal="center" vertical="center"/>
    </xf>
    <xf numFmtId="0" fontId="27" fillId="0" borderId="86" xfId="14" applyBorder="1" applyAlignment="1">
      <alignment vertical="center"/>
    </xf>
    <xf numFmtId="0" fontId="27" fillId="0" borderId="66" xfId="14" applyBorder="1" applyAlignment="1">
      <alignment vertical="center"/>
    </xf>
    <xf numFmtId="180" fontId="29" fillId="0" borderId="10" xfId="14" applyNumberFormat="1" applyFont="1" applyBorder="1" applyAlignment="1">
      <alignment vertical="center"/>
    </xf>
    <xf numFmtId="180" fontId="29" fillId="0" borderId="11" xfId="14" applyNumberFormat="1" applyFont="1" applyBorder="1" applyAlignment="1">
      <alignment vertical="center"/>
    </xf>
    <xf numFmtId="191" fontId="58" fillId="0" borderId="6" xfId="14" applyNumberFormat="1" applyFont="1" applyBorder="1" applyAlignment="1">
      <alignment horizontal="right" vertical="center"/>
    </xf>
    <xf numFmtId="191" fontId="58" fillId="0" borderId="0" xfId="14" applyNumberFormat="1" applyFont="1" applyAlignment="1">
      <alignment horizontal="right" vertical="center"/>
    </xf>
    <xf numFmtId="191" fontId="56" fillId="5" borderId="68" xfId="14" applyNumberFormat="1" applyFont="1" applyFill="1" applyBorder="1" applyAlignment="1">
      <alignment horizontal="right" vertical="center"/>
    </xf>
    <xf numFmtId="191" fontId="56" fillId="5" borderId="69" xfId="14" applyNumberFormat="1" applyFont="1" applyFill="1" applyBorder="1" applyAlignment="1">
      <alignment horizontal="right" vertical="center"/>
    </xf>
    <xf numFmtId="191" fontId="56" fillId="5" borderId="87" xfId="14" applyNumberFormat="1" applyFont="1" applyFill="1" applyBorder="1" applyAlignment="1">
      <alignment horizontal="right" vertical="center"/>
    </xf>
    <xf numFmtId="191" fontId="56" fillId="5" borderId="6" xfId="14" applyNumberFormat="1" applyFont="1" applyFill="1" applyBorder="1" applyAlignment="1">
      <alignment horizontal="right" vertical="center"/>
    </xf>
    <xf numFmtId="191" fontId="56" fillId="5" borderId="0" xfId="14" applyNumberFormat="1" applyFont="1" applyFill="1" applyAlignment="1">
      <alignment horizontal="right" vertical="center"/>
    </xf>
    <xf numFmtId="0" fontId="27" fillId="0" borderId="0" xfId="14" applyAlignment="1">
      <alignment horizontal="right" vertical="center" shrinkToFit="1"/>
    </xf>
    <xf numFmtId="0" fontId="31" fillId="5" borderId="0" xfId="4" applyFont="1" applyFill="1" applyAlignment="1" applyProtection="1">
      <alignment horizontal="left" vertical="center"/>
      <protection locked="0"/>
    </xf>
    <xf numFmtId="0" fontId="95" fillId="0" borderId="1" xfId="8" applyFont="1" applyBorder="1" applyAlignment="1">
      <alignment horizontal="center"/>
    </xf>
    <xf numFmtId="0" fontId="27" fillId="0" borderId="41" xfId="3" applyFont="1" applyBorder="1" applyAlignment="1">
      <alignment horizontal="distributed" vertical="center"/>
    </xf>
    <xf numFmtId="0" fontId="27" fillId="0" borderId="41" xfId="3" applyFont="1" applyBorder="1" applyAlignment="1">
      <alignment horizontal="distributed"/>
    </xf>
    <xf numFmtId="0" fontId="27" fillId="0" borderId="45" xfId="3" applyFont="1" applyBorder="1" applyAlignment="1">
      <alignment horizontal="distributed" vertical="center"/>
    </xf>
    <xf numFmtId="0" fontId="27" fillId="0" borderId="53" xfId="3" applyFont="1" applyBorder="1" applyAlignment="1">
      <alignment horizontal="center" vertical="center"/>
    </xf>
    <xf numFmtId="0" fontId="32" fillId="0" borderId="16" xfId="3" applyFont="1" applyBorder="1" applyAlignment="1">
      <alignment horizontal="center" vertical="center"/>
    </xf>
    <xf numFmtId="0" fontId="32" fillId="0" borderId="18" xfId="3" applyFont="1" applyBorder="1" applyAlignment="1">
      <alignment horizontal="center" vertical="center"/>
    </xf>
    <xf numFmtId="0" fontId="27" fillId="0" borderId="16" xfId="3" applyFont="1" applyBorder="1" applyAlignment="1">
      <alignment horizontal="center" vertical="center"/>
    </xf>
    <xf numFmtId="0" fontId="27" fillId="0" borderId="40" xfId="3" applyFont="1" applyBorder="1" applyAlignment="1">
      <alignment horizontal="center" vertical="center"/>
    </xf>
    <xf numFmtId="0" fontId="10" fillId="0" borderId="0" xfId="3" applyAlignment="1">
      <alignment horizontal="center" wrapText="1"/>
    </xf>
    <xf numFmtId="0" fontId="32" fillId="0" borderId="0" xfId="3" applyFont="1" applyAlignment="1">
      <alignment vertical="center" shrinkToFit="1"/>
    </xf>
    <xf numFmtId="0" fontId="0" fillId="0" borderId="0" xfId="0" applyAlignment="1">
      <alignment vertical="center" shrinkToFit="1"/>
    </xf>
    <xf numFmtId="0" fontId="32" fillId="0" borderId="0" xfId="3" applyFont="1" applyAlignment="1">
      <alignment vertical="center" wrapText="1" shrinkToFit="1"/>
    </xf>
    <xf numFmtId="0" fontId="50" fillId="0" borderId="0" xfId="0" applyFont="1" applyAlignment="1">
      <alignment vertical="center" wrapText="1" shrinkToFit="1"/>
    </xf>
    <xf numFmtId="0" fontId="32" fillId="0" borderId="0" xfId="3" applyFont="1" applyAlignment="1">
      <alignment horizontal="center" vertical="center" wrapText="1"/>
    </xf>
    <xf numFmtId="0" fontId="10" fillId="0" borderId="41" xfId="3" applyBorder="1" applyAlignment="1">
      <alignment horizontal="distributed" vertical="center" wrapText="1"/>
    </xf>
    <xf numFmtId="0" fontId="10" fillId="0" borderId="21" xfId="3" applyBorder="1" applyAlignment="1">
      <alignment horizontal="distributed"/>
    </xf>
    <xf numFmtId="0" fontId="10" fillId="0" borderId="41" xfId="3" applyBorder="1" applyAlignment="1">
      <alignment horizontal="distributed" vertical="center"/>
    </xf>
    <xf numFmtId="0" fontId="10" fillId="0" borderId="45" xfId="3" applyBorder="1" applyAlignment="1">
      <alignment horizontal="distributed" vertical="center"/>
    </xf>
    <xf numFmtId="0" fontId="10" fillId="0" borderId="41" xfId="3" applyBorder="1" applyAlignment="1">
      <alignment horizontal="distributed" wrapText="1"/>
    </xf>
    <xf numFmtId="0" fontId="10" fillId="0" borderId="21" xfId="3" applyBorder="1" applyAlignment="1">
      <alignment horizontal="distributed" wrapText="1"/>
    </xf>
    <xf numFmtId="0" fontId="10" fillId="0" borderId="0" xfId="3" applyAlignment="1">
      <alignment horizontal="left" shrinkToFit="1"/>
    </xf>
    <xf numFmtId="0" fontId="10" fillId="0" borderId="0" xfId="3" applyAlignment="1">
      <alignment horizontal="left" vertical="center" wrapText="1"/>
    </xf>
    <xf numFmtId="0" fontId="10" fillId="0" borderId="18" xfId="3" applyBorder="1" applyAlignment="1">
      <alignment horizontal="center" vertical="center"/>
    </xf>
    <xf numFmtId="0" fontId="10" fillId="0" borderId="16" xfId="3" applyBorder="1" applyAlignment="1">
      <alignment horizontal="center" vertical="center"/>
    </xf>
    <xf numFmtId="0" fontId="10" fillId="0" borderId="40" xfId="3" applyBorder="1" applyAlignment="1">
      <alignment horizontal="center" vertical="center"/>
    </xf>
    <xf numFmtId="0" fontId="64" fillId="0" borderId="0" xfId="5" applyFont="1" applyAlignment="1">
      <alignment horizontal="center" vertical="center"/>
    </xf>
    <xf numFmtId="0" fontId="10" fillId="0" borderId="0" xfId="3" applyAlignment="1">
      <alignment horizontal="distributed"/>
    </xf>
    <xf numFmtId="0" fontId="10" fillId="0" borderId="0" xfId="3" applyAlignment="1" applyProtection="1">
      <alignment horizontal="left" shrinkToFit="1"/>
      <protection locked="0" hidden="1"/>
    </xf>
    <xf numFmtId="180" fontId="29" fillId="0" borderId="10" xfId="3" applyNumberFormat="1" applyFont="1" applyBorder="1"/>
    <xf numFmtId="0" fontId="10" fillId="0" borderId="9" xfId="3" applyBorder="1"/>
    <xf numFmtId="0" fontId="10" fillId="0" borderId="46" xfId="3" applyBorder="1"/>
    <xf numFmtId="0" fontId="10" fillId="0" borderId="14" xfId="3" applyBorder="1" applyAlignment="1">
      <alignment horizontal="distributed" vertical="center"/>
    </xf>
    <xf numFmtId="0" fontId="10" fillId="0" borderId="21" xfId="3" applyBorder="1"/>
    <xf numFmtId="0" fontId="27" fillId="0" borderId="15" xfId="3" applyFont="1" applyBorder="1" applyAlignment="1">
      <alignment horizontal="center" vertical="center"/>
    </xf>
    <xf numFmtId="0" fontId="10" fillId="0" borderId="15" xfId="3" applyBorder="1"/>
    <xf numFmtId="0" fontId="10" fillId="0" borderId="15" xfId="3" applyBorder="1" applyAlignment="1">
      <alignment horizontal="distributed" vertical="center" wrapText="1"/>
    </xf>
    <xf numFmtId="0" fontId="10" fillId="0" borderId="20" xfId="3" applyBorder="1" applyAlignment="1">
      <alignment horizontal="distributed" wrapText="1"/>
    </xf>
    <xf numFmtId="0" fontId="10" fillId="0" borderId="1" xfId="3" applyBorder="1" applyAlignment="1">
      <alignment horizontal="distributed" wrapText="1"/>
    </xf>
    <xf numFmtId="0" fontId="10" fillId="0" borderId="23" xfId="3" applyBorder="1" applyAlignment="1">
      <alignment horizontal="distributed" wrapText="1"/>
    </xf>
    <xf numFmtId="0" fontId="0" fillId="0" borderId="0" xfId="0" applyAlignment="1">
      <alignment shrinkToFit="1"/>
    </xf>
    <xf numFmtId="0" fontId="10" fillId="0" borderId="51" xfId="3" applyBorder="1" applyAlignment="1">
      <alignment horizontal="distributed" vertical="center"/>
    </xf>
    <xf numFmtId="0" fontId="10" fillId="0" borderId="52" xfId="3" applyBorder="1" applyAlignment="1">
      <alignment horizontal="distributed"/>
    </xf>
    <xf numFmtId="0" fontId="10" fillId="0" borderId="53" xfId="3" applyBorder="1" applyAlignment="1">
      <alignment horizontal="distributed"/>
    </xf>
    <xf numFmtId="0" fontId="10" fillId="0" borderId="10" xfId="3" applyBorder="1" applyAlignment="1">
      <alignment horizontal="left" vertical="center" wrapText="1"/>
    </xf>
    <xf numFmtId="0" fontId="10" fillId="0" borderId="6" xfId="3" applyBorder="1" applyAlignment="1">
      <alignment horizontal="left" vertical="center" wrapText="1"/>
    </xf>
    <xf numFmtId="180" fontId="29" fillId="0" borderId="6" xfId="3" applyNumberFormat="1" applyFont="1" applyBorder="1"/>
    <xf numFmtId="0" fontId="10" fillId="0" borderId="54" xfId="3" applyBorder="1" applyAlignment="1">
      <alignment horizontal="distributed"/>
    </xf>
    <xf numFmtId="0" fontId="8" fillId="0" borderId="10" xfId="3" applyFont="1" applyBorder="1" applyAlignment="1">
      <alignment horizontal="left" vertical="center" wrapText="1"/>
    </xf>
    <xf numFmtId="0" fontId="8" fillId="0" borderId="6" xfId="3" applyFont="1" applyBorder="1" applyAlignment="1">
      <alignment horizontal="left" vertical="center" wrapText="1"/>
    </xf>
    <xf numFmtId="0" fontId="10" fillId="0" borderId="63" xfId="3" applyBorder="1" applyAlignment="1">
      <alignment horizontal="distributed" vertical="center" wrapText="1"/>
    </xf>
    <xf numFmtId="0" fontId="10" fillId="0" borderId="71" xfId="3" applyBorder="1" applyAlignment="1">
      <alignment horizontal="distributed"/>
    </xf>
    <xf numFmtId="0" fontId="10" fillId="0" borderId="64" xfId="3" applyBorder="1" applyAlignment="1">
      <alignment horizontal="distributed"/>
    </xf>
    <xf numFmtId="0" fontId="10" fillId="0" borderId="63" xfId="3" applyBorder="1" applyAlignment="1">
      <alignment horizontal="distributed" vertical="center"/>
    </xf>
    <xf numFmtId="0" fontId="64" fillId="0" borderId="0" xfId="5" applyFont="1" applyAlignment="1">
      <alignment horizontal="left" vertical="center" shrinkToFit="1"/>
    </xf>
    <xf numFmtId="0" fontId="65" fillId="0" borderId="0" xfId="5" applyFont="1" applyAlignment="1">
      <alignment horizontal="center" vertical="center"/>
    </xf>
    <xf numFmtId="0" fontId="66" fillId="0" borderId="0" xfId="5" applyFont="1" applyAlignment="1">
      <alignment horizontal="center" vertical="center"/>
    </xf>
    <xf numFmtId="0" fontId="64" fillId="0" borderId="0" xfId="5" applyFont="1" applyAlignment="1">
      <alignment shrinkToFit="1"/>
    </xf>
  </cellXfs>
  <cellStyles count="18">
    <cellStyle name="パーセント 2" xfId="12" xr:uid="{6C8262E2-4CF7-46EB-AE05-7C35121F80C8}"/>
    <cellStyle name="ハイパーリンク" xfId="7" builtinId="8"/>
    <cellStyle name="桁区切り" xfId="17" builtinId="6"/>
    <cellStyle name="桁区切り 2" xfId="13" xr:uid="{FD517B2C-F9D5-42D6-BE84-4A9360624CB9}"/>
    <cellStyle name="桁区切り 4" xfId="6" xr:uid="{0C815BD3-3CDF-41D1-8AFA-0C54B0C1595F}"/>
    <cellStyle name="標準" xfId="0" builtinId="0"/>
    <cellStyle name="標準 14" xfId="5" xr:uid="{46245972-EBAC-492F-A1EC-6764277453A9}"/>
    <cellStyle name="標準 2" xfId="3" xr:uid="{00BDD4EB-149C-4756-9B93-37B01716852E}"/>
    <cellStyle name="標準 2 2" xfId="9" xr:uid="{CC6F3CB3-5060-4086-81F5-7980A9C254AE}"/>
    <cellStyle name="標準 2 3" xfId="14" xr:uid="{2749F4BF-2C77-458D-963A-A5C37007F79B}"/>
    <cellStyle name="標準 3" xfId="11" xr:uid="{FF004E05-5B40-4B91-9824-05DC95C50F1A}"/>
    <cellStyle name="標準 3 2" xfId="15" xr:uid="{E1F7E3DA-00B5-4A33-9ED9-D5D682FB8D2D}"/>
    <cellStyle name="標準 3 4" xfId="8" xr:uid="{FF5E1DCF-8525-497A-A76B-B37E9E9AA3B4}"/>
    <cellStyle name="標準 4" xfId="16" xr:uid="{9CA0EDD3-BDBF-45CE-8113-61BA69DC1246}"/>
    <cellStyle name="標準 6 2" xfId="10" xr:uid="{5E777D77-FCFD-4072-9A19-433B4F439E38}"/>
    <cellStyle name="標準_Sheet1" xfId="2" xr:uid="{C8ABFD82-73CE-4718-8F18-6A61157CC3BE}"/>
    <cellStyle name="標準_Sheet1_確定通知 (2)" xfId="4" xr:uid="{6CC2FCBB-CF0F-4E19-8EA7-4E4E8B0CFD13}"/>
    <cellStyle name="標準_職員名簿" xfId="1" xr:uid="{AEAE0195-782F-4290-8BA6-5806B7D9305D}"/>
  </cellStyles>
  <dxfs count="106">
    <dxf>
      <fill>
        <patternFill>
          <bgColor rgb="FFFFFF00"/>
        </patternFill>
      </fill>
    </dxf>
    <dxf>
      <fill>
        <patternFill>
          <bgColor rgb="FFFFFF00"/>
        </patternFill>
      </fill>
    </dxf>
    <dxf>
      <fill>
        <patternFill>
          <bgColor rgb="FFFFFF00"/>
        </patternFill>
      </fill>
    </dxf>
    <dxf>
      <border>
        <left/>
        <right/>
        <bottom/>
        <vertical/>
        <horizontal/>
      </border>
    </dxf>
    <dxf>
      <font>
        <u/>
        <color auto="1"/>
      </font>
      <fill>
        <patternFill>
          <bgColor rgb="FFFFFF00"/>
        </patternFill>
      </fill>
    </dxf>
    <dxf>
      <font>
        <b/>
        <i val="0"/>
        <color theme="0"/>
      </font>
      <fill>
        <patternFill>
          <bgColor rgb="FFFF00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34998626667073579"/>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rgb="FF9C0006"/>
      </font>
      <fill>
        <patternFill>
          <bgColor rgb="FFFFC7CE"/>
        </patternFill>
      </fill>
    </dxf>
    <dxf>
      <fill>
        <patternFill>
          <bgColor rgb="FFFFFF00"/>
        </patternFill>
      </fill>
    </dxf>
    <dxf>
      <font>
        <b/>
        <i val="0"/>
        <color theme="0"/>
      </font>
      <fill>
        <patternFill>
          <bgColor rgb="FFFF0000"/>
        </patternFill>
      </fill>
    </dxf>
    <dxf>
      <fill>
        <patternFill>
          <bgColor rgb="FFFF0000"/>
        </patternFill>
      </fill>
    </dxf>
    <dxf>
      <fill>
        <patternFill>
          <bgColor theme="1" tint="0.499984740745262"/>
        </patternFill>
      </fill>
    </dxf>
    <dxf>
      <fill>
        <patternFill>
          <bgColor theme="1" tint="0.499984740745262"/>
        </patternFill>
      </fill>
    </dxf>
    <dxf>
      <font>
        <color rgb="FF9C0006"/>
      </font>
      <fill>
        <patternFill>
          <bgColor rgb="FFFF0000"/>
        </patternFill>
      </fill>
    </dxf>
    <dxf>
      <fill>
        <patternFill>
          <bgColor rgb="FFFF0000"/>
        </patternFill>
      </fill>
    </dxf>
    <dxf>
      <fill>
        <patternFill>
          <bgColor theme="0" tint="-0.499984740745262"/>
        </patternFill>
      </fill>
    </dxf>
    <dxf>
      <fill>
        <patternFill>
          <bgColor rgb="FFFF0000"/>
        </patternFill>
      </fill>
    </dxf>
    <dxf>
      <fill>
        <patternFill>
          <bgColor rgb="FFFF0000"/>
        </patternFill>
      </fill>
    </dxf>
    <dxf>
      <fill>
        <patternFill>
          <bgColor theme="1" tint="0.499984740745262"/>
        </patternFill>
      </fill>
    </dxf>
    <dxf>
      <fill>
        <patternFill>
          <bgColor rgb="FFFF0000"/>
        </patternFill>
      </fill>
    </dxf>
    <dxf>
      <fill>
        <patternFill>
          <bgColor rgb="FFFF0000"/>
        </patternFill>
      </fill>
    </dxf>
    <dxf>
      <fill>
        <patternFill>
          <bgColor theme="0" tint="-0.499984740745262"/>
        </patternFill>
      </fill>
    </dxf>
    <dxf>
      <fill>
        <patternFill>
          <bgColor rgb="FFFF0000"/>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0000"/>
        </patternFill>
      </fill>
    </dxf>
    <dxf>
      <fill>
        <patternFill>
          <bgColor rgb="FFFF0000"/>
        </patternFill>
      </fill>
    </dxf>
  </dxfs>
  <tableStyles count="0" defaultTableStyle="TableStyleMedium2" defaultPivotStyle="PivotStyleLight16"/>
  <colors>
    <mruColors>
      <color rgb="FFFF99FF"/>
      <color rgb="FF0000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theme" Target="theme/theme1.xml"/></Relationships>
</file>

<file path=xl/drawings/_rels/drawing11.xml.rels><?xml version="1.0" encoding="UTF-8" standalone="yes"?>
<Relationships xmlns="http://schemas.openxmlformats.org/package/2006/relationships"><Relationship Id="rId1" Type="http://schemas.openxmlformats.org/officeDocument/2006/relationships/image" Target="../media/image7.emf"/></Relationships>
</file>

<file path=xl/drawings/_rels/drawing12.xml.rels><?xml version="1.0" encoding="UTF-8" standalone="yes"?>
<Relationships xmlns="http://schemas.openxmlformats.org/package/2006/relationships"><Relationship Id="rId1" Type="http://schemas.openxmlformats.org/officeDocument/2006/relationships/image" Target="../media/image9.emf"/></Relationships>
</file>

<file path=xl/drawings/_rels/drawing13.xml.rels><?xml version="1.0" encoding="UTF-8" standalone="yes"?>
<Relationships xmlns="http://schemas.openxmlformats.org/package/2006/relationships"><Relationship Id="rId1" Type="http://schemas.openxmlformats.org/officeDocument/2006/relationships/image" Target="../media/image9.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6.xml.rels><?xml version="1.0" encoding="UTF-8" standalone="yes"?>
<Relationships xmlns="http://schemas.openxmlformats.org/package/2006/relationships"><Relationship Id="rId1" Type="http://schemas.openxmlformats.org/officeDocument/2006/relationships/image" Target="../media/image13.emf"/></Relationships>
</file>

<file path=xl/drawings/_rels/drawing17.xml.rels><?xml version="1.0" encoding="UTF-8" standalone="yes"?>
<Relationships xmlns="http://schemas.openxmlformats.org/package/2006/relationships"><Relationship Id="rId1" Type="http://schemas.openxmlformats.org/officeDocument/2006/relationships/image" Target="../media/image15.emf"/></Relationships>
</file>

<file path=xl/drawings/_rels/drawing21.xml.rels><?xml version="1.0" encoding="UTF-8" standalone="yes"?>
<Relationships xmlns="http://schemas.openxmlformats.org/package/2006/relationships"><Relationship Id="rId1" Type="http://schemas.openxmlformats.org/officeDocument/2006/relationships/image" Target="../media/image17.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4.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6.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8.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0.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0.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2.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xdr:twoCellAnchor>
    <xdr:from>
      <xdr:col>3</xdr:col>
      <xdr:colOff>717549</xdr:colOff>
      <xdr:row>0</xdr:row>
      <xdr:rowOff>296184</xdr:rowOff>
    </xdr:from>
    <xdr:to>
      <xdr:col>5</xdr:col>
      <xdr:colOff>129494</xdr:colOff>
      <xdr:row>2</xdr:row>
      <xdr:rowOff>146505</xdr:rowOff>
    </xdr:to>
    <xdr:sp macro="" textlink="">
      <xdr:nvSpPr>
        <xdr:cNvPr id="3" name="テキスト ボックス 2">
          <a:extLst>
            <a:ext uri="{FF2B5EF4-FFF2-40B4-BE49-F238E27FC236}">
              <a16:creationId xmlns:a16="http://schemas.microsoft.com/office/drawing/2014/main" id="{E0000689-749A-4331-9BD9-93C604059515}"/>
            </a:ext>
          </a:extLst>
        </xdr:cNvPr>
        <xdr:cNvSpPr txBox="1"/>
      </xdr:nvSpPr>
      <xdr:spPr>
        <a:xfrm>
          <a:off x="2500085" y="296184"/>
          <a:ext cx="1915659" cy="449035"/>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水色セル：パソナ貼付け</a:t>
          </a:r>
          <a:endParaRPr kumimoji="1" lang="en-US" altLang="ja-JP" sz="1100"/>
        </a:p>
      </xdr:txBody>
    </xdr:sp>
    <xdr:clientData/>
  </xdr:twoCellAnchor>
  <xdr:twoCellAnchor>
    <xdr:from>
      <xdr:col>0</xdr:col>
      <xdr:colOff>449036</xdr:colOff>
      <xdr:row>0</xdr:row>
      <xdr:rowOff>285750</xdr:rowOff>
    </xdr:from>
    <xdr:to>
      <xdr:col>3</xdr:col>
      <xdr:colOff>591684</xdr:colOff>
      <xdr:row>2</xdr:row>
      <xdr:rowOff>136071</xdr:rowOff>
    </xdr:to>
    <xdr:sp macro="" textlink="">
      <xdr:nvSpPr>
        <xdr:cNvPr id="6" name="テキスト ボックス 5">
          <a:extLst>
            <a:ext uri="{FF2B5EF4-FFF2-40B4-BE49-F238E27FC236}">
              <a16:creationId xmlns:a16="http://schemas.microsoft.com/office/drawing/2014/main" id="{27646956-A5DD-4868-98B6-4FD43E71A13A}"/>
            </a:ext>
          </a:extLst>
        </xdr:cNvPr>
        <xdr:cNvSpPr txBox="1"/>
      </xdr:nvSpPr>
      <xdr:spPr>
        <a:xfrm>
          <a:off x="449036" y="285750"/>
          <a:ext cx="1925184" cy="44903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黄色セル：運営課修正</a:t>
          </a:r>
        </a:p>
      </xdr:txBody>
    </xdr:sp>
    <xdr:clientData/>
  </xdr:twoCellAnchor>
  <xdr:twoCellAnchor>
    <xdr:from>
      <xdr:col>0</xdr:col>
      <xdr:colOff>479425</xdr:colOff>
      <xdr:row>2</xdr:row>
      <xdr:rowOff>216243</xdr:rowOff>
    </xdr:from>
    <xdr:to>
      <xdr:col>3</xdr:col>
      <xdr:colOff>615723</xdr:colOff>
      <xdr:row>2</xdr:row>
      <xdr:rowOff>671628</xdr:rowOff>
    </xdr:to>
    <xdr:sp macro="" textlink="">
      <xdr:nvSpPr>
        <xdr:cNvPr id="7" name="テキスト ボックス 6">
          <a:extLst>
            <a:ext uri="{FF2B5EF4-FFF2-40B4-BE49-F238E27FC236}">
              <a16:creationId xmlns:a16="http://schemas.microsoft.com/office/drawing/2014/main" id="{7257D7B3-5D7D-431D-BDF3-FD057C8C5E03}"/>
            </a:ext>
          </a:extLst>
        </xdr:cNvPr>
        <xdr:cNvSpPr txBox="1"/>
      </xdr:nvSpPr>
      <xdr:spPr>
        <a:xfrm>
          <a:off x="479425" y="814957"/>
          <a:ext cx="1918834" cy="45538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緑セル：運営課貼付け</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21</xdr:col>
      <xdr:colOff>671513</xdr:colOff>
      <xdr:row>9</xdr:row>
      <xdr:rowOff>195264</xdr:rowOff>
    </xdr:from>
    <xdr:to>
      <xdr:col>29</xdr:col>
      <xdr:colOff>9527</xdr:colOff>
      <xdr:row>12</xdr:row>
      <xdr:rowOff>133353</xdr:rowOff>
    </xdr:to>
    <xdr:sp macro="" textlink="">
      <xdr:nvSpPr>
        <xdr:cNvPr id="2" name="右中かっこ 1">
          <a:extLst>
            <a:ext uri="{FF2B5EF4-FFF2-40B4-BE49-F238E27FC236}">
              <a16:creationId xmlns:a16="http://schemas.microsoft.com/office/drawing/2014/main" id="{00000000-0008-0000-1100-000002000000}"/>
            </a:ext>
          </a:extLst>
        </xdr:cNvPr>
        <xdr:cNvSpPr/>
      </xdr:nvSpPr>
      <xdr:spPr>
        <a:xfrm rot="5400000">
          <a:off x="12015788" y="-90486"/>
          <a:ext cx="652464" cy="5510214"/>
        </a:xfrm>
        <a:prstGeom prst="rightBrace">
          <a:avLst>
            <a:gd name="adj1" fmla="val 36509"/>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76200</xdr:colOff>
      <xdr:row>14</xdr:row>
      <xdr:rowOff>9525</xdr:rowOff>
    </xdr:from>
    <xdr:to>
      <xdr:col>28</xdr:col>
      <xdr:colOff>28575</xdr:colOff>
      <xdr:row>15</xdr:row>
      <xdr:rowOff>209550</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7221200" y="3343275"/>
          <a:ext cx="2009775" cy="43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①支出可能補助　算出</a:t>
          </a:r>
        </a:p>
      </xdr:txBody>
    </xdr:sp>
    <xdr:clientData/>
  </xdr:twoCellAnchor>
  <xdr:twoCellAnchor>
    <xdr:from>
      <xdr:col>30</xdr:col>
      <xdr:colOff>19050</xdr:colOff>
      <xdr:row>9</xdr:row>
      <xdr:rowOff>219075</xdr:rowOff>
    </xdr:from>
    <xdr:to>
      <xdr:col>49</xdr:col>
      <xdr:colOff>4764</xdr:colOff>
      <xdr:row>12</xdr:row>
      <xdr:rowOff>157164</xdr:rowOff>
    </xdr:to>
    <xdr:sp macro="" textlink="">
      <xdr:nvSpPr>
        <xdr:cNvPr id="4" name="右中かっこ 3">
          <a:extLst>
            <a:ext uri="{FF2B5EF4-FFF2-40B4-BE49-F238E27FC236}">
              <a16:creationId xmlns:a16="http://schemas.microsoft.com/office/drawing/2014/main" id="{00000000-0008-0000-1100-000004000000}"/>
            </a:ext>
          </a:extLst>
        </xdr:cNvPr>
        <xdr:cNvSpPr/>
      </xdr:nvSpPr>
      <xdr:spPr>
        <a:xfrm rot="5400000">
          <a:off x="26774775" y="-3819525"/>
          <a:ext cx="652464" cy="13015914"/>
        </a:xfrm>
        <a:prstGeom prst="rightBrace">
          <a:avLst>
            <a:gd name="adj1" fmla="val 36509"/>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47626</xdr:colOff>
      <xdr:row>14</xdr:row>
      <xdr:rowOff>133350</xdr:rowOff>
    </xdr:from>
    <xdr:to>
      <xdr:col>41</xdr:col>
      <xdr:colOff>514351</xdr:colOff>
      <xdr:row>21</xdr:row>
      <xdr:rowOff>228600</xdr:rowOff>
    </xdr:to>
    <xdr:sp macro="" textlink="">
      <xdr:nvSpPr>
        <xdr:cNvPr id="5" name="テキスト ボックス 4">
          <a:extLst>
            <a:ext uri="{FF2B5EF4-FFF2-40B4-BE49-F238E27FC236}">
              <a16:creationId xmlns:a16="http://schemas.microsoft.com/office/drawing/2014/main" id="{00000000-0008-0000-1100-000005000000}"/>
            </a:ext>
          </a:extLst>
        </xdr:cNvPr>
        <xdr:cNvSpPr txBox="1"/>
      </xdr:nvSpPr>
      <xdr:spPr>
        <a:xfrm>
          <a:off x="24612601" y="3467100"/>
          <a:ext cx="4752975" cy="1762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②計算順　該当する職種　</a:t>
          </a:r>
        </a:p>
      </xdr:txBody>
    </xdr:sp>
    <xdr:clientData/>
  </xdr:twoCellAnchor>
  <xdr:twoCellAnchor>
    <xdr:from>
      <xdr:col>39</xdr:col>
      <xdr:colOff>666751</xdr:colOff>
      <xdr:row>22</xdr:row>
      <xdr:rowOff>0</xdr:rowOff>
    </xdr:from>
    <xdr:to>
      <xdr:col>46</xdr:col>
      <xdr:colOff>666750</xdr:colOff>
      <xdr:row>29</xdr:row>
      <xdr:rowOff>38100</xdr:rowOff>
    </xdr:to>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a:off x="28089226" y="5238750"/>
          <a:ext cx="4962524" cy="17049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要件緩和の参入可能（補助可能）数について</a:t>
          </a:r>
          <a:endParaRPr kumimoji="1" lang="en-US" altLang="ja-JP" sz="1100"/>
        </a:p>
        <a:p>
          <a:r>
            <a:rPr kumimoji="1" lang="ja-JP" altLang="en-US" sz="1100"/>
            <a:t>基本マックス３（４）人</a:t>
          </a:r>
          <a:endParaRPr kumimoji="1" lang="en-US" altLang="ja-JP" sz="1100"/>
        </a:p>
        <a:p>
          <a:r>
            <a:rPr kumimoji="1" lang="ja-JP" altLang="en-US" sz="1100"/>
            <a:t>　→一般加算を含めて上記の人数だっけ？</a:t>
          </a:r>
          <a:endParaRPr kumimoji="1" lang="en-US" altLang="ja-JP" sz="1100"/>
        </a:p>
        <a:p>
          <a:r>
            <a:rPr kumimoji="1" lang="ja-JP" altLang="en-US" sz="1100"/>
            <a:t>　　特定加算だけ別？</a:t>
          </a:r>
          <a:endParaRPr kumimoji="1" lang="en-US" altLang="ja-JP" sz="1100"/>
        </a:p>
        <a:p>
          <a:endParaRPr kumimoji="1" lang="en-US" altLang="ja-JP" sz="1100"/>
        </a:p>
        <a:p>
          <a:r>
            <a:rPr kumimoji="1" lang="ja-JP" altLang="en-US" sz="1100"/>
            <a:t>今は基本加算でマックス３（４）になってる</a:t>
          </a:r>
        </a:p>
      </xdr:txBody>
    </xdr:sp>
    <xdr:clientData/>
  </xdr:twoCellAnchor>
  <xdr:twoCellAnchor>
    <xdr:from>
      <xdr:col>26</xdr:col>
      <xdr:colOff>466726</xdr:colOff>
      <xdr:row>3</xdr:row>
      <xdr:rowOff>95250</xdr:rowOff>
    </xdr:from>
    <xdr:to>
      <xdr:col>33</xdr:col>
      <xdr:colOff>85726</xdr:colOff>
      <xdr:row>7</xdr:row>
      <xdr:rowOff>57150</xdr:rowOff>
    </xdr:to>
    <xdr:sp macro="" textlink="">
      <xdr:nvSpPr>
        <xdr:cNvPr id="8" name="テキスト ボックス 7">
          <a:extLst>
            <a:ext uri="{FF2B5EF4-FFF2-40B4-BE49-F238E27FC236}">
              <a16:creationId xmlns:a16="http://schemas.microsoft.com/office/drawing/2014/main" id="{00000000-0008-0000-1100-000008000000}"/>
            </a:ext>
          </a:extLst>
        </xdr:cNvPr>
        <xdr:cNvSpPr txBox="1"/>
      </xdr:nvSpPr>
      <xdr:spPr>
        <a:xfrm>
          <a:off x="18297526" y="809625"/>
          <a:ext cx="3733800" cy="9144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AG</a:t>
          </a:r>
          <a:r>
            <a:rPr kumimoji="1" lang="ja-JP" altLang="en-US" sz="1100"/>
            <a:t>列</a:t>
          </a:r>
          <a:endParaRPr kumimoji="1" lang="en-US" altLang="ja-JP" sz="1100"/>
        </a:p>
        <a:p>
          <a:r>
            <a:rPr kumimoji="1" lang="en-US" altLang="ja-JP" sz="1100"/>
            <a:t>S</a:t>
          </a:r>
          <a:r>
            <a:rPr kumimoji="1" lang="ja-JP" altLang="en-US" sz="1100"/>
            <a:t>列の医ケアがいるときは看護師も対象</a:t>
          </a:r>
          <a:endParaRPr kumimoji="1" lang="en-US" altLang="ja-JP" sz="1100"/>
        </a:p>
        <a:p>
          <a:r>
            <a:rPr kumimoji="1" lang="ja-JP" altLang="en-US" sz="1100"/>
            <a:t>いないときは看護師を対象外とする</a:t>
          </a:r>
        </a:p>
      </xdr:txBody>
    </xdr:sp>
    <xdr:clientData/>
  </xdr:twoCellAnchor>
  <xdr:twoCellAnchor>
    <xdr:from>
      <xdr:col>34</xdr:col>
      <xdr:colOff>0</xdr:colOff>
      <xdr:row>1</xdr:row>
      <xdr:rowOff>219075</xdr:rowOff>
    </xdr:from>
    <xdr:to>
      <xdr:col>39</xdr:col>
      <xdr:colOff>304800</xdr:colOff>
      <xdr:row>5</xdr:row>
      <xdr:rowOff>180975</xdr:rowOff>
    </xdr:to>
    <xdr:sp macro="" textlink="">
      <xdr:nvSpPr>
        <xdr:cNvPr id="9" name="テキスト ボックス 8">
          <a:extLst>
            <a:ext uri="{FF2B5EF4-FFF2-40B4-BE49-F238E27FC236}">
              <a16:creationId xmlns:a16="http://schemas.microsoft.com/office/drawing/2014/main" id="{00000000-0008-0000-1100-000009000000}"/>
            </a:ext>
          </a:extLst>
        </xdr:cNvPr>
        <xdr:cNvSpPr txBox="1"/>
      </xdr:nvSpPr>
      <xdr:spPr>
        <a:xfrm>
          <a:off x="22631400" y="457200"/>
          <a:ext cx="3733800" cy="9144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看護師１人「だけ」加配のとき、一般加算から出す？</a:t>
          </a:r>
          <a:endParaRPr kumimoji="1" lang="en-US" altLang="ja-JP" sz="1100"/>
        </a:p>
        <a:p>
          <a:r>
            <a:rPr kumimoji="1" lang="ja-JP" altLang="en-US" sz="1100"/>
            <a:t>　→　不要では。</a:t>
          </a:r>
        </a:p>
      </xdr:txBody>
    </xdr:sp>
    <xdr:clientData/>
  </xdr:twoCellAnchor>
  <xdr:twoCellAnchor>
    <xdr:from>
      <xdr:col>21</xdr:col>
      <xdr:colOff>9525</xdr:colOff>
      <xdr:row>3</xdr:row>
      <xdr:rowOff>47625</xdr:rowOff>
    </xdr:from>
    <xdr:to>
      <xdr:col>26</xdr:col>
      <xdr:colOff>314325</xdr:colOff>
      <xdr:row>7</xdr:row>
      <xdr:rowOff>9525</xdr:rowOff>
    </xdr:to>
    <xdr:sp macro="" textlink="">
      <xdr:nvSpPr>
        <xdr:cNvPr id="10" name="テキスト ボックス 9">
          <a:extLst>
            <a:ext uri="{FF2B5EF4-FFF2-40B4-BE49-F238E27FC236}">
              <a16:creationId xmlns:a16="http://schemas.microsoft.com/office/drawing/2014/main" id="{00000000-0008-0000-1100-00000A000000}"/>
            </a:ext>
          </a:extLst>
        </xdr:cNvPr>
        <xdr:cNvSpPr txBox="1"/>
      </xdr:nvSpPr>
      <xdr:spPr>
        <a:xfrm>
          <a:off x="14411325" y="762000"/>
          <a:ext cx="3733800" cy="91440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他のブックへのリンク探せない・・・</a:t>
          </a:r>
        </a:p>
      </xdr:txBody>
    </xdr:sp>
    <xdr:clientData/>
  </xdr:twoCellAnchor>
  <xdr:twoCellAnchor>
    <xdr:from>
      <xdr:col>28</xdr:col>
      <xdr:colOff>514350</xdr:colOff>
      <xdr:row>14</xdr:row>
      <xdr:rowOff>152401</xdr:rowOff>
    </xdr:from>
    <xdr:to>
      <xdr:col>32</xdr:col>
      <xdr:colOff>609600</xdr:colOff>
      <xdr:row>21</xdr:row>
      <xdr:rowOff>47626</xdr:rowOff>
    </xdr:to>
    <xdr:sp macro="" textlink="">
      <xdr:nvSpPr>
        <xdr:cNvPr id="12" name="テキスト ボックス 11">
          <a:extLst>
            <a:ext uri="{FF2B5EF4-FFF2-40B4-BE49-F238E27FC236}">
              <a16:creationId xmlns:a16="http://schemas.microsoft.com/office/drawing/2014/main" id="{00000000-0008-0000-1100-00000C000000}"/>
            </a:ext>
          </a:extLst>
        </xdr:cNvPr>
        <xdr:cNvSpPr txBox="1"/>
      </xdr:nvSpPr>
      <xdr:spPr>
        <a:xfrm>
          <a:off x="19716750" y="3486151"/>
          <a:ext cx="2838450" cy="15621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en-US" altLang="ja-JP" sz="1100"/>
            <a:t>W</a:t>
          </a:r>
          <a:r>
            <a:rPr kumimoji="1" lang="ja-JP" altLang="en-US" sz="1100"/>
            <a:t>列</a:t>
          </a:r>
          <a:endParaRPr kumimoji="1" lang="en-US" altLang="ja-JP" sz="1100"/>
        </a:p>
        <a:p>
          <a:r>
            <a:rPr kumimoji="1" lang="ja-JP" altLang="en-US" sz="1100"/>
            <a:t>全てのスタートは基本１</a:t>
          </a:r>
        </a:p>
      </xdr:txBody>
    </xdr:sp>
    <xdr:clientData/>
  </xdr:twoCellAnchor>
  <xdr:twoCellAnchor>
    <xdr:from>
      <xdr:col>3</xdr:col>
      <xdr:colOff>666750</xdr:colOff>
      <xdr:row>17</xdr:row>
      <xdr:rowOff>0</xdr:rowOff>
    </xdr:from>
    <xdr:to>
      <xdr:col>10</xdr:col>
      <xdr:colOff>419100</xdr:colOff>
      <xdr:row>22</xdr:row>
      <xdr:rowOff>95250</xdr:rowOff>
    </xdr:to>
    <xdr:sp macro="" textlink="">
      <xdr:nvSpPr>
        <xdr:cNvPr id="14" name="テキスト ボックス 13">
          <a:extLst>
            <a:ext uri="{FF2B5EF4-FFF2-40B4-BE49-F238E27FC236}">
              <a16:creationId xmlns:a16="http://schemas.microsoft.com/office/drawing/2014/main" id="{00000000-0008-0000-1100-00000E000000}"/>
            </a:ext>
          </a:extLst>
        </xdr:cNvPr>
        <xdr:cNvSpPr txBox="1"/>
      </xdr:nvSpPr>
      <xdr:spPr>
        <a:xfrm>
          <a:off x="2724150" y="4048125"/>
          <a:ext cx="4552950" cy="12858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Ｋ列</a:t>
          </a:r>
          <a:endParaRPr kumimoji="1" lang="en-US" altLang="ja-JP" sz="1100"/>
        </a:p>
        <a:p>
          <a:r>
            <a:rPr kumimoji="1" lang="en-US" altLang="ja-JP" sz="1100"/>
            <a:t>S</a:t>
          </a:r>
          <a:r>
            <a:rPr kumimoji="1" lang="ja-JP" altLang="en-US" sz="1100"/>
            <a:t>列の医ケアがいるときは</a:t>
          </a:r>
          <a:r>
            <a:rPr kumimoji="1" lang="en-US" altLang="ja-JP" sz="1100"/>
            <a:t>min</a:t>
          </a:r>
          <a:r>
            <a:rPr kumimoji="1" lang="ja-JP" altLang="en-US" sz="1100"/>
            <a:t>（確保数</a:t>
          </a:r>
          <a:r>
            <a:rPr kumimoji="1" lang="en-US" altLang="ja-JP" sz="1100"/>
            <a:t>,</a:t>
          </a:r>
          <a:r>
            <a:rPr kumimoji="1" lang="ja-JP" altLang="en-US" sz="1100"/>
            <a:t>１</a:t>
          </a:r>
          <a:r>
            <a:rPr kumimoji="1" lang="en-US" altLang="ja-JP" sz="1100"/>
            <a:t>+</a:t>
          </a:r>
          <a:r>
            <a:rPr kumimoji="1" lang="ja-JP" altLang="en-US" sz="1100"/>
            <a:t>Ｒ列の要配慮加配数）</a:t>
          </a:r>
          <a:endParaRPr kumimoji="1" lang="en-US" altLang="ja-JP" sz="1100"/>
        </a:p>
        <a:p>
          <a:r>
            <a:rPr kumimoji="1" lang="en-US" altLang="ja-JP" sz="1100"/>
            <a:t>S</a:t>
          </a:r>
          <a:r>
            <a:rPr kumimoji="1" lang="ja-JP" altLang="en-US" sz="1100"/>
            <a:t>列の医ケアがいないときは１（看護師配置がある場合）</a:t>
          </a:r>
        </a:p>
      </xdr:txBody>
    </xdr:sp>
    <xdr:clientData/>
  </xdr:twoCellAnchor>
  <xdr:twoCellAnchor>
    <xdr:from>
      <xdr:col>29</xdr:col>
      <xdr:colOff>676275</xdr:colOff>
      <xdr:row>23</xdr:row>
      <xdr:rowOff>0</xdr:rowOff>
    </xdr:from>
    <xdr:to>
      <xdr:col>34</xdr:col>
      <xdr:colOff>600075</xdr:colOff>
      <xdr:row>30</xdr:row>
      <xdr:rowOff>114300</xdr:rowOff>
    </xdr:to>
    <xdr:sp macro="" textlink="">
      <xdr:nvSpPr>
        <xdr:cNvPr id="13" name="テキスト ボックス 12">
          <a:extLst>
            <a:ext uri="{FF2B5EF4-FFF2-40B4-BE49-F238E27FC236}">
              <a16:creationId xmlns:a16="http://schemas.microsoft.com/office/drawing/2014/main" id="{00000000-0008-0000-1100-00000D000000}"/>
            </a:ext>
          </a:extLst>
        </xdr:cNvPr>
        <xdr:cNvSpPr txBox="1"/>
      </xdr:nvSpPr>
      <xdr:spPr>
        <a:xfrm>
          <a:off x="20564475" y="7172325"/>
          <a:ext cx="3352800" cy="24574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en-US" altLang="ja-JP" sz="1100"/>
            <a:t>AE</a:t>
          </a:r>
          <a:r>
            <a:rPr kumimoji="1" lang="ja-JP" altLang="en-US" sz="1100"/>
            <a:t>列</a:t>
          </a:r>
          <a:endParaRPr kumimoji="1" lang="en-US" altLang="ja-JP" sz="1100"/>
        </a:p>
        <a:p>
          <a:r>
            <a:rPr kumimoji="1" lang="ja-JP" altLang="en-US" sz="1100"/>
            <a:t>保育士→要件緩和→看護師</a:t>
          </a:r>
          <a:endParaRPr kumimoji="1" lang="en-US" altLang="ja-JP" sz="1100"/>
        </a:p>
        <a:p>
          <a:r>
            <a:rPr kumimoji="1" lang="ja-JP" altLang="en-US" sz="1100"/>
            <a:t>上記でいない場合は、</a:t>
          </a:r>
          <a:r>
            <a:rPr kumimoji="1" lang="en-US" altLang="ja-JP" sz="1100"/>
            <a:t>AT</a:t>
          </a:r>
          <a:r>
            <a:rPr kumimoji="1" lang="ja-JP" altLang="en-US" sz="1100"/>
            <a:t>列で</a:t>
          </a:r>
          <a:endParaRPr kumimoji="1" lang="en-US" altLang="ja-JP" sz="1100"/>
        </a:p>
        <a:p>
          <a:r>
            <a:rPr kumimoji="1" lang="ja-JP" altLang="en-US" sz="1100"/>
            <a:t>支援者→栄養士以外→栄養士</a:t>
          </a:r>
          <a:endParaRPr kumimoji="1" lang="en-US" altLang="ja-JP" sz="1100"/>
        </a:p>
        <a:p>
          <a:endParaRPr kumimoji="1" lang="en-US" altLang="ja-JP" sz="1100"/>
        </a:p>
        <a:p>
          <a:r>
            <a:rPr kumimoji="1" lang="en-US" altLang="ja-JP" sz="1100"/>
            <a:t>AF</a:t>
          </a:r>
          <a:r>
            <a:rPr kumimoji="1" lang="ja-JP" altLang="en-US" sz="1100"/>
            <a:t>列以降は</a:t>
          </a:r>
          <a:endParaRPr kumimoji="1" lang="en-US" altLang="ja-JP" sz="1100"/>
        </a:p>
        <a:p>
          <a:r>
            <a:rPr kumimoji="1" lang="ja-JP" altLang="en-US" sz="1100"/>
            <a:t>要件緩和→看護師→保育士</a:t>
          </a: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69453</xdr:colOff>
          <xdr:row>7</xdr:row>
          <xdr:rowOff>68262</xdr:rowOff>
        </xdr:from>
        <xdr:to>
          <xdr:col>8</xdr:col>
          <xdr:colOff>438547</xdr:colOff>
          <xdr:row>19</xdr:row>
          <xdr:rowOff>102393</xdr:rowOff>
        </xdr:to>
        <xdr:pic>
          <xdr:nvPicPr>
            <xdr:cNvPr id="4" name="図 3">
              <a:extLst>
                <a:ext uri="{FF2B5EF4-FFF2-40B4-BE49-F238E27FC236}">
                  <a16:creationId xmlns:a16="http://schemas.microsoft.com/office/drawing/2014/main" id="{A5F00AC8-BAC7-3B05-EEAE-32EFC5A2703D}"/>
                </a:ext>
              </a:extLst>
            </xdr:cNvPr>
            <xdr:cNvPicPr>
              <a:picLocks noChangeAspect="1" noChangeArrowheads="1"/>
              <a:extLst>
                <a:ext uri="{84589F7E-364E-4C9E-8A38-B11213B215E9}">
                  <a14:cameraTool cellRange="カメラ!$E$26:$F$30" spid="_x0000_s121245"/>
                </a:ext>
              </a:extLst>
            </xdr:cNvPicPr>
          </xdr:nvPicPr>
          <xdr:blipFill>
            <a:blip xmlns:r="http://schemas.openxmlformats.org/officeDocument/2006/relationships" r:embed="rId1"/>
            <a:srcRect/>
            <a:stretch>
              <a:fillRect/>
            </a:stretch>
          </xdr:blipFill>
          <xdr:spPr bwMode="auto">
            <a:xfrm>
              <a:off x="736203" y="1963737"/>
              <a:ext cx="7084219" cy="2320131"/>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7</xdr:row>
          <xdr:rowOff>44450</xdr:rowOff>
        </xdr:from>
        <xdr:to>
          <xdr:col>8</xdr:col>
          <xdr:colOff>371475</xdr:colOff>
          <xdr:row>19</xdr:row>
          <xdr:rowOff>44450</xdr:rowOff>
        </xdr:to>
        <xdr:pic>
          <xdr:nvPicPr>
            <xdr:cNvPr id="2" name="図 1">
              <a:extLst>
                <a:ext uri="{FF2B5EF4-FFF2-40B4-BE49-F238E27FC236}">
                  <a16:creationId xmlns:a16="http://schemas.microsoft.com/office/drawing/2014/main" id="{318EB777-FC2A-1AB3-13B0-1ED04E90F9B6}"/>
                </a:ext>
              </a:extLst>
            </xdr:cNvPr>
            <xdr:cNvPicPr>
              <a:picLocks noChangeAspect="1" noChangeArrowheads="1"/>
              <a:extLst>
                <a:ext uri="{84589F7E-364E-4C9E-8A38-B11213B215E9}">
                  <a14:cameraTool cellRange="カメラ!$E$26:$F$30" spid="_x0000_s122262"/>
                </a:ext>
              </a:extLst>
            </xdr:cNvPicPr>
          </xdr:nvPicPr>
          <xdr:blipFill>
            <a:blip xmlns:r="http://schemas.openxmlformats.org/officeDocument/2006/relationships" r:embed="rId1"/>
            <a:srcRect/>
            <a:stretch>
              <a:fillRect/>
            </a:stretch>
          </xdr:blipFill>
          <xdr:spPr bwMode="auto">
            <a:xfrm>
              <a:off x="695325" y="1844675"/>
              <a:ext cx="7077075" cy="228600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152400</xdr:colOff>
          <xdr:row>7</xdr:row>
          <xdr:rowOff>82550</xdr:rowOff>
        </xdr:from>
        <xdr:to>
          <xdr:col>8</xdr:col>
          <xdr:colOff>492125</xdr:colOff>
          <xdr:row>19</xdr:row>
          <xdr:rowOff>92075</xdr:rowOff>
        </xdr:to>
        <xdr:pic>
          <xdr:nvPicPr>
            <xdr:cNvPr id="2" name="図 1">
              <a:extLst>
                <a:ext uri="{FF2B5EF4-FFF2-40B4-BE49-F238E27FC236}">
                  <a16:creationId xmlns:a16="http://schemas.microsoft.com/office/drawing/2014/main" id="{003576B0-F321-BC94-CA7B-B24207E6949C}"/>
                </a:ext>
              </a:extLst>
            </xdr:cNvPr>
            <xdr:cNvPicPr>
              <a:picLocks noChangeAspect="1" noChangeArrowheads="1"/>
              <a:extLst>
                <a:ext uri="{84589F7E-364E-4C9E-8A38-B11213B215E9}">
                  <a14:cameraTool cellRange="カメラ!$E$26:$F$30" spid="_x0000_s123280"/>
                </a:ext>
              </a:extLst>
            </xdr:cNvPicPr>
          </xdr:nvPicPr>
          <xdr:blipFill>
            <a:blip xmlns:r="http://schemas.openxmlformats.org/officeDocument/2006/relationships" r:embed="rId1"/>
            <a:srcRect/>
            <a:stretch>
              <a:fillRect/>
            </a:stretch>
          </xdr:blipFill>
          <xdr:spPr bwMode="auto">
            <a:xfrm>
              <a:off x="819150" y="1882775"/>
              <a:ext cx="7073900" cy="229552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63501</xdr:colOff>
          <xdr:row>11</xdr:row>
          <xdr:rowOff>61820</xdr:rowOff>
        </xdr:from>
        <xdr:to>
          <xdr:col>10</xdr:col>
          <xdr:colOff>196851</xdr:colOff>
          <xdr:row>30</xdr:row>
          <xdr:rowOff>31191</xdr:rowOff>
        </xdr:to>
        <xdr:pic>
          <xdr:nvPicPr>
            <xdr:cNvPr id="4" name="図 3">
              <a:extLst>
                <a:ext uri="{FF2B5EF4-FFF2-40B4-BE49-F238E27FC236}">
                  <a16:creationId xmlns:a16="http://schemas.microsoft.com/office/drawing/2014/main" id="{A3B15909-2460-A465-4AD8-29DAF17CC2CB}"/>
                </a:ext>
              </a:extLst>
            </xdr:cNvPr>
            <xdr:cNvPicPr>
              <a:picLocks noChangeAspect="1" noChangeArrowheads="1"/>
              <a:extLst>
                <a:ext uri="{84589F7E-364E-4C9E-8A38-B11213B215E9}">
                  <a14:cameraTool cellRange="カメラ!$E$34:$F$40" spid="_x0000_s124317"/>
                </a:ext>
              </a:extLst>
            </xdr:cNvPicPr>
          </xdr:nvPicPr>
          <xdr:blipFill>
            <a:blip xmlns:r="http://schemas.openxmlformats.org/officeDocument/2006/relationships" r:embed="rId1"/>
            <a:srcRect/>
            <a:stretch>
              <a:fillRect/>
            </a:stretch>
          </xdr:blipFill>
          <xdr:spPr bwMode="auto">
            <a:xfrm>
              <a:off x="489325" y="2840879"/>
              <a:ext cx="7072966" cy="3166222"/>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93009</xdr:colOff>
          <xdr:row>11</xdr:row>
          <xdr:rowOff>80496</xdr:rowOff>
        </xdr:from>
        <xdr:to>
          <xdr:col>10</xdr:col>
          <xdr:colOff>230655</xdr:colOff>
          <xdr:row>30</xdr:row>
          <xdr:rowOff>68916</xdr:rowOff>
        </xdr:to>
        <xdr:pic>
          <xdr:nvPicPr>
            <xdr:cNvPr id="3" name="図 2">
              <a:extLst>
                <a:ext uri="{FF2B5EF4-FFF2-40B4-BE49-F238E27FC236}">
                  <a16:creationId xmlns:a16="http://schemas.microsoft.com/office/drawing/2014/main" id="{95BFFDF7-76C8-A9FF-3389-1AD16C733809}"/>
                </a:ext>
              </a:extLst>
            </xdr:cNvPr>
            <xdr:cNvPicPr>
              <a:picLocks noChangeAspect="1" noChangeArrowheads="1"/>
              <a:extLst>
                <a:ext uri="{84589F7E-364E-4C9E-8A38-B11213B215E9}">
                  <a14:cameraTool cellRange="カメラ!$E$34:$F$40" spid="_x0000_s125336"/>
                </a:ext>
              </a:extLst>
            </xdr:cNvPicPr>
          </xdr:nvPicPr>
          <xdr:blipFill>
            <a:blip xmlns:r="http://schemas.openxmlformats.org/officeDocument/2006/relationships" r:embed="rId1"/>
            <a:srcRect/>
            <a:stretch>
              <a:fillRect/>
            </a:stretch>
          </xdr:blipFill>
          <xdr:spPr bwMode="auto">
            <a:xfrm>
              <a:off x="518833" y="2825937"/>
              <a:ext cx="7074087" cy="3182097"/>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69289</xdr:colOff>
          <xdr:row>16</xdr:row>
          <xdr:rowOff>140072</xdr:rowOff>
        </xdr:from>
        <xdr:to>
          <xdr:col>8</xdr:col>
          <xdr:colOff>197783</xdr:colOff>
          <xdr:row>30</xdr:row>
          <xdr:rowOff>47064</xdr:rowOff>
        </xdr:to>
        <xdr:pic>
          <xdr:nvPicPr>
            <xdr:cNvPr id="2" name="図 1">
              <a:extLst>
                <a:ext uri="{FF2B5EF4-FFF2-40B4-BE49-F238E27FC236}">
                  <a16:creationId xmlns:a16="http://schemas.microsoft.com/office/drawing/2014/main" id="{7E95203F-48F5-8500-D381-B673CE3D5499}"/>
                </a:ext>
              </a:extLst>
            </xdr:cNvPr>
            <xdr:cNvPicPr>
              <a:picLocks noChangeAspect="1" noChangeArrowheads="1"/>
              <a:extLst>
                <a:ext uri="{84589F7E-364E-4C9E-8A38-B11213B215E9}">
                  <a14:cameraTool cellRange="カメラ!$E$26:$F$30" spid="_x0000_s126346"/>
                </a:ext>
              </a:extLst>
            </xdr:cNvPicPr>
          </xdr:nvPicPr>
          <xdr:blipFill>
            <a:blip xmlns:r="http://schemas.openxmlformats.org/officeDocument/2006/relationships" r:embed="rId1"/>
            <a:srcRect/>
            <a:stretch>
              <a:fillRect/>
            </a:stretch>
          </xdr:blipFill>
          <xdr:spPr bwMode="auto">
            <a:xfrm>
              <a:off x="730436" y="3098425"/>
              <a:ext cx="7084172" cy="2263402"/>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18677</xdr:colOff>
          <xdr:row>10</xdr:row>
          <xdr:rowOff>59204</xdr:rowOff>
        </xdr:from>
        <xdr:to>
          <xdr:col>8</xdr:col>
          <xdr:colOff>159871</xdr:colOff>
          <xdr:row>23</xdr:row>
          <xdr:rowOff>121583</xdr:rowOff>
        </xdr:to>
        <xdr:pic>
          <xdr:nvPicPr>
            <xdr:cNvPr id="3" name="図 2">
              <a:extLst>
                <a:ext uri="{FF2B5EF4-FFF2-40B4-BE49-F238E27FC236}">
                  <a16:creationId xmlns:a16="http://schemas.microsoft.com/office/drawing/2014/main" id="{14AA3EFD-AC82-B64F-00A1-BA7B4D873111}"/>
                </a:ext>
              </a:extLst>
            </xdr:cNvPr>
            <xdr:cNvPicPr>
              <a:picLocks noChangeAspect="1" noChangeArrowheads="1"/>
              <a:extLst>
                <a:ext uri="{84589F7E-364E-4C9E-8A38-B11213B215E9}">
                  <a14:cameraTool cellRange="カメラ!$E$26:$F$30" spid="_x0000_s127371"/>
                </a:ext>
              </a:extLst>
            </xdr:cNvPicPr>
          </xdr:nvPicPr>
          <xdr:blipFill>
            <a:blip xmlns:r="http://schemas.openxmlformats.org/officeDocument/2006/relationships" r:embed="rId1"/>
            <a:srcRect/>
            <a:stretch>
              <a:fillRect/>
            </a:stretch>
          </xdr:blipFill>
          <xdr:spPr bwMode="auto">
            <a:xfrm>
              <a:off x="679824" y="2009028"/>
              <a:ext cx="7096872" cy="2244351"/>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18.xml><?xml version="1.0" encoding="utf-8"?>
<xdr:wsDr xmlns:xdr="http://schemas.openxmlformats.org/drawingml/2006/spreadsheetDrawing" xmlns:a="http://schemas.openxmlformats.org/drawingml/2006/main">
  <xdr:twoCellAnchor>
    <xdr:from>
      <xdr:col>6</xdr:col>
      <xdr:colOff>149225</xdr:colOff>
      <xdr:row>28</xdr:row>
      <xdr:rowOff>0</xdr:rowOff>
    </xdr:from>
    <xdr:to>
      <xdr:col>8</xdr:col>
      <xdr:colOff>1164166</xdr:colOff>
      <xdr:row>35</xdr:row>
      <xdr:rowOff>168275</xdr:rowOff>
    </xdr:to>
    <xdr:sp macro="" textlink="">
      <xdr:nvSpPr>
        <xdr:cNvPr id="4" name="テキスト ボックス 3">
          <a:extLst>
            <a:ext uri="{FF2B5EF4-FFF2-40B4-BE49-F238E27FC236}">
              <a16:creationId xmlns:a16="http://schemas.microsoft.com/office/drawing/2014/main" id="{01DF78EB-29BC-4CDF-BC6C-F284589DCCEA}"/>
            </a:ext>
          </a:extLst>
        </xdr:cNvPr>
        <xdr:cNvSpPr txBox="1"/>
      </xdr:nvSpPr>
      <xdr:spPr>
        <a:xfrm>
          <a:off x="5940425" y="6248400"/>
          <a:ext cx="3434291" cy="1568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rtl="0" eaLnBrk="1" latinLnBrk="0" hangingPunct="1"/>
          <a:r>
            <a:rPr kumimoji="1" lang="en-US" altLang="ja-JP" sz="1100" b="1" u="none">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b="1" u="none">
              <a:solidFill>
                <a:schemeClr val="dk1"/>
              </a:solidFill>
              <a:effectLst/>
              <a:latin typeface="BIZ UDPゴシック" panose="020B0400000000000000" pitchFamily="50" charset="-128"/>
              <a:ea typeface="BIZ UDPゴシック" panose="020B0400000000000000" pitchFamily="50" charset="-128"/>
              <a:cs typeface="+mn-cs"/>
            </a:rPr>
            <a:t>算出方法</a:t>
          </a:r>
          <a:r>
            <a:rPr kumimoji="1" lang="en-US" altLang="ja-JP" sz="1100" b="1" u="none">
              <a:solidFill>
                <a:schemeClr val="dk1"/>
              </a:solidFill>
              <a:effectLst/>
              <a:latin typeface="BIZ UDPゴシック" panose="020B0400000000000000" pitchFamily="50" charset="-128"/>
              <a:ea typeface="BIZ UDPゴシック" panose="020B0400000000000000" pitchFamily="50" charset="-128"/>
              <a:cs typeface="+mn-cs"/>
            </a:rPr>
            <a:t>】</a:t>
          </a:r>
        </a:p>
        <a:p>
          <a:pPr rtl="0" eaLnBrk="1" latinLnBrk="0" hangingPunct="1"/>
          <a:endParaRPr kumimoji="1" lang="en-US" altLang="ja-JP" sz="1100" b="1" u="sng">
            <a:solidFill>
              <a:schemeClr val="dk1"/>
            </a:solidFill>
            <a:effectLst/>
            <a:latin typeface="BIZ UDPゴシック" panose="020B0400000000000000" pitchFamily="50" charset="-128"/>
            <a:ea typeface="BIZ UDPゴシック" panose="020B0400000000000000" pitchFamily="50" charset="-128"/>
            <a:cs typeface="+mn-cs"/>
          </a:endParaRPr>
        </a:p>
        <a:p>
          <a:pPr rtl="0" eaLnBrk="1" latinLnBrk="0" hangingPunct="1"/>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Ａ </a:t>
          </a:r>
          <a:r>
            <a:rPr kumimoji="1" lang="ja-JP" altLang="en-US" sz="1100" b="1" u="sng">
              <a:solidFill>
                <a:srgbClr val="FF0000"/>
              </a:solidFill>
              <a:effectLst/>
              <a:latin typeface="BIZ UDPゴシック" panose="020B0400000000000000" pitchFamily="50" charset="-128"/>
              <a:ea typeface="BIZ UDPゴシック" panose="020B0400000000000000" pitchFamily="50" charset="-128"/>
              <a:cs typeface="+mn-cs"/>
            </a:rPr>
            <a:t>児童数</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 </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 </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Ｂ</a:t>
          </a:r>
          <a:r>
            <a:rPr kumimoji="1" lang="en-US" altLang="ja-JP" sz="1100" b="1" u="sng">
              <a:solidFill>
                <a:srgbClr val="FF0000"/>
              </a:solidFill>
              <a:effectLst/>
              <a:latin typeface="BIZ UDPゴシック" panose="020B0400000000000000" pitchFamily="50" charset="-128"/>
              <a:ea typeface="BIZ UDPゴシック" panose="020B0400000000000000" pitchFamily="50" charset="-128"/>
              <a:cs typeface="+mn-cs"/>
            </a:rPr>
            <a:t> </a:t>
          </a:r>
          <a:r>
            <a:rPr kumimoji="1" lang="ja-JP" altLang="ja-JP" sz="1100" b="1" u="sng">
              <a:solidFill>
                <a:srgbClr val="FF0000"/>
              </a:solidFill>
              <a:effectLst/>
              <a:latin typeface="BIZ UDPゴシック" panose="020B0400000000000000" pitchFamily="50" charset="-128"/>
              <a:ea typeface="BIZ UDPゴシック" panose="020B0400000000000000" pitchFamily="50" charset="-128"/>
              <a:cs typeface="+mn-cs"/>
            </a:rPr>
            <a:t>加算単価</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pPr rtl="0" eaLnBrk="1" latinLnBrk="0" hangingPunct="1"/>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rtl="0" eaLnBrk="1"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Ａ　各園が入力した児童数</a:t>
          </a:r>
          <a:endParaRPr lang="ja-JP" altLang="ja-JP">
            <a:effectLst/>
            <a:latin typeface="BIZ UDPゴシック" panose="020B0400000000000000" pitchFamily="50" charset="-128"/>
            <a:ea typeface="BIZ UDPゴシック" panose="020B0400000000000000" pitchFamily="50" charset="-128"/>
          </a:endParaRPr>
        </a:p>
        <a:p>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Ｂ　加算額のうちの基本単価分のみ</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R7</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年度ベース）</a:t>
          </a:r>
          <a:endParaRPr kumimoji="1" lang="ja-JP" altLang="en-US" sz="1100">
            <a:latin typeface="BIZ UDPゴシック" panose="020B0400000000000000" pitchFamily="50" charset="-128"/>
            <a:ea typeface="BIZ UDPゴシック" panose="020B0400000000000000" pitchFamily="50" charset="-128"/>
          </a:endParaRPr>
        </a:p>
      </xdr:txBody>
    </xdr:sp>
    <xdr:clientData/>
  </xdr:twoCellAnchor>
  <xdr:twoCellAnchor>
    <xdr:from>
      <xdr:col>6</xdr:col>
      <xdr:colOff>47624</xdr:colOff>
      <xdr:row>20</xdr:row>
      <xdr:rowOff>44450</xdr:rowOff>
    </xdr:from>
    <xdr:to>
      <xdr:col>18</xdr:col>
      <xdr:colOff>438149</xdr:colOff>
      <xdr:row>27</xdr:row>
      <xdr:rowOff>28575</xdr:rowOff>
    </xdr:to>
    <xdr:sp macro="" textlink="">
      <xdr:nvSpPr>
        <xdr:cNvPr id="7" name="テキスト ボックス 6">
          <a:extLst>
            <a:ext uri="{FF2B5EF4-FFF2-40B4-BE49-F238E27FC236}">
              <a16:creationId xmlns:a16="http://schemas.microsoft.com/office/drawing/2014/main" id="{1DAB8DB6-D09F-45CF-A451-90209D204AC4}"/>
            </a:ext>
          </a:extLst>
        </xdr:cNvPr>
        <xdr:cNvSpPr txBox="1"/>
      </xdr:nvSpPr>
      <xdr:spPr>
        <a:xfrm>
          <a:off x="5838824" y="4578350"/>
          <a:ext cx="7772400" cy="1498600"/>
        </a:xfrm>
        <a:prstGeom prst="rect">
          <a:avLst/>
        </a:prstGeom>
        <a:solidFill>
          <a:schemeClr val="accent6">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このシートの取り扱いについて</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1">
            <a:solidFill>
              <a:srgbClr val="FF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effectLst/>
              <a:latin typeface="BIZ UDPゴシック" panose="020B0400000000000000" pitchFamily="50" charset="-128"/>
              <a:ea typeface="BIZ UDPゴシック" panose="020B0400000000000000" pitchFamily="50" charset="-128"/>
              <a:cs typeface="+mn-cs"/>
            </a:rPr>
            <a:t>・このシートの内容を修正したい場合は、①基本情報、③児童数及び保育士定数 </a:t>
          </a:r>
          <a:r>
            <a:rPr kumimoji="1" lang="en-US" altLang="ja-JP" sz="1100" b="0">
              <a:solidFill>
                <a:sysClr val="windowText" lastClr="000000"/>
              </a:solidFill>
              <a:effectLst/>
              <a:latin typeface="BIZ UDPゴシック" panose="020B0400000000000000" pitchFamily="50" charset="-128"/>
              <a:ea typeface="BIZ UDPゴシック" panose="020B0400000000000000" pitchFamily="50" charset="-128"/>
              <a:cs typeface="+mn-cs"/>
            </a:rPr>
            <a:t>(2)-(1)</a:t>
          </a:r>
          <a:r>
            <a:rPr kumimoji="1" lang="ja-JP" altLang="en-US" sz="1100" b="0">
              <a:solidFill>
                <a:sysClr val="windowText" lastClr="000000"/>
              </a:solidFill>
              <a:effectLst/>
              <a:latin typeface="BIZ UDPゴシック" panose="020B0400000000000000" pitchFamily="50" charset="-128"/>
              <a:ea typeface="BIZ UDPゴシック" panose="020B0400000000000000" pitchFamily="50" charset="-128"/>
              <a:cs typeface="+mn-cs"/>
            </a:rPr>
            <a:t>のシートを修正してください。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effectLst/>
              <a:latin typeface="BIZ UDPゴシック" panose="020B0400000000000000" pitchFamily="50" charset="-128"/>
              <a:ea typeface="BIZ UDPゴシック" panose="020B0400000000000000" pitchFamily="50" charset="-128"/>
              <a:cs typeface="+mn-cs"/>
            </a:rPr>
            <a:t>・記載されている内容の確認をお願いします。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・加算単価については、</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R</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７</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年度単価を使用しております。実績報告時には改定される可能性がありますのでご留意ください。</a:t>
          </a:r>
          <a:endParaRPr lang="ja-JP" altLang="ja-JP">
            <a:effectLst/>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1">
            <a:solidFill>
              <a:srgbClr val="FF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13</xdr:col>
      <xdr:colOff>78442</xdr:colOff>
      <xdr:row>14</xdr:row>
      <xdr:rowOff>168088</xdr:rowOff>
    </xdr:from>
    <xdr:to>
      <xdr:col>17</xdr:col>
      <xdr:colOff>224118</xdr:colOff>
      <xdr:row>15</xdr:row>
      <xdr:rowOff>212912</xdr:rowOff>
    </xdr:to>
    <xdr:sp macro="" textlink="">
      <xdr:nvSpPr>
        <xdr:cNvPr id="2" name="正方形/長方形 1">
          <a:extLst>
            <a:ext uri="{FF2B5EF4-FFF2-40B4-BE49-F238E27FC236}">
              <a16:creationId xmlns:a16="http://schemas.microsoft.com/office/drawing/2014/main" id="{6A9AEC9C-EC11-4E6E-B72A-C8AB0F480941}"/>
            </a:ext>
          </a:extLst>
        </xdr:cNvPr>
        <xdr:cNvSpPr/>
      </xdr:nvSpPr>
      <xdr:spPr bwMode="auto">
        <a:xfrm>
          <a:off x="7117417" y="4174938"/>
          <a:ext cx="2952376" cy="346449"/>
        </a:xfrm>
        <a:prstGeom prst="rect">
          <a:avLst/>
        </a:prstGeom>
        <a:solidFill>
          <a:schemeClr val="accent1">
            <a:lumMod val="40000"/>
            <a:lumOff val="6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t>各金額は自動で計算されます。</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628650</xdr:colOff>
      <xdr:row>8</xdr:row>
      <xdr:rowOff>0</xdr:rowOff>
    </xdr:from>
    <xdr:to>
      <xdr:col>6</xdr:col>
      <xdr:colOff>19050</xdr:colOff>
      <xdr:row>8</xdr:row>
      <xdr:rowOff>215900</xdr:rowOff>
    </xdr:to>
    <xdr:sp macro="" textlink="">
      <xdr:nvSpPr>
        <xdr:cNvPr id="2" name="Text Box 1">
          <a:extLst>
            <a:ext uri="{FF2B5EF4-FFF2-40B4-BE49-F238E27FC236}">
              <a16:creationId xmlns:a16="http://schemas.microsoft.com/office/drawing/2014/main" id="{00000000-0008-0000-0500-000002000000}"/>
            </a:ext>
          </a:extLst>
        </xdr:cNvPr>
        <xdr:cNvSpPr txBox="1">
          <a:spLocks noChangeArrowheads="1"/>
        </xdr:cNvSpPr>
      </xdr:nvSpPr>
      <xdr:spPr bwMode="auto">
        <a:xfrm>
          <a:off x="3467100" y="24479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628650</xdr:colOff>
      <xdr:row>7</xdr:row>
      <xdr:rowOff>0</xdr:rowOff>
    </xdr:from>
    <xdr:to>
      <xdr:col>6</xdr:col>
      <xdr:colOff>19050</xdr:colOff>
      <xdr:row>8</xdr:row>
      <xdr:rowOff>158750</xdr:rowOff>
    </xdr:to>
    <xdr:sp macro="" textlink="">
      <xdr:nvSpPr>
        <xdr:cNvPr id="3" name="Text Box 1">
          <a:extLst>
            <a:ext uri="{FF2B5EF4-FFF2-40B4-BE49-F238E27FC236}">
              <a16:creationId xmlns:a16="http://schemas.microsoft.com/office/drawing/2014/main" id="{00000000-0008-0000-0500-000003000000}"/>
            </a:ext>
          </a:extLst>
        </xdr:cNvPr>
        <xdr:cNvSpPr txBox="1">
          <a:spLocks noChangeArrowheads="1"/>
        </xdr:cNvSpPr>
      </xdr:nvSpPr>
      <xdr:spPr bwMode="auto">
        <a:xfrm>
          <a:off x="3467100" y="179070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5</xdr:row>
      <xdr:rowOff>0</xdr:rowOff>
    </xdr:from>
    <xdr:ext cx="76200" cy="209550"/>
    <xdr:sp macro="" textlink="">
      <xdr:nvSpPr>
        <xdr:cNvPr id="4" name="Text Box 1">
          <a:extLst>
            <a:ext uri="{FF2B5EF4-FFF2-40B4-BE49-F238E27FC236}">
              <a16:creationId xmlns:a16="http://schemas.microsoft.com/office/drawing/2014/main" id="{00000000-0008-0000-0500-000004000000}"/>
            </a:ext>
          </a:extLst>
        </xdr:cNvPr>
        <xdr:cNvSpPr txBox="1">
          <a:spLocks noChangeArrowheads="1"/>
        </xdr:cNvSpPr>
      </xdr:nvSpPr>
      <xdr:spPr bwMode="auto">
        <a:xfrm>
          <a:off x="3467100" y="14859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628650</xdr:colOff>
      <xdr:row>8</xdr:row>
      <xdr:rowOff>0</xdr:rowOff>
    </xdr:from>
    <xdr:to>
      <xdr:col>6</xdr:col>
      <xdr:colOff>19050</xdr:colOff>
      <xdr:row>8</xdr:row>
      <xdr:rowOff>215900</xdr:rowOff>
    </xdr:to>
    <xdr:sp macro="" textlink="">
      <xdr:nvSpPr>
        <xdr:cNvPr id="9" name="Text Box 1">
          <a:extLst>
            <a:ext uri="{FF2B5EF4-FFF2-40B4-BE49-F238E27FC236}">
              <a16:creationId xmlns:a16="http://schemas.microsoft.com/office/drawing/2014/main" id="{7C60EB70-D8D9-413C-973C-DCAE1A6E51C8}"/>
            </a:ext>
          </a:extLst>
        </xdr:cNvPr>
        <xdr:cNvSpPr txBox="1">
          <a:spLocks noChangeArrowheads="1"/>
        </xdr:cNvSpPr>
      </xdr:nvSpPr>
      <xdr:spPr bwMode="auto">
        <a:xfrm>
          <a:off x="3467100" y="24479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628650</xdr:colOff>
      <xdr:row>7</xdr:row>
      <xdr:rowOff>0</xdr:rowOff>
    </xdr:from>
    <xdr:to>
      <xdr:col>6</xdr:col>
      <xdr:colOff>19050</xdr:colOff>
      <xdr:row>8</xdr:row>
      <xdr:rowOff>158750</xdr:rowOff>
    </xdr:to>
    <xdr:sp macro="" textlink="">
      <xdr:nvSpPr>
        <xdr:cNvPr id="10" name="Text Box 1">
          <a:extLst>
            <a:ext uri="{FF2B5EF4-FFF2-40B4-BE49-F238E27FC236}">
              <a16:creationId xmlns:a16="http://schemas.microsoft.com/office/drawing/2014/main" id="{25FAE7C9-A6CE-4F3E-9573-802A88DDA174}"/>
            </a:ext>
          </a:extLst>
        </xdr:cNvPr>
        <xdr:cNvSpPr txBox="1">
          <a:spLocks noChangeArrowheads="1"/>
        </xdr:cNvSpPr>
      </xdr:nvSpPr>
      <xdr:spPr bwMode="auto">
        <a:xfrm>
          <a:off x="3467100" y="1790700"/>
          <a:ext cx="7620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5</xdr:row>
      <xdr:rowOff>0</xdr:rowOff>
    </xdr:from>
    <xdr:ext cx="76200" cy="209550"/>
    <xdr:sp macro="" textlink="">
      <xdr:nvSpPr>
        <xdr:cNvPr id="11" name="Text Box 1">
          <a:extLst>
            <a:ext uri="{FF2B5EF4-FFF2-40B4-BE49-F238E27FC236}">
              <a16:creationId xmlns:a16="http://schemas.microsoft.com/office/drawing/2014/main" id="{61BA3476-3777-42FC-AA94-66F4E46E916B}"/>
            </a:ext>
          </a:extLst>
        </xdr:cNvPr>
        <xdr:cNvSpPr txBox="1">
          <a:spLocks noChangeArrowheads="1"/>
        </xdr:cNvSpPr>
      </xdr:nvSpPr>
      <xdr:spPr bwMode="auto">
        <a:xfrm>
          <a:off x="3467100" y="14859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0.xml><?xml version="1.0" encoding="utf-8"?>
<xdr:wsDr xmlns:xdr="http://schemas.openxmlformats.org/drawingml/2006/spreadsheetDrawing" xmlns:a="http://schemas.openxmlformats.org/drawingml/2006/main">
  <xdr:twoCellAnchor>
    <xdr:from>
      <xdr:col>13</xdr:col>
      <xdr:colOff>78442</xdr:colOff>
      <xdr:row>14</xdr:row>
      <xdr:rowOff>168088</xdr:rowOff>
    </xdr:from>
    <xdr:to>
      <xdr:col>17</xdr:col>
      <xdr:colOff>224118</xdr:colOff>
      <xdr:row>15</xdr:row>
      <xdr:rowOff>212912</xdr:rowOff>
    </xdr:to>
    <xdr:sp macro="" textlink="">
      <xdr:nvSpPr>
        <xdr:cNvPr id="2" name="正方形/長方形 1">
          <a:extLst>
            <a:ext uri="{FF2B5EF4-FFF2-40B4-BE49-F238E27FC236}">
              <a16:creationId xmlns:a16="http://schemas.microsoft.com/office/drawing/2014/main" id="{00000000-0008-0000-1A00-000002000000}"/>
            </a:ext>
          </a:extLst>
        </xdr:cNvPr>
        <xdr:cNvSpPr/>
      </xdr:nvSpPr>
      <xdr:spPr bwMode="auto">
        <a:xfrm>
          <a:off x="7117417" y="4044763"/>
          <a:ext cx="2631701" cy="330574"/>
        </a:xfrm>
        <a:prstGeom prst="rect">
          <a:avLst/>
        </a:prstGeom>
        <a:solidFill>
          <a:schemeClr val="accent1">
            <a:lumMod val="40000"/>
            <a:lumOff val="6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t>各金額は自動で計算されます。</a:t>
          </a:r>
          <a:endParaRPr kumimoji="1" lang="en-US" altLang="ja-JP" sz="1100"/>
        </a:p>
      </xdr:txBody>
    </xdr:sp>
    <xdr:clientData/>
  </xdr:twoCellAnchor>
  <xdr:twoCellAnchor>
    <xdr:from>
      <xdr:col>12</xdr:col>
      <xdr:colOff>164913</xdr:colOff>
      <xdr:row>5</xdr:row>
      <xdr:rowOff>56029</xdr:rowOff>
    </xdr:from>
    <xdr:to>
      <xdr:col>22</xdr:col>
      <xdr:colOff>583640</xdr:colOff>
      <xdr:row>9</xdr:row>
      <xdr:rowOff>98051</xdr:rowOff>
    </xdr:to>
    <xdr:sp macro="" textlink="">
      <xdr:nvSpPr>
        <xdr:cNvPr id="9" name="テキスト ボックス 8">
          <a:extLst>
            <a:ext uri="{FF2B5EF4-FFF2-40B4-BE49-F238E27FC236}">
              <a16:creationId xmlns:a16="http://schemas.microsoft.com/office/drawing/2014/main" id="{7724793A-24EA-4EDC-AF7A-F5777832EA30}"/>
            </a:ext>
          </a:extLst>
        </xdr:cNvPr>
        <xdr:cNvSpPr txBox="1"/>
      </xdr:nvSpPr>
      <xdr:spPr>
        <a:xfrm>
          <a:off x="6776384" y="1792941"/>
          <a:ext cx="7075021" cy="1084169"/>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BIZ UDPゴシック" panose="020B0400000000000000" pitchFamily="50" charset="-128"/>
              <a:ea typeface="BIZ UDPゴシック" panose="020B0400000000000000" pitchFamily="50" charset="-128"/>
            </a:rPr>
            <a:t>・「園毎の固有番号」に基づき、</a:t>
          </a:r>
          <a:r>
            <a:rPr kumimoji="1" lang="ja-JP" altLang="en-US" sz="1200" u="sng">
              <a:solidFill>
                <a:srgbClr val="FF0000"/>
              </a:solidFill>
              <a:latin typeface="BIZ UDPゴシック" panose="020B0400000000000000" pitchFamily="50" charset="-128"/>
              <a:ea typeface="BIZ UDPゴシック" panose="020B0400000000000000" pitchFamily="50" charset="-128"/>
            </a:rPr>
            <a:t>３月１日時点の情報</a:t>
          </a:r>
          <a:r>
            <a:rPr kumimoji="1" lang="ja-JP" altLang="en-US" sz="1200">
              <a:latin typeface="BIZ UDPゴシック" panose="020B0400000000000000" pitchFamily="50" charset="-128"/>
              <a:ea typeface="BIZ UDPゴシック" panose="020B0400000000000000" pitchFamily="50" charset="-128"/>
            </a:rPr>
            <a:t>を記載しております。</a:t>
          </a:r>
          <a:endParaRPr kumimoji="1" lang="en-US" altLang="ja-JP" sz="1200">
            <a:latin typeface="BIZ UDPゴシック" panose="020B0400000000000000" pitchFamily="50" charset="-128"/>
            <a:ea typeface="BIZ UDPゴシック" panose="020B0400000000000000" pitchFamily="50" charset="-128"/>
          </a:endParaRPr>
        </a:p>
        <a:p>
          <a:endParaRPr kumimoji="1" lang="en-US" altLang="ja-JP" sz="1200">
            <a:latin typeface="BIZ UDPゴシック" panose="020B0400000000000000" pitchFamily="50" charset="-128"/>
            <a:ea typeface="BIZ UDPゴシック" panose="020B0400000000000000" pitchFamily="50" charset="-128"/>
          </a:endParaRPr>
        </a:p>
        <a:p>
          <a:r>
            <a:rPr kumimoji="1" lang="ja-JP" altLang="en-US" sz="1200">
              <a:latin typeface="BIZ UDPゴシック" panose="020B0400000000000000" pitchFamily="50" charset="-128"/>
              <a:ea typeface="BIZ UDPゴシック" panose="020B0400000000000000" pitchFamily="50" charset="-128"/>
            </a:rPr>
            <a:t>・</a:t>
          </a:r>
          <a:r>
            <a:rPr kumimoji="1" lang="ja-JP" altLang="en-US" sz="1200" u="sng">
              <a:solidFill>
                <a:srgbClr val="FF0000"/>
              </a:solidFill>
              <a:latin typeface="BIZ UDPゴシック" panose="020B0400000000000000" pitchFamily="50" charset="-128"/>
              <a:ea typeface="BIZ UDPゴシック" panose="020B0400000000000000" pitchFamily="50" charset="-128"/>
            </a:rPr>
            <a:t>４月時点で修正があった場合は</a:t>
          </a:r>
          <a:r>
            <a:rPr kumimoji="1" lang="ja-JP" altLang="en-US" sz="1200">
              <a:latin typeface="BIZ UDPゴシック" panose="020B0400000000000000" pitchFamily="50" charset="-128"/>
              <a:ea typeface="BIZ UDPゴシック" panose="020B0400000000000000" pitchFamily="50" charset="-128"/>
            </a:rPr>
            <a:t>恐縮ですが、</a:t>
          </a:r>
          <a:r>
            <a:rPr kumimoji="1" lang="ja-JP" altLang="en-US" sz="1200" u="sng">
              <a:solidFill>
                <a:srgbClr val="FF0000"/>
              </a:solidFill>
              <a:latin typeface="BIZ UDPゴシック" panose="020B0400000000000000" pitchFamily="50" charset="-128"/>
              <a:ea typeface="BIZ UDPゴシック" panose="020B0400000000000000" pitchFamily="50" charset="-128"/>
            </a:rPr>
            <a:t>上書き修正</a:t>
          </a:r>
          <a:r>
            <a:rPr kumimoji="1" lang="ja-JP" altLang="en-US" sz="1200">
              <a:latin typeface="BIZ UDPゴシック" panose="020B0400000000000000" pitchFamily="50" charset="-128"/>
              <a:ea typeface="BIZ UDPゴシック" panose="020B0400000000000000" pitchFamily="50" charset="-128"/>
            </a:rPr>
            <a:t>願います。</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23</xdr:col>
      <xdr:colOff>136874</xdr:colOff>
      <xdr:row>19</xdr:row>
      <xdr:rowOff>43221</xdr:rowOff>
    </xdr:from>
    <xdr:to>
      <xdr:col>24</xdr:col>
      <xdr:colOff>408216</xdr:colOff>
      <xdr:row>19</xdr:row>
      <xdr:rowOff>326570</xdr:rowOff>
    </xdr:to>
    <xdr:sp macro="" textlink="">
      <xdr:nvSpPr>
        <xdr:cNvPr id="2" name="矢印: 下 1">
          <a:extLst>
            <a:ext uri="{FF2B5EF4-FFF2-40B4-BE49-F238E27FC236}">
              <a16:creationId xmlns:a16="http://schemas.microsoft.com/office/drawing/2014/main" id="{00000000-0008-0000-1B00-000002000000}"/>
            </a:ext>
          </a:extLst>
        </xdr:cNvPr>
        <xdr:cNvSpPr/>
      </xdr:nvSpPr>
      <xdr:spPr>
        <a:xfrm>
          <a:off x="7842599" y="4872396"/>
          <a:ext cx="747592" cy="28334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320968</xdr:colOff>
      <xdr:row>41</xdr:row>
      <xdr:rowOff>153681</xdr:rowOff>
    </xdr:from>
    <xdr:to>
      <xdr:col>22</xdr:col>
      <xdr:colOff>96290</xdr:colOff>
      <xdr:row>44</xdr:row>
      <xdr:rowOff>85646</xdr:rowOff>
    </xdr:to>
    <xdr:sp macro="" textlink="">
      <xdr:nvSpPr>
        <xdr:cNvPr id="7" name="テキスト ボックス 6">
          <a:extLst>
            <a:ext uri="{FF2B5EF4-FFF2-40B4-BE49-F238E27FC236}">
              <a16:creationId xmlns:a16="http://schemas.microsoft.com/office/drawing/2014/main" id="{00000000-0008-0000-1B00-000007000000}"/>
            </a:ext>
          </a:extLst>
        </xdr:cNvPr>
        <xdr:cNvSpPr txBox="1"/>
      </xdr:nvSpPr>
      <xdr:spPr>
        <a:xfrm>
          <a:off x="4220615" y="13006828"/>
          <a:ext cx="3193116" cy="559494"/>
        </a:xfrm>
        <a:prstGeom prst="rect">
          <a:avLst/>
        </a:prstGeom>
        <a:solidFill>
          <a:srgbClr val="FFFF00"/>
        </a:solidFill>
        <a:ln w="571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a:latin typeface="HGｺﾞｼｯｸE" panose="020B0909000000000000" pitchFamily="49" charset="-128"/>
              <a:ea typeface="HGｺﾞｼｯｸE" panose="020B0909000000000000" pitchFamily="49" charset="-128"/>
            </a:rPr>
            <a:t>ここの数字を比較</a:t>
          </a:r>
        </a:p>
      </xdr:txBody>
    </xdr:sp>
    <xdr:clientData/>
  </xdr:twoCellAnchor>
  <xdr:twoCellAnchor>
    <xdr:from>
      <xdr:col>21</xdr:col>
      <xdr:colOff>61738</xdr:colOff>
      <xdr:row>0</xdr:row>
      <xdr:rowOff>8032</xdr:rowOff>
    </xdr:from>
    <xdr:to>
      <xdr:col>39</xdr:col>
      <xdr:colOff>180043</xdr:colOff>
      <xdr:row>19</xdr:row>
      <xdr:rowOff>70411</xdr:rowOff>
    </xdr:to>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7087826" y="8032"/>
          <a:ext cx="10943188" cy="5273114"/>
        </a:xfrm>
        <a:prstGeom prst="rect">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600" b="1" u="sng">
              <a:solidFill>
                <a:sysClr val="windowText" lastClr="000000"/>
              </a:solidFill>
              <a:effectLst/>
              <a:latin typeface="HGｺﾞｼｯｸM" panose="020B0609000000000000" pitchFamily="49" charset="-128"/>
              <a:ea typeface="HGｺﾞｼｯｸM" panose="020B0609000000000000" pitchFamily="49" charset="-128"/>
              <a:cs typeface="+mn-cs"/>
            </a:rPr>
            <a:t>■第二期の分割請求を希望しない場合</a:t>
          </a:r>
          <a:endParaRPr kumimoji="1" lang="en-US" altLang="ja-JP" sz="1600" b="1" u="sng">
            <a:solidFill>
              <a:sysClr val="windowText" lastClr="000000"/>
            </a:solidFill>
            <a:effectLst/>
            <a:latin typeface="HGｺﾞｼｯｸM" panose="020B0609000000000000" pitchFamily="49" charset="-128"/>
            <a:ea typeface="HGｺﾞｼｯｸM" panose="020B0609000000000000" pitchFamily="49" charset="-128"/>
            <a:cs typeface="+mn-cs"/>
          </a:endParaRPr>
        </a:p>
        <a:p>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こちらは提出不要です。</a:t>
          </a:r>
        </a:p>
        <a:p>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　</a:t>
          </a:r>
          <a:r>
            <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rPr>
            <a:t>※</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特段の作業は発生しません</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a:t>
          </a:r>
          <a:endParaRPr lang="ja-JP" altLang="ja-JP" sz="1400">
            <a:solidFill>
              <a:sysClr val="windowText" lastClr="000000"/>
            </a:solidFill>
            <a:effectLst/>
            <a:latin typeface="HGｺﾞｼｯｸM" panose="020B0609000000000000" pitchFamily="49" charset="-128"/>
            <a:ea typeface="HGｺﾞｼｯｸM" panose="020B0609000000000000"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2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1" u="sng">
              <a:solidFill>
                <a:sysClr val="windowText" lastClr="000000"/>
              </a:solidFill>
              <a:effectLst/>
              <a:latin typeface="HGｺﾞｼｯｸM" panose="020B0609000000000000" pitchFamily="49" charset="-128"/>
              <a:ea typeface="HGｺﾞｼｯｸM" panose="020B0609000000000000" pitchFamily="49" charset="-128"/>
              <a:cs typeface="+mn-cs"/>
            </a:rPr>
            <a:t>■第二期の分割請求を希望する場合</a:t>
          </a:r>
          <a:endParaRPr kumimoji="1" lang="en-US" altLang="ja-JP" sz="1600" b="1" u="sng">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１　以下の</a:t>
          </a:r>
          <a:r>
            <a:rPr kumimoji="1" lang="ja-JP" altLang="ja-JP" sz="1400" b="1">
              <a:solidFill>
                <a:sysClr val="windowText" lastClr="000000"/>
              </a:solidFill>
              <a:effectLst/>
              <a:latin typeface="HGｺﾞｼｯｸM" panose="020B0609000000000000" pitchFamily="49" charset="-128"/>
              <a:ea typeface="HGｺﾞｼｯｸM" panose="020B0609000000000000" pitchFamily="49" charset="-128"/>
              <a:cs typeface="+mn-cs"/>
            </a:rPr>
            <a:t>「今回入力した数字を基にした交付決定額」</a:t>
          </a: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を確認</a:t>
          </a:r>
          <a:endParaRPr kumimoji="1" lang="en-US" altLang="ja-JP" sz="14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①～</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⑫</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のシートに入力いただいた数字を基に</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した交付決定額が</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以下の「今回入力した数字を基にした交付決定額」に、表示されていますので、お間違いないか確認ください（エラーがあれば①～⑫のシートを適宜修正ください。）。</a:t>
          </a:r>
          <a:endPar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4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600" b="1">
              <a:solidFill>
                <a:sysClr val="windowText" lastClr="000000"/>
              </a:solidFill>
              <a:effectLst/>
              <a:latin typeface="HGｺﾞｼｯｸM" panose="020B0609000000000000" pitchFamily="49" charset="-128"/>
              <a:ea typeface="HGｺﾞｼｯｸM" panose="020B0609000000000000" pitchFamily="49" charset="-128"/>
              <a:cs typeface="+mn-cs"/>
            </a:rPr>
            <a:t>２　数字を比較（具体例参照）</a:t>
          </a:r>
          <a:endParaRPr kumimoji="1" lang="en-US" altLang="ja-JP" sz="16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（１）</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「令和</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7</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年</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4</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月に交付決定した額（左の</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「補助金の交付決定額（</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F</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J</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「今回入力した数字を基にした交付決定額」</a:t>
          </a:r>
          <a:endParaRPr lang="ja-JP" altLang="ja-JP" sz="1400" b="1">
            <a:effectLst/>
            <a:latin typeface="HGｺﾞｼｯｸM" panose="020B0609000000000000" pitchFamily="49" charset="-128"/>
            <a:ea typeface="HGｺﾞｼｯｸM" panose="020B0609000000000000"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〇</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第二期の分割支払いが可能です。</a:t>
          </a:r>
          <a:endPar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〇</a:t>
          </a:r>
          <a:r>
            <a:rPr kumimoji="1" lang="ja-JP" altLang="ja-JP" sz="1400">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en-US" sz="1400">
              <a:solidFill>
                <a:schemeClr val="dk1"/>
              </a:solidFill>
              <a:effectLst/>
              <a:latin typeface="HGｺﾞｼｯｸM" panose="020B0609000000000000" pitchFamily="49" charset="-128"/>
              <a:ea typeface="HGｺﾞｼｯｸM" panose="020B0609000000000000" pitchFamily="49" charset="-128"/>
              <a:cs typeface="+mn-cs"/>
            </a:rPr>
            <a:t>園毎の固有番号</a:t>
          </a:r>
          <a:r>
            <a:rPr kumimoji="1" lang="ja-JP" altLang="ja-JP" sz="1400">
              <a:solidFill>
                <a:schemeClr val="dk1"/>
              </a:solidFill>
              <a:effectLst/>
              <a:latin typeface="HGｺﾞｼｯｸM" panose="020B0609000000000000" pitchFamily="49" charset="-128"/>
              <a:ea typeface="HGｺﾞｼｯｸM" panose="020B0609000000000000" pitchFamily="49" charset="-128"/>
              <a:cs typeface="+mn-cs"/>
            </a:rPr>
            <a:t>」に基づいて、千葉市が把握している情報が表示されますので、</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記載して頂く項目は</a:t>
          </a:r>
          <a:endPar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endParaRPr>
        </a:p>
        <a:p>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　　　　原則ありません</a:t>
          </a:r>
          <a:r>
            <a:rPr kumimoji="1" lang="ja-JP" altLang="en-US" sz="1400">
              <a:solidFill>
                <a:schemeClr val="dk1"/>
              </a:solidFill>
              <a:effectLst/>
              <a:latin typeface="HGｺﾞｼｯｸM" panose="020B0609000000000000" pitchFamily="49" charset="-128"/>
              <a:ea typeface="HGｺﾞｼｯｸM" panose="020B0609000000000000" pitchFamily="49" charset="-128"/>
              <a:cs typeface="+mn-cs"/>
            </a:rPr>
            <a:t>が、</a:t>
          </a:r>
          <a:r>
            <a:rPr kumimoji="1" lang="ja-JP" altLang="ja-JP" sz="1400">
              <a:solidFill>
                <a:schemeClr val="dk1"/>
              </a:solidFill>
              <a:effectLst/>
              <a:latin typeface="HGｺﾞｼｯｸM" panose="020B0609000000000000" pitchFamily="49" charset="-128"/>
              <a:ea typeface="HGｺﾞｼｯｸM" panose="020B0609000000000000" pitchFamily="49" charset="-128"/>
              <a:cs typeface="+mn-cs"/>
            </a:rPr>
            <a:t>念のためご確認いただき、万が一誤りがあれば、関数の上からご修正ください。</a:t>
          </a:r>
          <a:endPar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〇なお、「今回の請求額</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（左の</a:t>
          </a:r>
          <a:r>
            <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P</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列～</a:t>
          </a:r>
          <a:r>
            <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T</a:t>
          </a:r>
          <a:r>
            <a:rPr kumimoji="1" lang="ja-JP"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列に記載の数字）</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」は減額することが可能です（増額は不可）。</a:t>
          </a:r>
          <a:endPar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変更する場合は、表示されている数字を直接修正ください。</a:t>
          </a:r>
          <a:endParaRPr kumimoji="1" lang="en-US" altLang="ja-JP" sz="1400" b="1">
            <a:solidFill>
              <a:sysClr val="windowText" lastClr="000000"/>
            </a:solidFill>
            <a:effectLst/>
            <a:latin typeface="HGｺﾞｼｯｸM" panose="020B0609000000000000" pitchFamily="49" charset="-128"/>
            <a:ea typeface="HGｺﾞｼｯｸM" panose="020B0609000000000000" pitchFamily="49" charset="-128"/>
            <a:cs typeface="+mn-cs"/>
          </a:endParaRPr>
        </a:p>
        <a:p>
          <a:pPr eaLnBrk="1" fontAlgn="auto" latinLnBrk="0" hangingPunct="1"/>
          <a:r>
            <a:rPr kumimoji="1" lang="ja-JP" altLang="ja-JP" sz="1400" b="1">
              <a:solidFill>
                <a:sysClr val="windowText" lastClr="000000"/>
              </a:solidFill>
              <a:effectLst/>
              <a:latin typeface="HGｺﾞｼｯｸM" panose="020B0609000000000000" pitchFamily="49" charset="-128"/>
              <a:ea typeface="HGｺﾞｼｯｸM" panose="020B0609000000000000" pitchFamily="49" charset="-128"/>
              <a:cs typeface="+mn-cs"/>
            </a:rPr>
            <a:t>（</a:t>
          </a:r>
          <a:r>
            <a:rPr kumimoji="1" lang="ja-JP" altLang="en-US" sz="1400" b="1">
              <a:solidFill>
                <a:sysClr val="windowText" lastClr="000000"/>
              </a:solidFill>
              <a:effectLst/>
              <a:latin typeface="HGｺﾞｼｯｸM" panose="020B0609000000000000" pitchFamily="49" charset="-128"/>
              <a:ea typeface="HGｺﾞｼｯｸM" panose="020B0609000000000000" pitchFamily="49" charset="-128"/>
              <a:cs typeface="+mn-cs"/>
            </a:rPr>
            <a:t>２</a:t>
          </a:r>
          <a:r>
            <a:rPr kumimoji="1" lang="ja-JP" altLang="ja-JP" sz="1400" b="1">
              <a:solidFill>
                <a:sysClr val="windowText" lastClr="000000"/>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「令和</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7</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年</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4</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月に交付決定した額（左の「補助金の交付決定額（</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F</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en-US" altLang="ja-JP" sz="1400" b="1">
              <a:solidFill>
                <a:schemeClr val="dk1"/>
              </a:solidFill>
              <a:effectLst/>
              <a:latin typeface="HGｺﾞｼｯｸM" panose="020B0609000000000000" pitchFamily="49" charset="-128"/>
              <a:ea typeface="HGｺﾞｼｯｸM" panose="020B0609000000000000" pitchFamily="49" charset="-128"/>
              <a:cs typeface="+mn-cs"/>
            </a:rPr>
            <a:t>J</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列）」）」</a:t>
          </a:r>
          <a:r>
            <a:rPr kumimoji="1" lang="ja-JP" altLang="en-US" sz="1400" b="1">
              <a:solidFill>
                <a:schemeClr val="dk1"/>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chemeClr val="dk1"/>
              </a:solidFill>
              <a:effectLst/>
              <a:latin typeface="HGｺﾞｼｯｸM" panose="020B0609000000000000" pitchFamily="49" charset="-128"/>
              <a:ea typeface="HGｺﾞｼｯｸM" panose="020B0609000000000000" pitchFamily="49" charset="-128"/>
              <a:cs typeface="+mn-cs"/>
            </a:rPr>
            <a:t>「今回入力した数字を基にした交付決定額」</a:t>
          </a:r>
          <a:endParaRPr lang="ja-JP" altLang="ja-JP" sz="1400" b="1">
            <a:effectLst/>
            <a:latin typeface="HGｺﾞｼｯｸM" panose="020B0609000000000000" pitchFamily="49" charset="-128"/>
            <a:ea typeface="HGｺﾞｼｯｸM" panose="020B0609000000000000"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a:t>
          </a:r>
          <a:r>
            <a:rPr kumimoji="1" lang="ja-JP" altLang="ja-JP" sz="1400" b="1">
              <a:solidFill>
                <a:srgbClr val="FF0000"/>
              </a:solidFill>
              <a:effectLst/>
              <a:latin typeface="HGｺﾞｼｯｸM" panose="020B0609000000000000" pitchFamily="49" charset="-128"/>
              <a:ea typeface="HGｺﾞｼｯｸM" panose="020B0609000000000000" pitchFamily="49" charset="-128"/>
              <a:cs typeface="+mn-cs"/>
            </a:rPr>
            <a:t>戻入が発生する可能性があるため</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a:t>
          </a:r>
          <a:r>
            <a:rPr kumimoji="1" lang="ja-JP" altLang="ja-JP" sz="1400" b="1">
              <a:solidFill>
                <a:srgbClr val="FF0000"/>
              </a:solidFill>
              <a:effectLst/>
              <a:latin typeface="HGｺﾞｼｯｸM" panose="020B0609000000000000" pitchFamily="49" charset="-128"/>
              <a:ea typeface="HGｺﾞｼｯｸM" panose="020B0609000000000000" pitchFamily="49" charset="-128"/>
              <a:cs typeface="+mn-cs"/>
            </a:rPr>
            <a:t>第二期の分割支払い</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は原則できません</a:t>
          </a:r>
          <a:r>
            <a:rPr kumimoji="1" lang="ja-JP" altLang="ja-JP" sz="1400" b="1">
              <a:solidFill>
                <a:srgbClr val="FF0000"/>
              </a:solidFill>
              <a:effectLst/>
              <a:latin typeface="HGｺﾞｼｯｸM" panose="020B0609000000000000" pitchFamily="49" charset="-128"/>
              <a:ea typeface="HGｺﾞｼｯｸM" panose="020B0609000000000000" pitchFamily="49" charset="-128"/>
              <a:cs typeface="+mn-cs"/>
            </a:rPr>
            <a:t>。</a:t>
          </a:r>
          <a:endParaRPr kumimoji="1" lang="en-US" altLang="ja-JP" sz="1400" b="1">
            <a:solidFill>
              <a:srgbClr val="FF0000"/>
            </a:solidFill>
            <a:effectLst/>
            <a:latin typeface="HGｺﾞｼｯｸM" panose="020B0609000000000000" pitchFamily="49" charset="-128"/>
            <a:ea typeface="HGｺﾞｼｯｸM" panose="020B0609000000000000"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　　　この場合は</a:t>
          </a:r>
          <a:r>
            <a:rPr kumimoji="1" lang="en-US" altLang="ja-JP" sz="1400">
              <a:solidFill>
                <a:sysClr val="windowText" lastClr="000000"/>
              </a:solidFill>
              <a:effectLst/>
              <a:latin typeface="HGｺﾞｼｯｸM" panose="020B0609000000000000" pitchFamily="49" charset="-128"/>
              <a:ea typeface="HGｺﾞｼｯｸM" panose="020B0609000000000000" pitchFamily="49" charset="-128"/>
              <a:cs typeface="+mn-cs"/>
            </a:rPr>
            <a:t>17</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行目に警告メッセージ（</a:t>
          </a:r>
          <a:r>
            <a:rPr kumimoji="1" lang="ja-JP" altLang="en-US" sz="1400" b="1">
              <a:solidFill>
                <a:srgbClr val="FF0000"/>
              </a:solidFill>
              <a:effectLst/>
              <a:latin typeface="HGｺﾞｼｯｸM" panose="020B0609000000000000" pitchFamily="49" charset="-128"/>
              <a:ea typeface="HGｺﾞｼｯｸM" panose="020B0609000000000000" pitchFamily="49" charset="-128"/>
              <a:cs typeface="+mn-cs"/>
            </a:rPr>
            <a:t>赤字</a:t>
          </a:r>
          <a:r>
            <a:rPr kumimoji="1" lang="ja-JP" altLang="en-US" sz="1400">
              <a:solidFill>
                <a:sysClr val="windowText" lastClr="000000"/>
              </a:solidFill>
              <a:effectLst/>
              <a:latin typeface="HGｺﾞｼｯｸM" panose="020B0609000000000000" pitchFamily="49" charset="-128"/>
              <a:ea typeface="HGｺﾞｼｯｸM" panose="020B0609000000000000" pitchFamily="49" charset="-128"/>
              <a:cs typeface="+mn-cs"/>
            </a:rPr>
            <a:t>）が出ます。</a:t>
          </a:r>
          <a:endParaRPr kumimoji="1" lang="ja-JP" altLang="en-US" sz="1400">
            <a:solidFill>
              <a:sysClr val="windowText" lastClr="000000"/>
            </a:solidFill>
            <a:latin typeface="HGｺﾞｼｯｸM" panose="020B0609000000000000" pitchFamily="49" charset="-128"/>
            <a:ea typeface="HGｺﾞｼｯｸM" panose="020B0609000000000000" pitchFamily="49" charset="-128"/>
          </a:endParaRPr>
        </a:p>
      </xdr:txBody>
    </xdr:sp>
    <xdr:clientData/>
  </xdr:twoCellAnchor>
  <xdr:twoCellAnchor editAs="oneCell">
    <xdr:from>
      <xdr:col>27</xdr:col>
      <xdr:colOff>123264</xdr:colOff>
      <xdr:row>20</xdr:row>
      <xdr:rowOff>56030</xdr:rowOff>
    </xdr:from>
    <xdr:to>
      <xdr:col>40</xdr:col>
      <xdr:colOff>420781</xdr:colOff>
      <xdr:row>33</xdr:row>
      <xdr:rowOff>321610</xdr:rowOff>
    </xdr:to>
    <xdr:pic>
      <xdr:nvPicPr>
        <xdr:cNvPr id="9" name="図 8">
          <a:extLst>
            <a:ext uri="{FF2B5EF4-FFF2-40B4-BE49-F238E27FC236}">
              <a16:creationId xmlns:a16="http://schemas.microsoft.com/office/drawing/2014/main" id="{00000000-0008-0000-1B00-00000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0163735" y="5311589"/>
          <a:ext cx="8791575" cy="4781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29</xdr:col>
      <xdr:colOff>252333</xdr:colOff>
      <xdr:row>17</xdr:row>
      <xdr:rowOff>528704</xdr:rowOff>
    </xdr:from>
    <xdr:to>
      <xdr:col>39</xdr:col>
      <xdr:colOff>112860</xdr:colOff>
      <xdr:row>18</xdr:row>
      <xdr:rowOff>277972</xdr:rowOff>
    </xdr:to>
    <xdr:sp macro="" textlink="">
      <xdr:nvSpPr>
        <xdr:cNvPr id="10" name="テキスト ボックス 9">
          <a:extLst>
            <a:ext uri="{FF2B5EF4-FFF2-40B4-BE49-F238E27FC236}">
              <a16:creationId xmlns:a16="http://schemas.microsoft.com/office/drawing/2014/main" id="{00000000-0008-0000-1B00-00000A000000}"/>
            </a:ext>
          </a:extLst>
        </xdr:cNvPr>
        <xdr:cNvSpPr txBox="1"/>
      </xdr:nvSpPr>
      <xdr:spPr>
        <a:xfrm>
          <a:off x="11256509" y="4697292"/>
          <a:ext cx="6707322" cy="5000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HGｺﾞｼｯｸM" panose="020B0609000000000000" pitchFamily="49" charset="-128"/>
              <a:ea typeface="HGｺﾞｼｯｸM" panose="020B0609000000000000" pitchFamily="49" charset="-128"/>
              <a:cs typeface="+mn-cs"/>
            </a:rPr>
            <a:t>警告メッセージ（赤字）</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が表示されるものの、当初交付申請時（令和</a:t>
          </a:r>
          <a:r>
            <a:rPr lang="ja-JP" altLang="en-US" sz="1100">
              <a:solidFill>
                <a:schemeClr val="dk1"/>
              </a:solidFill>
              <a:effectLst/>
              <a:latin typeface="HGｺﾞｼｯｸM" panose="020B0609000000000000" pitchFamily="49" charset="-128"/>
              <a:ea typeface="HGｺﾞｼｯｸM" panose="020B0609000000000000" pitchFamily="49" charset="-128"/>
              <a:cs typeface="+mn-cs"/>
            </a:rPr>
            <a:t>７</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年４月～５月）の当課とのやり取りを踏まえ、戻入の可能性がないと思われる場合は、データを送付の上、お電話等でご相談ください。</a:t>
          </a:r>
          <a:endParaRPr kumimoji="1" lang="ja-JP" altLang="en-US" sz="1100">
            <a:latin typeface="HGｺﾞｼｯｸM" panose="020B0609000000000000" pitchFamily="49" charset="-128"/>
            <a:ea typeface="HGｺﾞｼｯｸM" panose="020B0609000000000000" pitchFamily="49" charset="-128"/>
          </a:endParaRPr>
        </a:p>
      </xdr:txBody>
    </xdr:sp>
    <xdr:clientData/>
  </xdr:twoCellAnchor>
  <xdr:twoCellAnchor>
    <xdr:from>
      <xdr:col>24</xdr:col>
      <xdr:colOff>311283</xdr:colOff>
      <xdr:row>39</xdr:row>
      <xdr:rowOff>11205</xdr:rowOff>
    </xdr:from>
    <xdr:to>
      <xdr:col>24</xdr:col>
      <xdr:colOff>311283</xdr:colOff>
      <xdr:row>40</xdr:row>
      <xdr:rowOff>219260</xdr:rowOff>
    </xdr:to>
    <xdr:cxnSp macro="">
      <xdr:nvCxnSpPr>
        <xdr:cNvPr id="11" name="直線コネクタ 10">
          <a:extLst>
            <a:ext uri="{FF2B5EF4-FFF2-40B4-BE49-F238E27FC236}">
              <a16:creationId xmlns:a16="http://schemas.microsoft.com/office/drawing/2014/main" id="{81A0A5D1-71B6-4702-AAB4-DF519E53F377}"/>
            </a:ext>
          </a:extLst>
        </xdr:cNvPr>
        <xdr:cNvCxnSpPr/>
      </xdr:nvCxnSpPr>
      <xdr:spPr>
        <a:xfrm>
          <a:off x="8592430" y="12169587"/>
          <a:ext cx="0" cy="555438"/>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56029</xdr:colOff>
      <xdr:row>40</xdr:row>
      <xdr:rowOff>180893</xdr:rowOff>
    </xdr:from>
    <xdr:to>
      <xdr:col>24</xdr:col>
      <xdr:colOff>345808</xdr:colOff>
      <xdr:row>40</xdr:row>
      <xdr:rowOff>200850</xdr:rowOff>
    </xdr:to>
    <xdr:cxnSp macro="">
      <xdr:nvCxnSpPr>
        <xdr:cNvPr id="12" name="直線コネクタ 11">
          <a:extLst>
            <a:ext uri="{FF2B5EF4-FFF2-40B4-BE49-F238E27FC236}">
              <a16:creationId xmlns:a16="http://schemas.microsoft.com/office/drawing/2014/main" id="{CFB32C72-AA05-4376-8C8F-1E0BF02363E3}"/>
            </a:ext>
          </a:extLst>
        </xdr:cNvPr>
        <xdr:cNvCxnSpPr/>
      </xdr:nvCxnSpPr>
      <xdr:spPr>
        <a:xfrm flipV="1">
          <a:off x="2566147" y="12686658"/>
          <a:ext cx="6060808" cy="19957"/>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127266</xdr:colOff>
      <xdr:row>40</xdr:row>
      <xdr:rowOff>180841</xdr:rowOff>
    </xdr:from>
    <xdr:to>
      <xdr:col>17</xdr:col>
      <xdr:colOff>127267</xdr:colOff>
      <xdr:row>41</xdr:row>
      <xdr:rowOff>164859</xdr:rowOff>
    </xdr:to>
    <xdr:cxnSp macro="">
      <xdr:nvCxnSpPr>
        <xdr:cNvPr id="15" name="直線コネクタ 14">
          <a:extLst>
            <a:ext uri="{FF2B5EF4-FFF2-40B4-BE49-F238E27FC236}">
              <a16:creationId xmlns:a16="http://schemas.microsoft.com/office/drawing/2014/main" id="{6FAA80A6-A028-454F-9E16-DB5D67C9C6EF}"/>
            </a:ext>
          </a:extLst>
        </xdr:cNvPr>
        <xdr:cNvCxnSpPr/>
      </xdr:nvCxnSpPr>
      <xdr:spPr>
        <a:xfrm flipH="1">
          <a:off x="5763825" y="12686606"/>
          <a:ext cx="1" cy="331400"/>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76013</xdr:colOff>
      <xdr:row>39</xdr:row>
      <xdr:rowOff>0</xdr:rowOff>
    </xdr:from>
    <xdr:to>
      <xdr:col>8</xdr:col>
      <xdr:colOff>76013</xdr:colOff>
      <xdr:row>40</xdr:row>
      <xdr:rowOff>198530</xdr:rowOff>
    </xdr:to>
    <xdr:cxnSp macro="">
      <xdr:nvCxnSpPr>
        <xdr:cNvPr id="16" name="直線コネクタ 15">
          <a:extLst>
            <a:ext uri="{FF2B5EF4-FFF2-40B4-BE49-F238E27FC236}">
              <a16:creationId xmlns:a16="http://schemas.microsoft.com/office/drawing/2014/main" id="{532B5F89-8D54-4CA2-BE73-264BE2C801EF}"/>
            </a:ext>
          </a:extLst>
        </xdr:cNvPr>
        <xdr:cNvCxnSpPr/>
      </xdr:nvCxnSpPr>
      <xdr:spPr>
        <a:xfrm>
          <a:off x="2586131" y="12158382"/>
          <a:ext cx="0" cy="545913"/>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95250</xdr:colOff>
      <xdr:row>5</xdr:row>
      <xdr:rowOff>0</xdr:rowOff>
    </xdr:from>
    <xdr:to>
      <xdr:col>19</xdr:col>
      <xdr:colOff>534521</xdr:colOff>
      <xdr:row>9</xdr:row>
      <xdr:rowOff>277346</xdr:rowOff>
    </xdr:to>
    <xdr:sp macro="" textlink="">
      <xdr:nvSpPr>
        <xdr:cNvPr id="7" name="テキスト ボックス 6">
          <a:extLst>
            <a:ext uri="{FF2B5EF4-FFF2-40B4-BE49-F238E27FC236}">
              <a16:creationId xmlns:a16="http://schemas.microsoft.com/office/drawing/2014/main" id="{DD0EE04F-F897-40A2-B966-6E7C229CF1E6}"/>
            </a:ext>
          </a:extLst>
        </xdr:cNvPr>
        <xdr:cNvSpPr txBox="1"/>
      </xdr:nvSpPr>
      <xdr:spPr>
        <a:xfrm>
          <a:off x="6724650" y="1219200"/>
          <a:ext cx="7068671" cy="1363196"/>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ja-JP" altLang="en-US" sz="1200" u="sng">
              <a:solidFill>
                <a:srgbClr val="FF0000"/>
              </a:solidFill>
              <a:latin typeface="HGｺﾞｼｯｸE" panose="020B0909000000000000" pitchFamily="49" charset="-128"/>
              <a:ea typeface="HGｺﾞｼｯｸE" panose="020B0909000000000000" pitchFamily="49" charset="-128"/>
            </a:rPr>
            <a:t>３月１日時点の情報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４月時点で修正があった場合は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twoCellAnchor>
    <xdr:from>
      <xdr:col>8</xdr:col>
      <xdr:colOff>77164</xdr:colOff>
      <xdr:row>13</xdr:row>
      <xdr:rowOff>192155</xdr:rowOff>
    </xdr:from>
    <xdr:to>
      <xdr:col>17</xdr:col>
      <xdr:colOff>193261</xdr:colOff>
      <xdr:row>34</xdr:row>
      <xdr:rowOff>76612</xdr:rowOff>
    </xdr:to>
    <xdr:sp macro="" textlink="">
      <xdr:nvSpPr>
        <xdr:cNvPr id="2" name="正方形/長方形 1">
          <a:extLst>
            <a:ext uri="{FF2B5EF4-FFF2-40B4-BE49-F238E27FC236}">
              <a16:creationId xmlns:a16="http://schemas.microsoft.com/office/drawing/2014/main" id="{CCD30B7C-AFE4-4172-A201-7F7B8BA54AE8}"/>
            </a:ext>
          </a:extLst>
        </xdr:cNvPr>
        <xdr:cNvSpPr/>
      </xdr:nvSpPr>
      <xdr:spPr>
        <a:xfrm>
          <a:off x="6706564" y="3383030"/>
          <a:ext cx="5373897" cy="4465982"/>
        </a:xfrm>
        <a:prstGeom prst="rect">
          <a:avLst/>
        </a:prstGeom>
        <a:solidFill>
          <a:schemeClr val="accent6">
            <a:lumMod val="40000"/>
            <a:lumOff val="60000"/>
          </a:schemeClr>
        </a:solidFill>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交付決定額は、</a:t>
          </a:r>
          <a:r>
            <a:rPr lang="ja-JP" altLang="en-US" sz="1100" u="sng">
              <a:solidFill>
                <a:srgbClr val="FF0000"/>
              </a:solidFill>
              <a:effectLst/>
              <a:latin typeface="+mn-lt"/>
              <a:ea typeface="+mn-ea"/>
              <a:cs typeface="+mn-cs"/>
            </a:rPr>
            <a:t>交付申請額の３／４（千円未満切り捨て）</a:t>
          </a:r>
          <a:r>
            <a:rPr lang="ja-JP" altLang="en-US" sz="1100">
              <a:solidFill>
                <a:schemeClr val="dk1"/>
              </a:solidFill>
              <a:effectLst/>
              <a:latin typeface="+mn-lt"/>
              <a:ea typeface="+mn-ea"/>
              <a:cs typeface="+mn-cs"/>
            </a:rPr>
            <a:t>です。</a:t>
          </a:r>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配置基準補助金は</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回に分けて、</a:t>
          </a:r>
          <a:r>
            <a:rPr lang="ja-JP" altLang="en-US" sz="1100">
              <a:solidFill>
                <a:schemeClr val="dk1"/>
              </a:solidFill>
              <a:effectLst/>
              <a:latin typeface="+mn-lt"/>
              <a:ea typeface="+mn-ea"/>
              <a:cs typeface="+mn-cs"/>
            </a:rPr>
            <a:t>次</a:t>
          </a:r>
          <a:r>
            <a:rPr lang="ja-JP" altLang="ja-JP" sz="1100">
              <a:solidFill>
                <a:schemeClr val="dk1"/>
              </a:solidFill>
              <a:effectLst/>
              <a:latin typeface="+mn-lt"/>
              <a:ea typeface="+mn-ea"/>
              <a:cs typeface="+mn-cs"/>
            </a:rPr>
            <a:t>の金額をそれぞれお支払いします。</a:t>
          </a:r>
        </a:p>
        <a:p>
          <a:r>
            <a:rPr lang="ja-JP" altLang="ja-JP" sz="1100">
              <a:solidFill>
                <a:schemeClr val="dk1"/>
              </a:solidFill>
              <a:effectLst/>
              <a:latin typeface="+mn-lt"/>
              <a:ea typeface="+mn-ea"/>
              <a:cs typeface="+mn-cs"/>
            </a:rPr>
            <a:t>★１回目　</a:t>
          </a:r>
          <a:r>
            <a:rPr lang="ja-JP" altLang="en-US" sz="1100">
              <a:solidFill>
                <a:schemeClr val="dk1"/>
              </a:solidFill>
              <a:effectLst/>
              <a:latin typeface="+mn-lt"/>
              <a:ea typeface="+mn-ea"/>
              <a:cs typeface="+mn-cs"/>
            </a:rPr>
            <a:t>令和８</a:t>
          </a:r>
          <a:r>
            <a:rPr lang="ja-JP" altLang="ja-JP" sz="1100">
              <a:solidFill>
                <a:schemeClr val="dk1"/>
              </a:solidFill>
              <a:effectLst/>
              <a:latin typeface="+mn-lt"/>
              <a:ea typeface="+mn-ea"/>
              <a:cs typeface="+mn-cs"/>
            </a:rPr>
            <a:t>年５月</a:t>
          </a:r>
          <a:r>
            <a:rPr lang="ja-JP" altLang="en-US" sz="1100">
              <a:solidFill>
                <a:schemeClr val="dk1"/>
              </a:solidFill>
              <a:effectLst/>
              <a:latin typeface="+mn-lt"/>
              <a:ea typeface="+mn-ea"/>
              <a:cs typeface="+mn-cs"/>
            </a:rPr>
            <a:t>２９</a:t>
          </a:r>
          <a:r>
            <a:rPr lang="ja-JP" altLang="ja-JP" sz="1100">
              <a:solidFill>
                <a:schemeClr val="dk1"/>
              </a:solidFill>
              <a:effectLst/>
              <a:latin typeface="+mn-lt"/>
              <a:ea typeface="+mn-ea"/>
              <a:cs typeface="+mn-cs"/>
            </a:rPr>
            <a:t>日</a:t>
          </a:r>
          <a:r>
            <a:rPr lang="ja-JP" altLang="en-US" sz="1100">
              <a:solidFill>
                <a:schemeClr val="dk1"/>
              </a:solidFill>
              <a:effectLst/>
              <a:latin typeface="+mn-lt"/>
              <a:ea typeface="+mn-ea"/>
              <a:cs typeface="+mn-cs"/>
            </a:rPr>
            <a:t>（交付決定額の２／３）</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回目　</a:t>
          </a:r>
          <a:r>
            <a:rPr lang="ja-JP" altLang="en-US" sz="1100">
              <a:solidFill>
                <a:schemeClr val="dk1"/>
              </a:solidFill>
              <a:effectLst/>
              <a:latin typeface="+mn-lt"/>
              <a:ea typeface="+mn-ea"/>
              <a:cs typeface="+mn-cs"/>
            </a:rPr>
            <a:t>令和８</a:t>
          </a:r>
          <a:r>
            <a:rPr lang="ja-JP" altLang="ja-JP" sz="1100">
              <a:solidFill>
                <a:schemeClr val="dk1"/>
              </a:solidFill>
              <a:effectLst/>
              <a:latin typeface="+mn-lt"/>
              <a:ea typeface="+mn-ea"/>
              <a:cs typeface="+mn-cs"/>
            </a:rPr>
            <a:t>年１０月</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日</a:t>
          </a:r>
          <a:r>
            <a:rPr lang="ja-JP" altLang="en-US" sz="1100">
              <a:solidFill>
                <a:schemeClr val="dk1"/>
              </a:solidFill>
              <a:effectLst/>
              <a:latin typeface="+mn-lt"/>
              <a:ea typeface="+mn-ea"/>
              <a:cs typeface="+mn-cs"/>
            </a:rPr>
            <a:t>（交付決定額の１／３）</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回目　</a:t>
          </a:r>
          <a:r>
            <a:rPr lang="ja-JP" altLang="en-US" sz="1100">
              <a:solidFill>
                <a:schemeClr val="dk1"/>
              </a:solidFill>
              <a:effectLst/>
              <a:latin typeface="+mn-lt"/>
              <a:ea typeface="+mn-ea"/>
              <a:cs typeface="+mn-cs"/>
            </a:rPr>
            <a:t>令和９</a:t>
          </a:r>
          <a:r>
            <a:rPr lang="ja-JP" altLang="ja-JP" sz="1100">
              <a:solidFill>
                <a:schemeClr val="dk1"/>
              </a:solidFill>
              <a:effectLst/>
              <a:latin typeface="+mn-lt"/>
              <a:ea typeface="+mn-ea"/>
              <a:cs typeface="+mn-cs"/>
            </a:rPr>
            <a:t>年４月</a:t>
          </a:r>
          <a:r>
            <a:rPr lang="ja-JP" altLang="en-US" sz="1100">
              <a:solidFill>
                <a:schemeClr val="dk1"/>
              </a:solidFill>
              <a:effectLst/>
              <a:latin typeface="+mn-lt"/>
              <a:ea typeface="+mn-ea"/>
              <a:cs typeface="+mn-cs"/>
            </a:rPr>
            <a:t>３０</a:t>
          </a:r>
          <a:r>
            <a:rPr lang="ja-JP" altLang="ja-JP" sz="1100">
              <a:solidFill>
                <a:schemeClr val="dk1"/>
              </a:solidFill>
              <a:effectLst/>
              <a:latin typeface="+mn-lt"/>
              <a:ea typeface="+mn-ea"/>
              <a:cs typeface="+mn-cs"/>
            </a:rPr>
            <a:t>日</a:t>
          </a:r>
          <a:r>
            <a:rPr lang="ja-JP" altLang="en-US" sz="1100">
              <a:solidFill>
                <a:schemeClr val="dk1"/>
              </a:solidFill>
              <a:effectLst/>
              <a:latin typeface="+mn-lt"/>
              <a:ea typeface="+mn-ea"/>
              <a:cs typeface="+mn-cs"/>
            </a:rPr>
            <a:t>（実績額と概算払い済額の差額）</a:t>
          </a:r>
          <a:endParaRPr lang="ja-JP"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実績額が概算払い済額を下回る場合、令和９年５月末までに、</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en-US" sz="1100" u="sng">
              <a:solidFill>
                <a:srgbClr val="FF0000"/>
              </a:solidFill>
              <a:effectLst/>
              <a:latin typeface="+mn-lt"/>
              <a:ea typeface="+mn-ea"/>
              <a:cs typeface="+mn-cs"/>
            </a:rPr>
            <a:t>過払い額を</a:t>
          </a:r>
          <a:r>
            <a:rPr lang="ja-JP" altLang="ja-JP" sz="1100" u="sng">
              <a:solidFill>
                <a:srgbClr val="FF0000"/>
              </a:solidFill>
              <a:effectLst/>
              <a:latin typeface="+mn-lt"/>
              <a:ea typeface="+mn-ea"/>
              <a:cs typeface="+mn-cs"/>
            </a:rPr>
            <a:t>返還</a:t>
          </a:r>
          <a:r>
            <a:rPr lang="ja-JP" altLang="ja-JP" sz="1100">
              <a:solidFill>
                <a:schemeClr val="dk1"/>
              </a:solidFill>
              <a:effectLst/>
              <a:latin typeface="+mn-lt"/>
              <a:ea typeface="+mn-ea"/>
              <a:cs typeface="+mn-cs"/>
            </a:rPr>
            <a:t>していただ</a:t>
          </a:r>
          <a:r>
            <a:rPr lang="ja-JP" altLang="en-US" sz="1100">
              <a:solidFill>
                <a:schemeClr val="dk1"/>
              </a:solidFill>
              <a:effectLst/>
              <a:latin typeface="+mn-lt"/>
              <a:ea typeface="+mn-ea"/>
              <a:cs typeface="+mn-cs"/>
            </a:rPr>
            <a:t>きます</a:t>
          </a:r>
          <a:r>
            <a:rPr lang="ja-JP" altLang="ja-JP" sz="1100">
              <a:solidFill>
                <a:schemeClr val="dk1"/>
              </a:solidFill>
              <a:effectLst/>
              <a:latin typeface="+mn-lt"/>
              <a:ea typeface="+mn-ea"/>
              <a:cs typeface="+mn-cs"/>
            </a:rPr>
            <a:t>。</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）概算払いは、</a:t>
          </a:r>
          <a:r>
            <a:rPr lang="ja-JP" altLang="en-US" sz="1100" u="sng">
              <a:solidFill>
                <a:srgbClr val="FF0000"/>
              </a:solidFill>
              <a:effectLst/>
              <a:latin typeface="+mn-lt"/>
              <a:ea typeface="+mn-ea"/>
              <a:cs typeface="+mn-cs"/>
            </a:rPr>
            <a:t>補助金返還が生じるおそれがある場合には請求しない</a:t>
          </a:r>
          <a:endParaRPr lang="en-US" altLang="ja-JP" sz="1100" u="sng">
            <a:solidFill>
              <a:srgbClr val="FF0000"/>
            </a:solidFill>
            <a:effectLst/>
            <a:latin typeface="+mn-lt"/>
            <a:ea typeface="+mn-ea"/>
            <a:cs typeface="+mn-cs"/>
          </a:endParaRPr>
        </a:p>
        <a:p>
          <a:r>
            <a:rPr lang="ja-JP" altLang="en-US" sz="1100">
              <a:solidFill>
                <a:schemeClr val="dk1"/>
              </a:solidFill>
              <a:effectLst/>
              <a:latin typeface="+mn-lt"/>
              <a:ea typeface="+mn-ea"/>
              <a:cs typeface="+mn-cs"/>
            </a:rPr>
            <a:t>　　扱いにすることもできます。</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）１回目の概算払いをしない場合でも、２回目の概算払いを受ける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ことができます。</a:t>
          </a:r>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endParaRPr lang="en-US" altLang="ja-JP" sz="1100">
            <a:solidFill>
              <a:schemeClr val="dk1"/>
            </a:solidFill>
            <a:effectLst/>
            <a:latin typeface="+mn-lt"/>
            <a:ea typeface="+mn-ea"/>
            <a:cs typeface="+mn-cs"/>
          </a:endParaRPr>
        </a:p>
        <a:p>
          <a:endParaRPr lang="ja-JP" altLang="ja-JP" sz="1100">
            <a:solidFill>
              <a:schemeClr val="dk1"/>
            </a:solidFill>
            <a:effectLst/>
            <a:latin typeface="+mn-lt"/>
            <a:ea typeface="+mn-ea"/>
            <a:cs typeface="+mn-cs"/>
          </a:endParaRPr>
        </a:p>
        <a:p>
          <a:r>
            <a:rPr lang="ja-JP" altLang="ja-JP" sz="1100" b="1">
              <a:solidFill>
                <a:schemeClr val="dk1"/>
              </a:solidFill>
              <a:effectLst/>
              <a:latin typeface="+mn-lt"/>
              <a:ea typeface="+mn-ea"/>
              <a:cs typeface="+mn-cs"/>
            </a:rPr>
            <a:t>児童数の増加</a:t>
          </a:r>
          <a:r>
            <a:rPr lang="ja-JP" altLang="en-US" sz="1100" b="1">
              <a:solidFill>
                <a:schemeClr val="dk1"/>
              </a:solidFill>
              <a:effectLst/>
              <a:latin typeface="+mn-lt"/>
              <a:ea typeface="+mn-ea"/>
              <a:cs typeface="+mn-cs"/>
            </a:rPr>
            <a:t>に伴う必要配置保育士数の増加</a:t>
          </a:r>
          <a:r>
            <a:rPr lang="ja-JP" altLang="ja-JP" sz="1100" b="1">
              <a:solidFill>
                <a:schemeClr val="dk1"/>
              </a:solidFill>
              <a:effectLst/>
              <a:latin typeface="+mn-lt"/>
              <a:ea typeface="+mn-ea"/>
              <a:cs typeface="+mn-cs"/>
            </a:rPr>
            <a:t>や保育士数の減少により、４月</a:t>
          </a:r>
          <a:r>
            <a:rPr lang="ja-JP" altLang="en-US" sz="1100" b="1">
              <a:solidFill>
                <a:schemeClr val="dk1"/>
              </a:solidFill>
              <a:effectLst/>
              <a:latin typeface="+mn-lt"/>
              <a:ea typeface="+mn-ea"/>
              <a:cs typeface="+mn-cs"/>
            </a:rPr>
            <a:t>以降</a:t>
          </a:r>
          <a:r>
            <a:rPr lang="ja-JP" altLang="ja-JP" sz="1100" b="1">
              <a:solidFill>
                <a:schemeClr val="dk1"/>
              </a:solidFill>
              <a:effectLst/>
              <a:latin typeface="+mn-lt"/>
              <a:ea typeface="+mn-ea"/>
              <a:cs typeface="+mn-cs"/>
            </a:rPr>
            <a:t>の加配</a:t>
          </a:r>
          <a:r>
            <a:rPr lang="ja-JP" altLang="en-US" sz="1100" b="1">
              <a:solidFill>
                <a:schemeClr val="dk1"/>
              </a:solidFill>
              <a:effectLst/>
              <a:latin typeface="+mn-lt"/>
              <a:ea typeface="+mn-ea"/>
              <a:cs typeface="+mn-cs"/>
            </a:rPr>
            <a:t>が</a:t>
          </a:r>
          <a:r>
            <a:rPr lang="ja-JP" altLang="ja-JP" sz="1100" b="1">
              <a:solidFill>
                <a:schemeClr val="dk1"/>
              </a:solidFill>
              <a:effectLst/>
              <a:latin typeface="+mn-lt"/>
              <a:ea typeface="+mn-ea"/>
              <a:cs typeface="+mn-cs"/>
            </a:rPr>
            <a:t>減少する場合には、</a:t>
          </a:r>
          <a:r>
            <a:rPr lang="ja-JP" altLang="en-US" sz="1100" b="1">
              <a:solidFill>
                <a:schemeClr val="dk1"/>
              </a:solidFill>
              <a:effectLst/>
              <a:latin typeface="+mn-lt"/>
              <a:ea typeface="+mn-ea"/>
              <a:cs typeface="+mn-cs"/>
            </a:rPr>
            <a:t>返還金発生の恐れ</a:t>
          </a:r>
          <a:r>
            <a:rPr lang="ja-JP" altLang="ja-JP" sz="1100" b="1">
              <a:solidFill>
                <a:schemeClr val="dk1"/>
              </a:solidFill>
              <a:effectLst/>
              <a:latin typeface="+mn-lt"/>
              <a:ea typeface="+mn-ea"/>
              <a:cs typeface="+mn-cs"/>
            </a:rPr>
            <a:t>があります</a:t>
          </a:r>
          <a:r>
            <a:rPr lang="ja-JP" altLang="en-US" sz="1100" b="1">
              <a:solidFill>
                <a:schemeClr val="dk1"/>
              </a:solidFill>
              <a:effectLst/>
              <a:latin typeface="+mn-lt"/>
              <a:ea typeface="+mn-ea"/>
              <a:cs typeface="+mn-cs"/>
            </a:rPr>
            <a:t>。</a:t>
          </a:r>
          <a:endParaRPr lang="ja-JP" altLang="ja-JP" sz="1100">
            <a:solidFill>
              <a:schemeClr val="dk1"/>
            </a:solidFill>
            <a:effectLst/>
            <a:latin typeface="+mn-lt"/>
            <a:ea typeface="+mn-ea"/>
            <a:cs typeface="+mn-cs"/>
          </a:endParaRPr>
        </a:p>
        <a:p>
          <a:pPr>
            <a:lnSpc>
              <a:spcPts val="1100"/>
            </a:lnSpc>
          </a:pPr>
          <a:endParaRPr lang="ja-JP" altLang="ja-JP" sz="1100">
            <a:solidFill>
              <a:schemeClr val="dk1"/>
            </a:solidFill>
            <a:effectLst/>
            <a:latin typeface="+mn-lt"/>
            <a:ea typeface="+mn-ea"/>
            <a:cs typeface="+mn-cs"/>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44823</xdr:colOff>
      <xdr:row>8</xdr:row>
      <xdr:rowOff>123265</xdr:rowOff>
    </xdr:from>
    <xdr:to>
      <xdr:col>8</xdr:col>
      <xdr:colOff>235323</xdr:colOff>
      <xdr:row>13</xdr:row>
      <xdr:rowOff>30817</xdr:rowOff>
    </xdr:to>
    <xdr:sp macro="" textlink="">
      <xdr:nvSpPr>
        <xdr:cNvPr id="3" name="右大かっこ 2">
          <a:extLst>
            <a:ext uri="{FF2B5EF4-FFF2-40B4-BE49-F238E27FC236}">
              <a16:creationId xmlns:a16="http://schemas.microsoft.com/office/drawing/2014/main" id="{00000000-0008-0000-1D00-000003000000}"/>
            </a:ext>
          </a:extLst>
        </xdr:cNvPr>
        <xdr:cNvSpPr/>
      </xdr:nvSpPr>
      <xdr:spPr>
        <a:xfrm>
          <a:off x="6835588" y="1748118"/>
          <a:ext cx="190500" cy="949699"/>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257734</xdr:colOff>
      <xdr:row>9</xdr:row>
      <xdr:rowOff>162485</xdr:rowOff>
    </xdr:from>
    <xdr:to>
      <xdr:col>9</xdr:col>
      <xdr:colOff>168087</xdr:colOff>
      <xdr:row>10</xdr:row>
      <xdr:rowOff>70037</xdr:rowOff>
    </xdr:to>
    <xdr:sp macro="" textlink="">
      <xdr:nvSpPr>
        <xdr:cNvPr id="4" name="矢印: 右 3">
          <a:extLst>
            <a:ext uri="{FF2B5EF4-FFF2-40B4-BE49-F238E27FC236}">
              <a16:creationId xmlns:a16="http://schemas.microsoft.com/office/drawing/2014/main" id="{00000000-0008-0000-1D00-000004000000}"/>
            </a:ext>
          </a:extLst>
        </xdr:cNvPr>
        <xdr:cNvSpPr/>
      </xdr:nvSpPr>
      <xdr:spPr>
        <a:xfrm>
          <a:off x="7048499" y="2157132"/>
          <a:ext cx="40341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168088</xdr:colOff>
      <xdr:row>8</xdr:row>
      <xdr:rowOff>78441</xdr:rowOff>
    </xdr:from>
    <xdr:to>
      <xdr:col>20</xdr:col>
      <xdr:colOff>434789</xdr:colOff>
      <xdr:row>14</xdr:row>
      <xdr:rowOff>19611</xdr:rowOff>
    </xdr:to>
    <xdr:sp macro="" textlink="">
      <xdr:nvSpPr>
        <xdr:cNvPr id="5" name="テキスト ボックス 4">
          <a:extLst>
            <a:ext uri="{FF2B5EF4-FFF2-40B4-BE49-F238E27FC236}">
              <a16:creationId xmlns:a16="http://schemas.microsoft.com/office/drawing/2014/main" id="{00000000-0008-0000-1D00-000005000000}"/>
            </a:ext>
          </a:extLst>
        </xdr:cNvPr>
        <xdr:cNvSpPr txBox="1"/>
      </xdr:nvSpPr>
      <xdr:spPr>
        <a:xfrm>
          <a:off x="7451912" y="1703294"/>
          <a:ext cx="7068671" cy="10393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ja-JP" altLang="en-US" sz="1200" u="sng">
              <a:solidFill>
                <a:srgbClr val="FF0000"/>
              </a:solidFill>
              <a:latin typeface="HGｺﾞｼｯｸE" panose="020B0909000000000000" pitchFamily="49" charset="-128"/>
              <a:ea typeface="HGｺﾞｼｯｸE" panose="020B0909000000000000" pitchFamily="49" charset="-128"/>
            </a:rPr>
            <a:t>２月１日時点の情報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３月時点で修正があった場合は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8</xdr:col>
      <xdr:colOff>47625</xdr:colOff>
      <xdr:row>8</xdr:row>
      <xdr:rowOff>187699</xdr:rowOff>
    </xdr:from>
    <xdr:to>
      <xdr:col>8</xdr:col>
      <xdr:colOff>238125</xdr:colOff>
      <xdr:row>11</xdr:row>
      <xdr:rowOff>194423</xdr:rowOff>
    </xdr:to>
    <xdr:sp macro="" textlink="">
      <xdr:nvSpPr>
        <xdr:cNvPr id="3" name="右大かっこ 2">
          <a:extLst>
            <a:ext uri="{FF2B5EF4-FFF2-40B4-BE49-F238E27FC236}">
              <a16:creationId xmlns:a16="http://schemas.microsoft.com/office/drawing/2014/main" id="{00000000-0008-0000-1F00-000003000000}"/>
            </a:ext>
          </a:extLst>
        </xdr:cNvPr>
        <xdr:cNvSpPr/>
      </xdr:nvSpPr>
      <xdr:spPr>
        <a:xfrm>
          <a:off x="6648450" y="1625974"/>
          <a:ext cx="190500" cy="949699"/>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260536</xdr:colOff>
      <xdr:row>9</xdr:row>
      <xdr:rowOff>225238</xdr:rowOff>
    </xdr:from>
    <xdr:to>
      <xdr:col>9</xdr:col>
      <xdr:colOff>168648</xdr:colOff>
      <xdr:row>10</xdr:row>
      <xdr:rowOff>71158</xdr:rowOff>
    </xdr:to>
    <xdr:sp macro="" textlink="">
      <xdr:nvSpPr>
        <xdr:cNvPr id="4" name="矢印: 右 3">
          <a:extLst>
            <a:ext uri="{FF2B5EF4-FFF2-40B4-BE49-F238E27FC236}">
              <a16:creationId xmlns:a16="http://schemas.microsoft.com/office/drawing/2014/main" id="{00000000-0008-0000-1F00-000004000000}"/>
            </a:ext>
          </a:extLst>
        </xdr:cNvPr>
        <xdr:cNvSpPr/>
      </xdr:nvSpPr>
      <xdr:spPr>
        <a:xfrm>
          <a:off x="6861361" y="2034988"/>
          <a:ext cx="40341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168649</xdr:colOff>
      <xdr:row>8</xdr:row>
      <xdr:rowOff>142875</xdr:rowOff>
    </xdr:from>
    <xdr:to>
      <xdr:col>20</xdr:col>
      <xdr:colOff>417420</xdr:colOff>
      <xdr:row>11</xdr:row>
      <xdr:rowOff>239246</xdr:rowOff>
    </xdr:to>
    <xdr:sp macro="" textlink="">
      <xdr:nvSpPr>
        <xdr:cNvPr id="5" name="テキスト ボックス 4">
          <a:extLst>
            <a:ext uri="{FF2B5EF4-FFF2-40B4-BE49-F238E27FC236}">
              <a16:creationId xmlns:a16="http://schemas.microsoft.com/office/drawing/2014/main" id="{00000000-0008-0000-1F00-000005000000}"/>
            </a:ext>
          </a:extLst>
        </xdr:cNvPr>
        <xdr:cNvSpPr txBox="1"/>
      </xdr:nvSpPr>
      <xdr:spPr>
        <a:xfrm>
          <a:off x="7264774" y="1581150"/>
          <a:ext cx="7068671" cy="10393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ja-JP" altLang="en-US" sz="1200" u="sng">
              <a:solidFill>
                <a:srgbClr val="FF0000"/>
              </a:solidFill>
              <a:latin typeface="HGｺﾞｼｯｸE" panose="020B0909000000000000" pitchFamily="49" charset="-128"/>
              <a:ea typeface="HGｺﾞｼｯｸE" panose="020B0909000000000000" pitchFamily="49" charset="-128"/>
            </a:rPr>
            <a:t>２月１日時点の情報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３月時点で修正があった場合は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628650</xdr:colOff>
      <xdr:row>8</xdr:row>
      <xdr:rowOff>0</xdr:rowOff>
    </xdr:from>
    <xdr:to>
      <xdr:col>6</xdr:col>
      <xdr:colOff>19050</xdr:colOff>
      <xdr:row>8</xdr:row>
      <xdr:rowOff>209550</xdr:rowOff>
    </xdr:to>
    <xdr:sp macro="" textlink="">
      <xdr:nvSpPr>
        <xdr:cNvPr id="2" name="Text Box 1">
          <a:extLst>
            <a:ext uri="{FF2B5EF4-FFF2-40B4-BE49-F238E27FC236}">
              <a16:creationId xmlns:a16="http://schemas.microsoft.com/office/drawing/2014/main" id="{00000000-0008-0000-0700-000002000000}"/>
            </a:ext>
          </a:extLst>
        </xdr:cNvPr>
        <xdr:cNvSpPr txBox="1">
          <a:spLocks noChangeArrowheads="1"/>
        </xdr:cNvSpPr>
      </xdr:nvSpPr>
      <xdr:spPr bwMode="auto">
        <a:xfrm>
          <a:off x="3467100" y="44005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628650</xdr:colOff>
      <xdr:row>6</xdr:row>
      <xdr:rowOff>0</xdr:rowOff>
    </xdr:from>
    <xdr:ext cx="76200" cy="209550"/>
    <xdr:sp macro="" textlink="">
      <xdr:nvSpPr>
        <xdr:cNvPr id="3" name="Text Box 1">
          <a:extLst>
            <a:ext uri="{FF2B5EF4-FFF2-40B4-BE49-F238E27FC236}">
              <a16:creationId xmlns:a16="http://schemas.microsoft.com/office/drawing/2014/main" id="{00000000-0008-0000-0700-000003000000}"/>
            </a:ext>
          </a:extLst>
        </xdr:cNvPr>
        <xdr:cNvSpPr txBox="1">
          <a:spLocks noChangeArrowheads="1"/>
        </xdr:cNvSpPr>
      </xdr:nvSpPr>
      <xdr:spPr bwMode="auto">
        <a:xfrm>
          <a:off x="3467100" y="40957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6</xdr:col>
      <xdr:colOff>628650</xdr:colOff>
      <xdr:row>6</xdr:row>
      <xdr:rowOff>0</xdr:rowOff>
    </xdr:from>
    <xdr:to>
      <xdr:col>7</xdr:col>
      <xdr:colOff>19050</xdr:colOff>
      <xdr:row>6</xdr:row>
      <xdr:rowOff>209550</xdr:rowOff>
    </xdr:to>
    <xdr:sp macro="" textlink="">
      <xdr:nvSpPr>
        <xdr:cNvPr id="2" name="Text Box 1">
          <a:extLst>
            <a:ext uri="{FF2B5EF4-FFF2-40B4-BE49-F238E27FC236}">
              <a16:creationId xmlns:a16="http://schemas.microsoft.com/office/drawing/2014/main" id="{51B0FE5F-1D60-425E-ADE4-97714606A192}"/>
            </a:ext>
          </a:extLst>
        </xdr:cNvPr>
        <xdr:cNvSpPr txBox="1">
          <a:spLocks noChangeArrowheads="1"/>
        </xdr:cNvSpPr>
      </xdr:nvSpPr>
      <xdr:spPr bwMode="auto">
        <a:xfrm>
          <a:off x="4124325" y="190500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6</xdr:col>
      <xdr:colOff>628650</xdr:colOff>
      <xdr:row>4</xdr:row>
      <xdr:rowOff>0</xdr:rowOff>
    </xdr:from>
    <xdr:ext cx="76200" cy="209550"/>
    <xdr:sp macro="" textlink="">
      <xdr:nvSpPr>
        <xdr:cNvPr id="3" name="Text Box 1">
          <a:extLst>
            <a:ext uri="{FF2B5EF4-FFF2-40B4-BE49-F238E27FC236}">
              <a16:creationId xmlns:a16="http://schemas.microsoft.com/office/drawing/2014/main" id="{B84567AD-E589-482F-A63B-28A082C77425}"/>
            </a:ext>
          </a:extLst>
        </xdr:cNvPr>
        <xdr:cNvSpPr txBox="1">
          <a:spLocks noChangeArrowheads="1"/>
        </xdr:cNvSpPr>
      </xdr:nvSpPr>
      <xdr:spPr bwMode="auto">
        <a:xfrm>
          <a:off x="4124325" y="1581150"/>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5</xdr:col>
      <xdr:colOff>628650</xdr:colOff>
      <xdr:row>9</xdr:row>
      <xdr:rowOff>0</xdr:rowOff>
    </xdr:from>
    <xdr:to>
      <xdr:col>6</xdr:col>
      <xdr:colOff>19050</xdr:colOff>
      <xdr:row>9</xdr:row>
      <xdr:rowOff>209550</xdr:rowOff>
    </xdr:to>
    <xdr:sp macro="" textlink="">
      <xdr:nvSpPr>
        <xdr:cNvPr id="2" name="Text Box 1">
          <a:extLst>
            <a:ext uri="{FF2B5EF4-FFF2-40B4-BE49-F238E27FC236}">
              <a16:creationId xmlns:a16="http://schemas.microsoft.com/office/drawing/2014/main" id="{F7A7C121-6D6D-4376-A91B-6DC0788765AF}"/>
            </a:ext>
          </a:extLst>
        </xdr:cNvPr>
        <xdr:cNvSpPr txBox="1">
          <a:spLocks noChangeArrowheads="1"/>
        </xdr:cNvSpPr>
      </xdr:nvSpPr>
      <xdr:spPr bwMode="auto">
        <a:xfrm>
          <a:off x="3467100" y="20669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28575</xdr:colOff>
      <xdr:row>1</xdr:row>
      <xdr:rowOff>47625</xdr:rowOff>
    </xdr:from>
    <xdr:to>
      <xdr:col>4</xdr:col>
      <xdr:colOff>200025</xdr:colOff>
      <xdr:row>1</xdr:row>
      <xdr:rowOff>371475</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266700" y="333375"/>
          <a:ext cx="1905000" cy="323850"/>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黄色セル：入力願います</a:t>
          </a:r>
        </a:p>
      </xdr:txBody>
    </xdr:sp>
    <xdr:clientData/>
  </xdr:twoCellAnchor>
  <xdr:twoCellAnchor>
    <xdr:from>
      <xdr:col>4</xdr:col>
      <xdr:colOff>311151</xdr:colOff>
      <xdr:row>1</xdr:row>
      <xdr:rowOff>50798</xdr:rowOff>
    </xdr:from>
    <xdr:to>
      <xdr:col>13</xdr:col>
      <xdr:colOff>114301</xdr:colOff>
      <xdr:row>1</xdr:row>
      <xdr:rowOff>590550</xdr:rowOff>
    </xdr:to>
    <xdr:sp macro="" textlink="">
      <xdr:nvSpPr>
        <xdr:cNvPr id="10" name="テキスト ボックス 9">
          <a:extLst>
            <a:ext uri="{FF2B5EF4-FFF2-40B4-BE49-F238E27FC236}">
              <a16:creationId xmlns:a16="http://schemas.microsoft.com/office/drawing/2014/main" id="{00000000-0008-0000-0900-00000A000000}"/>
            </a:ext>
          </a:extLst>
        </xdr:cNvPr>
        <xdr:cNvSpPr txBox="1"/>
      </xdr:nvSpPr>
      <xdr:spPr>
        <a:xfrm>
          <a:off x="2282826" y="336548"/>
          <a:ext cx="4775200" cy="539752"/>
        </a:xfrm>
        <a:prstGeom prst="rect">
          <a:avLst/>
        </a:prstGeom>
        <a:solidFill>
          <a:schemeClr val="accent1">
            <a:lumMod val="20000"/>
            <a:lumOff val="80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latin typeface="Meiryo UI" panose="020B0604030504040204" pitchFamily="50" charset="-128"/>
              <a:ea typeface="Meiryo UI" panose="020B0604030504040204" pitchFamily="50" charset="-128"/>
            </a:rPr>
            <a:t>水色セル：「園毎の固有番号</a:t>
          </a:r>
          <a:r>
            <a:rPr kumimoji="1" lang="ja-JP" altLang="ja-JP" sz="1000">
              <a:solidFill>
                <a:schemeClr val="dk1"/>
              </a:solidFill>
              <a:effectLst/>
              <a:latin typeface="Meiryo UI" panose="020B0604030504040204" pitchFamily="50" charset="-128"/>
              <a:ea typeface="Meiryo UI" panose="020B0604030504040204" pitchFamily="50" charset="-128"/>
              <a:cs typeface="+mn-cs"/>
            </a:rPr>
            <a:t>」</a:t>
          </a:r>
          <a:r>
            <a:rPr kumimoji="1" lang="ja-JP" altLang="en-US" sz="1000">
              <a:latin typeface="Meiryo UI" panose="020B0604030504040204" pitchFamily="50" charset="-128"/>
              <a:ea typeface="Meiryo UI" panose="020B0604030504040204" pitchFamily="50" charset="-128"/>
            </a:rPr>
            <a:t>に基づいて、千葉市が把握している情報が表示されます。</a:t>
          </a:r>
          <a:endParaRPr kumimoji="1" lang="en-US" altLang="ja-JP" sz="1000">
            <a:latin typeface="Meiryo UI" panose="020B0604030504040204" pitchFamily="50" charset="-128"/>
            <a:ea typeface="Meiryo UI" panose="020B0604030504040204" pitchFamily="50" charset="-128"/>
          </a:endParaRPr>
        </a:p>
        <a:p>
          <a:pPr algn="l"/>
          <a:r>
            <a:rPr kumimoji="1" lang="ja-JP" altLang="en-US" sz="1000">
              <a:latin typeface="Meiryo UI" panose="020B0604030504040204" pitchFamily="50" charset="-128"/>
              <a:ea typeface="Meiryo UI" panose="020B0604030504040204" pitchFamily="50" charset="-128"/>
            </a:rPr>
            <a:t>　　　　　　　念のためご確認いただき、万が一誤りがあれば、修正してください。</a:t>
          </a:r>
        </a:p>
      </xdr:txBody>
    </xdr:sp>
    <xdr:clientData/>
  </xdr:twoCellAnchor>
  <mc:AlternateContent xmlns:mc="http://schemas.openxmlformats.org/markup-compatibility/2006">
    <mc:Choice xmlns:a14="http://schemas.microsoft.com/office/drawing/2010/main" Requires="a14">
      <xdr:twoCellAnchor editAs="oneCell">
        <xdr:from>
          <xdr:col>17</xdr:col>
          <xdr:colOff>57150</xdr:colOff>
          <xdr:row>0</xdr:row>
          <xdr:rowOff>0</xdr:rowOff>
        </xdr:from>
        <xdr:to>
          <xdr:col>44</xdr:col>
          <xdr:colOff>596900</xdr:colOff>
          <xdr:row>25</xdr:row>
          <xdr:rowOff>171450</xdr:rowOff>
        </xdr:to>
        <xdr:pic>
          <xdr:nvPicPr>
            <xdr:cNvPr id="4" name="図 3">
              <a:extLst>
                <a:ext uri="{FF2B5EF4-FFF2-40B4-BE49-F238E27FC236}">
                  <a16:creationId xmlns:a16="http://schemas.microsoft.com/office/drawing/2014/main" id="{A6B299BB-2BC7-5E23-E7C9-59ADD7253A11}"/>
                </a:ext>
              </a:extLst>
            </xdr:cNvPr>
            <xdr:cNvPicPr>
              <a:picLocks noChangeAspect="1" noChangeArrowheads="1"/>
              <a:extLst>
                <a:ext uri="{84589F7E-364E-4C9E-8A38-B11213B215E9}">
                  <a14:cameraTool cellRange="カメラ!$B$4:$C$22" spid="_x0000_s8262"/>
                </a:ext>
              </a:extLst>
            </xdr:cNvPicPr>
          </xdr:nvPicPr>
          <xdr:blipFill>
            <a:blip xmlns:r="http://schemas.openxmlformats.org/officeDocument/2006/relationships" r:embed="rId1"/>
            <a:srcRect/>
            <a:stretch>
              <a:fillRect/>
            </a:stretch>
          </xdr:blipFill>
          <xdr:spPr bwMode="auto">
            <a:xfrm>
              <a:off x="9096375" y="0"/>
              <a:ext cx="7315200" cy="551497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24</xdr:col>
      <xdr:colOff>47079</xdr:colOff>
      <xdr:row>6</xdr:row>
      <xdr:rowOff>170125</xdr:rowOff>
    </xdr:from>
    <xdr:to>
      <xdr:col>32</xdr:col>
      <xdr:colOff>509432</xdr:colOff>
      <xdr:row>12</xdr:row>
      <xdr:rowOff>235205</xdr:rowOff>
    </xdr:to>
    <xdr:sp macro="" textlink="">
      <xdr:nvSpPr>
        <xdr:cNvPr id="9" name="テキスト ボックス 31">
          <a:extLst>
            <a:ext uri="{FF2B5EF4-FFF2-40B4-BE49-F238E27FC236}">
              <a16:creationId xmlns:a16="http://schemas.microsoft.com/office/drawing/2014/main" id="{00000000-0008-0000-0A00-000009000000}"/>
            </a:ext>
          </a:extLst>
        </xdr:cNvPr>
        <xdr:cNvSpPr txBox="1"/>
      </xdr:nvSpPr>
      <xdr:spPr>
        <a:xfrm>
          <a:off x="10625432" y="2153566"/>
          <a:ext cx="5527412" cy="1813198"/>
        </a:xfrm>
        <a:prstGeom prst="rect">
          <a:avLst/>
        </a:prstGeom>
        <a:solidFill>
          <a:schemeClr val="accent6">
            <a:lumMod val="40000"/>
            <a:lumOff val="6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【注意点】</a:t>
          </a:r>
        </a:p>
        <a:p>
          <a:pPr algn="just">
            <a:spcAft>
              <a:spcPts val="0"/>
            </a:spcAft>
          </a:pP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　</a:t>
          </a:r>
          <a:r>
            <a:rPr lang="ja-JP" sz="1050" b="1" u="sng" kern="100">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１人の職員が複数の業務を兼務（例えば、通常保育と延長保育）する</a:t>
          </a: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、あるいは</a:t>
          </a:r>
          <a:r>
            <a:rPr lang="ja-JP" sz="1050" b="1" u="sng" kern="100">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他園でのヘルプなどをしている場合</a:t>
          </a: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には、便宜上、勤務形態を「パート・非常勤」として、勤務時間を切り分けていただき、後述の「勤務時間数入力シート（シート②－２）」に</a:t>
          </a:r>
          <a:r>
            <a:rPr lang="ja-JP" sz="1050" b="1" u="sng" kern="100">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申請園における通常保育の勤務時間のみを入力</a:t>
          </a: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する必要があります。</a:t>
          </a:r>
        </a:p>
        <a:p>
          <a:pPr algn="just">
            <a:spcAft>
              <a:spcPts val="0"/>
            </a:spcAft>
          </a:pP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（例）正規職員</a:t>
          </a:r>
          <a:r>
            <a:rPr lang="ja-JP" sz="1050" kern="100" baseline="30000">
              <a:effectLst/>
              <a:latin typeface="BIZ UDPゴシック" panose="020B0400000000000000" pitchFamily="50" charset="-128"/>
              <a:ea typeface="BIZ UDPゴシック" panose="020B0400000000000000" pitchFamily="50" charset="-128"/>
              <a:cs typeface="Times New Roman" panose="02020603050405020304" pitchFamily="18" charset="0"/>
            </a:rPr>
            <a:t>※</a:t>
          </a: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がある月において１００時間を申請園での通常保育、</a:t>
          </a:r>
        </a:p>
        <a:p>
          <a:pPr indent="400050" algn="just">
            <a:spcAft>
              <a:spcPts val="0"/>
            </a:spcAft>
          </a:pP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６０時間を延長保育（あるいは他園でのヘルプ）をしている場合</a:t>
          </a:r>
        </a:p>
        <a:p>
          <a:pPr indent="133350" algn="just">
            <a:spcAft>
              <a:spcPts val="0"/>
            </a:spcAft>
          </a:pP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　　　→　便宜上、「パート・非常勤」として、１００時間のみ入力</a:t>
          </a:r>
        </a:p>
        <a:p>
          <a:pPr indent="133350" algn="just">
            <a:spcAft>
              <a:spcPts val="0"/>
            </a:spcAft>
          </a:pPr>
          <a:r>
            <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rPr>
            <a:t>　　</a:t>
          </a:r>
          <a:r>
            <a:rPr lang="ja-JP" sz="800" kern="100">
              <a:effectLst/>
              <a:latin typeface="BIZ UDPゴシック" panose="020B0400000000000000" pitchFamily="50" charset="-128"/>
              <a:ea typeface="BIZ UDPゴシック" panose="020B0400000000000000" pitchFamily="50" charset="-128"/>
              <a:cs typeface="Times New Roman" panose="02020603050405020304" pitchFamily="18" charset="0"/>
            </a:rPr>
            <a:t>※園で定める常勤時間数が１６０時間の場合</a:t>
          </a:r>
          <a:endParaRPr lang="ja-JP" sz="1050" kern="100">
            <a:effectLst/>
            <a:latin typeface="BIZ UDPゴシック" panose="020B0400000000000000" pitchFamily="50" charset="-128"/>
            <a:ea typeface="BIZ UDPゴシック" panose="020B0400000000000000" pitchFamily="50" charset="-128"/>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24</xdr:col>
          <xdr:colOff>63313</xdr:colOff>
          <xdr:row>13</xdr:row>
          <xdr:rowOff>24093</xdr:rowOff>
        </xdr:from>
        <xdr:to>
          <xdr:col>35</xdr:col>
          <xdr:colOff>542737</xdr:colOff>
          <xdr:row>29</xdr:row>
          <xdr:rowOff>286871</xdr:rowOff>
        </xdr:to>
        <xdr:pic>
          <xdr:nvPicPr>
            <xdr:cNvPr id="3" name="図 2">
              <a:extLst>
                <a:ext uri="{FF2B5EF4-FFF2-40B4-BE49-F238E27FC236}">
                  <a16:creationId xmlns:a16="http://schemas.microsoft.com/office/drawing/2014/main" id="{28A113A6-A633-9D12-8396-2E1337160104}"/>
                </a:ext>
              </a:extLst>
            </xdr:cNvPr>
            <xdr:cNvPicPr>
              <a:picLocks noChangeAspect="1" noChangeArrowheads="1"/>
              <a:extLst>
                <a:ext uri="{84589F7E-364E-4C9E-8A38-B11213B215E9}">
                  <a14:cameraTool cellRange="$BK$135:$BL$151" spid="_x0000_s144441"/>
                </a:ext>
              </a:extLst>
            </xdr:cNvPicPr>
          </xdr:nvPicPr>
          <xdr:blipFill>
            <a:blip xmlns:r="http://schemas.openxmlformats.org/officeDocument/2006/relationships" r:embed="rId1"/>
            <a:srcRect/>
            <a:stretch>
              <a:fillRect/>
            </a:stretch>
          </xdr:blipFill>
          <xdr:spPr bwMode="auto">
            <a:xfrm>
              <a:off x="10641666" y="4047005"/>
              <a:ext cx="7366186" cy="4924425"/>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6</xdr:col>
      <xdr:colOff>20732</xdr:colOff>
      <xdr:row>6</xdr:row>
      <xdr:rowOff>75266</xdr:rowOff>
    </xdr:from>
    <xdr:to>
      <xdr:col>17</xdr:col>
      <xdr:colOff>460488</xdr:colOff>
      <xdr:row>12</xdr:row>
      <xdr:rowOff>100105</xdr:rowOff>
    </xdr:to>
    <xdr:sp macro="" textlink="">
      <xdr:nvSpPr>
        <xdr:cNvPr id="4" name="テキスト ボックス 30">
          <a:extLst>
            <a:ext uri="{FF2B5EF4-FFF2-40B4-BE49-F238E27FC236}">
              <a16:creationId xmlns:a16="http://schemas.microsoft.com/office/drawing/2014/main" id="{00000000-0008-0000-0B00-000004000000}"/>
            </a:ext>
          </a:extLst>
        </xdr:cNvPr>
        <xdr:cNvSpPr txBox="1"/>
      </xdr:nvSpPr>
      <xdr:spPr>
        <a:xfrm>
          <a:off x="3998820" y="2327648"/>
          <a:ext cx="6233197" cy="1772957"/>
        </a:xfrm>
        <a:prstGeom prst="rect">
          <a:avLst/>
        </a:prstGeom>
        <a:solidFill>
          <a:schemeClr val="lt1"/>
        </a:solidFill>
        <a:ln w="6350">
          <a:solidFill>
            <a:prstClr val="black"/>
          </a:solidFill>
          <a:prstDash val="sysDash"/>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〇勤務時間数に算入できないケース</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・欠勤など、園が人件費を支払っていない場合</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・国等からの補助金（ハローワークからの小学校休業等対応助成金など）が出ている場合</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この場合は、勤務時間数から、国から出た補助金の金額を時給で割り返した時間数を、除いてください。</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例）勤務時間数１００時間、時給１千円、国から１万円補助が出た場合</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　１００時間　－　１万円÷１千円　＝　９０時間</a:t>
          </a:r>
        </a:p>
        <a:p>
          <a:pPr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〇勤務時間数に算入できるケース</a:t>
          </a:r>
        </a:p>
        <a:p>
          <a:pPr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・有給休暇や特別休暇など、園が人件費を支払っている場合</a:t>
          </a:r>
        </a:p>
        <a:p>
          <a:pPr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・休園中に休業手当を出した場合</a:t>
          </a:r>
          <a:r>
            <a:rPr lang="ja-JP" altLang="en-US"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等</a:t>
          </a: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は、時給で割り返した時間数分を、勤務時間数としてください。</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例）時給１千円、園から休業手当１万円を出した場合</a:t>
          </a:r>
        </a:p>
        <a:p>
          <a:pPr indent="101600" algn="just">
            <a:lnSpc>
              <a:spcPts val="1200"/>
            </a:lnSpc>
            <a:spcAft>
              <a:spcPts val="0"/>
            </a:spcAft>
          </a:pPr>
          <a:r>
            <a:rPr lang="ja-JP" sz="1000" kern="100">
              <a:effectLst/>
              <a:latin typeface="BIZ UDPゴシック" panose="020B0400000000000000" pitchFamily="50" charset="-128"/>
              <a:ea typeface="BIZ UDPゴシック" panose="020B0400000000000000" pitchFamily="50" charset="-128"/>
              <a:cs typeface="Times New Roman" panose="02020603050405020304" pitchFamily="18" charset="0"/>
            </a:rPr>
            <a:t>　　　→　１万円　÷　１千円　＝　１０時間</a:t>
          </a:r>
        </a:p>
        <a:p>
          <a:pPr algn="just">
            <a:lnSpc>
              <a:spcPts val="1200"/>
            </a:lnSpc>
            <a:spcAft>
              <a:spcPts val="0"/>
            </a:spcAft>
          </a:pPr>
          <a:r>
            <a:rPr lang="en-US" sz="800" kern="100">
              <a:effectLst/>
              <a:latin typeface="HG丸ｺﾞｼｯｸM-PRO" panose="020F06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6</xdr:col>
      <xdr:colOff>19237</xdr:colOff>
      <xdr:row>12</xdr:row>
      <xdr:rowOff>129805</xdr:rowOff>
    </xdr:from>
    <xdr:to>
      <xdr:col>15</xdr:col>
      <xdr:colOff>20059</xdr:colOff>
      <xdr:row>15</xdr:row>
      <xdr:rowOff>195546</xdr:rowOff>
    </xdr:to>
    <xdr:sp macro="" textlink="">
      <xdr:nvSpPr>
        <xdr:cNvPr id="6" name="テキスト ボックス 3">
          <a:extLst>
            <a:ext uri="{FF2B5EF4-FFF2-40B4-BE49-F238E27FC236}">
              <a16:creationId xmlns:a16="http://schemas.microsoft.com/office/drawing/2014/main" id="{00000000-0008-0000-0B00-000006000000}"/>
            </a:ext>
          </a:extLst>
        </xdr:cNvPr>
        <xdr:cNvSpPr txBox="1"/>
      </xdr:nvSpPr>
      <xdr:spPr>
        <a:xfrm>
          <a:off x="3997325" y="4130305"/>
          <a:ext cx="4740910" cy="939800"/>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lnSpc>
              <a:spcPts val="1200"/>
            </a:lnSpc>
            <a:spcAft>
              <a:spcPts val="0"/>
            </a:spcAft>
          </a:pPr>
          <a:r>
            <a:rPr lang="ja-JP" sz="900">
              <a:solidFill>
                <a:srgbClr val="00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【補足： 常勤保育士及び短時間保育士の定義】</a:t>
          </a:r>
          <a:endParaRPr lang="ja-JP" sz="1200">
            <a:effectLst/>
            <a:latin typeface="BIZ UDPゴシック" panose="020B0400000000000000" pitchFamily="50" charset="-128"/>
            <a:ea typeface="BIZ UDPゴシック" panose="020B0400000000000000"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　当該補助金については、令和４年度以前と同様、以下の定義で入力をお願いします。</a:t>
          </a:r>
          <a:endParaRPr lang="ja-JP" sz="1200">
            <a:effectLst/>
            <a:latin typeface="BIZ UDPゴシック" panose="020B0400000000000000" pitchFamily="50" charset="-128"/>
            <a:ea typeface="BIZ UDPゴシック" panose="020B0400000000000000"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　　→　常　勤：園の就業規則で定める常勤時間</a:t>
          </a:r>
          <a:r>
            <a:rPr lang="ja-JP" sz="900" u="sng">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以上</a:t>
          </a:r>
          <a:r>
            <a:rPr lang="ja-JP" sz="900">
              <a:solidFill>
                <a:srgbClr val="00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の勤務を行う者</a:t>
          </a:r>
          <a:endParaRPr lang="ja-JP" sz="1200">
            <a:effectLst/>
            <a:latin typeface="BIZ UDPゴシック" panose="020B0400000000000000" pitchFamily="50" charset="-128"/>
            <a:ea typeface="BIZ UDPゴシック" panose="020B0400000000000000" pitchFamily="50" charset="-128"/>
            <a:cs typeface="ＭＳ Ｐゴシック" panose="020B0600070205080204" pitchFamily="50" charset="-128"/>
          </a:endParaRPr>
        </a:p>
        <a:p>
          <a:pPr>
            <a:lnSpc>
              <a:spcPts val="1200"/>
            </a:lnSpc>
            <a:spcAft>
              <a:spcPts val="0"/>
            </a:spcAft>
          </a:pPr>
          <a:r>
            <a:rPr lang="ja-JP" sz="900">
              <a:solidFill>
                <a:srgbClr val="00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　　　　非常勤：園の就業規則で定める常勤時間</a:t>
          </a:r>
          <a:r>
            <a:rPr lang="ja-JP" sz="900" u="sng">
              <a:solidFill>
                <a:srgbClr val="FF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未満</a:t>
          </a:r>
          <a:r>
            <a:rPr lang="ja-JP" sz="900">
              <a:solidFill>
                <a:srgbClr val="000000"/>
              </a:solidFill>
              <a:effectLst/>
              <a:latin typeface="BIZ UDPゴシック" panose="020B0400000000000000" pitchFamily="50" charset="-128"/>
              <a:ea typeface="BIZ UDPゴシック" panose="020B0400000000000000" pitchFamily="50" charset="-128"/>
              <a:cs typeface="Times New Roman" panose="02020603050405020304" pitchFamily="18" charset="0"/>
            </a:rPr>
            <a:t>の勤務を行う者</a:t>
          </a:r>
          <a:endParaRPr lang="ja-JP" sz="1200">
            <a:effectLst/>
            <a:latin typeface="BIZ UDPゴシック" panose="020B0400000000000000" pitchFamily="50" charset="-128"/>
            <a:ea typeface="BIZ UDPゴシック" panose="020B0400000000000000" pitchFamily="50" charset="-128"/>
            <a:cs typeface="ＭＳ Ｐゴシック" panose="020B0600070205080204" pitchFamily="50" charset="-128"/>
          </a:endParaRPr>
        </a:p>
        <a:p>
          <a:pPr>
            <a:lnSpc>
              <a:spcPts val="1200"/>
            </a:lnSpc>
            <a:spcAft>
              <a:spcPts val="0"/>
            </a:spcAft>
          </a:pPr>
          <a:r>
            <a:rPr lang="ja-JP" sz="1000">
              <a:effectLst/>
              <a:latin typeface="BIZ UDPゴシック" panose="020B0400000000000000" pitchFamily="50" charset="-128"/>
              <a:ea typeface="BIZ UDPゴシック" panose="020B0400000000000000" pitchFamily="50" charset="-128"/>
              <a:cs typeface="ＭＳ Ｐゴシック" panose="020B0600070205080204" pitchFamily="50" charset="-128"/>
            </a:rPr>
            <a:t>　※今後、国等の動向を踏まえ、変更する場合は別途ご連絡いたします。</a:t>
          </a:r>
          <a:endParaRPr lang="ja-JP" sz="1200">
            <a:effectLst/>
            <a:latin typeface="BIZ UDPゴシック" panose="020B0400000000000000" pitchFamily="50" charset="-128"/>
            <a:ea typeface="BIZ UDPゴシック" panose="020B0400000000000000" pitchFamily="50" charset="-128"/>
            <a:cs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6</xdr:col>
          <xdr:colOff>88339</xdr:colOff>
          <xdr:row>15</xdr:row>
          <xdr:rowOff>249891</xdr:rowOff>
        </xdr:from>
        <xdr:to>
          <xdr:col>18</xdr:col>
          <xdr:colOff>50239</xdr:colOff>
          <xdr:row>27</xdr:row>
          <xdr:rowOff>284816</xdr:rowOff>
        </xdr:to>
        <xdr:pic>
          <xdr:nvPicPr>
            <xdr:cNvPr id="5" name="図 4">
              <a:extLst>
                <a:ext uri="{FF2B5EF4-FFF2-40B4-BE49-F238E27FC236}">
                  <a16:creationId xmlns:a16="http://schemas.microsoft.com/office/drawing/2014/main" id="{42B55C18-B5B2-C600-B9F1-0D17E71C01F3}"/>
                </a:ext>
              </a:extLst>
            </xdr:cNvPr>
            <xdr:cNvPicPr>
              <a:picLocks noChangeAspect="1" noChangeArrowheads="1"/>
              <a:extLst>
                <a:ext uri="{84589F7E-364E-4C9E-8A38-B11213B215E9}">
                  <a14:cameraTool cellRange="$F$122:$Q$125" spid="_x0000_s50533"/>
                </a:ext>
              </a:extLst>
            </xdr:cNvPicPr>
          </xdr:nvPicPr>
          <xdr:blipFill>
            <a:blip xmlns:r="http://schemas.openxmlformats.org/officeDocument/2006/relationships" r:embed="rId1"/>
            <a:srcRect/>
            <a:stretch>
              <a:fillRect/>
            </a:stretch>
          </xdr:blipFill>
          <xdr:spPr bwMode="auto">
            <a:xfrm>
              <a:off x="4066427" y="5124450"/>
              <a:ext cx="6285193" cy="3531160"/>
            </a:xfrm>
            <a:prstGeom prst="rect">
              <a:avLst/>
            </a:prstGeom>
            <a:solidFill>
              <a:srgbClr val="FFFFFF" mc:Ignorable="a14" a14:legacySpreadsheetColorIndex="9"/>
            </a:solidFill>
            <a:ln w="9525">
              <a:solidFill>
                <a:srgbClr val="000000" mc:Ignorable="a14" a14:legacySpreadsheetColorIndex="64"/>
              </a:solidFill>
              <a:miter lim="800000"/>
              <a:headEnd/>
              <a:tailEnd/>
            </a:ln>
          </xdr:spPr>
        </xdr:pic>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0</xdr:col>
      <xdr:colOff>153706</xdr:colOff>
      <xdr:row>10</xdr:row>
      <xdr:rowOff>88102</xdr:rowOff>
    </xdr:from>
    <xdr:to>
      <xdr:col>9</xdr:col>
      <xdr:colOff>265738</xdr:colOff>
      <xdr:row>18</xdr:row>
      <xdr:rowOff>204082</xdr:rowOff>
    </xdr:to>
    <xdr:sp macro="" textlink="">
      <xdr:nvSpPr>
        <xdr:cNvPr id="4" name="矢印: 上 3">
          <a:extLst>
            <a:ext uri="{FF2B5EF4-FFF2-40B4-BE49-F238E27FC236}">
              <a16:creationId xmlns:a16="http://schemas.microsoft.com/office/drawing/2014/main" id="{00000000-0008-0000-0C00-000004000000}"/>
            </a:ext>
          </a:extLst>
        </xdr:cNvPr>
        <xdr:cNvSpPr/>
      </xdr:nvSpPr>
      <xdr:spPr>
        <a:xfrm>
          <a:off x="153706" y="3012837"/>
          <a:ext cx="4583179" cy="2446804"/>
        </a:xfrm>
        <a:prstGeom prst="upArrow">
          <a:avLst>
            <a:gd name="adj1" fmla="val 7129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b="1"/>
            <a:t>Ｂ列～Ｈ列は、各月の初日現在の入所児童数（管外受託の児童を含む）を記載してください。</a:t>
          </a:r>
        </a:p>
      </xdr:txBody>
    </xdr:sp>
    <xdr:clientData/>
  </xdr:twoCellAnchor>
  <xdr:twoCellAnchor>
    <xdr:from>
      <xdr:col>0</xdr:col>
      <xdr:colOff>30441</xdr:colOff>
      <xdr:row>21</xdr:row>
      <xdr:rowOff>38478</xdr:rowOff>
    </xdr:from>
    <xdr:to>
      <xdr:col>21</xdr:col>
      <xdr:colOff>19235</xdr:colOff>
      <xdr:row>35</xdr:row>
      <xdr:rowOff>11206</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30441" y="6168096"/>
          <a:ext cx="12584206" cy="21690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１　年齢別児童数は、通常教育・保育を行っている児童数を入力してください。（一時預かりの児童は除きます（</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号児童の県特別支援対象者は含む）。）</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100" baseline="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縦割り保育・教育をしているクラスは、同じ横軸に異年齢がいる形になります。</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満３歳児とは、以下の児童のことをいいます。</a:t>
          </a:r>
          <a:endPar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・教育標準時間認定を受けた子どものうち、年度の初日の前日における満年齢が２歳で、年度途中に満３歳に達して入園した児童</a:t>
          </a:r>
          <a:endParaRPr lang="ja-JP" altLang="ja-JP">
            <a:effectLst/>
            <a:latin typeface="BIZ UDPゴシック" panose="020B0400000000000000" pitchFamily="50" charset="-128"/>
            <a:ea typeface="BIZ UDPゴシック" panose="020B0400000000000000" pitchFamily="50" charset="-128"/>
          </a:endParaRPr>
        </a:p>
        <a:p>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・２歳児（保育認定子どもに限る。）が年度途中に満３歳に達した後、保育認定から教育標準時間認定に認定区分が変更となった児童</a:t>
          </a:r>
          <a:endParaRPr lang="ja-JP" altLang="ja-JP">
            <a:effectLst/>
            <a:latin typeface="BIZ UDPゴシック" panose="020B0400000000000000" pitchFamily="50" charset="-128"/>
            <a:ea typeface="BIZ UDPゴシック" panose="020B0400000000000000" pitchFamily="50" charset="-128"/>
          </a:endParaRPr>
        </a:p>
        <a:p>
          <a:pPr eaLnBrk="1" fontAlgn="auto" latinLnBrk="0" hangingPunct="1"/>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（入力は</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誕生日の</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翌月からとしてください。　例　</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9.9</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生まれ　</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10</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月分から満</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歳児（</a:t>
          </a:r>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1</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号）としてして入力）</a:t>
          </a:r>
          <a:endParaRPr lang="ja-JP" altLang="ja-JP">
            <a:effectLst/>
            <a:latin typeface="BIZ UDPゴシック" panose="020B0400000000000000" pitchFamily="50" charset="-128"/>
            <a:ea typeface="BIZ UDPゴシック" panose="020B0400000000000000" pitchFamily="50" charset="-128"/>
          </a:endParaRPr>
        </a:p>
        <a:p>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２</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３歳児については、本来は２０：１ですが、市の配置基準補助金よりも優先的に支給される給付費の３歳児配置改善加算を考慮して１５：１としています。満３歳児については、本来は２０：１ですが、市の配置基準補助金よりも優先的に支給される給付費の満３歳児対応加配加算を考慮して６：１としています。</a:t>
          </a:r>
          <a:endParaRPr lang="ja-JP" altLang="ja-JP">
            <a:effectLst/>
            <a:latin typeface="BIZ UDPゴシック" panose="020B0400000000000000" pitchFamily="50" charset="-128"/>
            <a:ea typeface="BIZ UDPゴシック" panose="020B0400000000000000" pitchFamily="50" charset="-128"/>
          </a:endParaRPr>
        </a:p>
        <a:p>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３</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給付費で支給される人件費で、「保育認定こども（２号・３号）に係る利用定員が</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９０人以下の施設」については１人加算することとなっているものです。</a:t>
          </a:r>
          <a:endParaRPr lang="en-US" altLang="ja-JP" sz="1100">
            <a:solidFill>
              <a:schemeClr val="dk1"/>
            </a:solidFill>
            <a:effectLst/>
            <a:latin typeface="BIZ UDPゴシック" panose="020B0400000000000000" pitchFamily="50" charset="-128"/>
            <a:ea typeface="BIZ UDPゴシック" panose="020B0400000000000000" pitchFamily="50" charset="-128"/>
            <a:cs typeface="+mn-cs"/>
          </a:endParaRPr>
        </a:p>
        <a:p>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４</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給付費で支給される人件費で、「</a:t>
          </a:r>
          <a:r>
            <a:rPr lang="ja-JP" altLang="ja-JP" sz="1100">
              <a:solidFill>
                <a:schemeClr val="dk1"/>
              </a:solidFill>
              <a:effectLst/>
              <a:latin typeface="BIZ UDPゴシック" panose="020B0400000000000000" pitchFamily="50" charset="-128"/>
              <a:ea typeface="BIZ UDPゴシック" panose="020B0400000000000000" pitchFamily="50" charset="-128"/>
              <a:cs typeface="+mn-cs"/>
            </a:rPr>
            <a:t>保育標準時間認定を受けた子どもが利用する施設」については１人加算することとなっているものです。</a:t>
          </a:r>
          <a:endParaRPr lang="ja-JP" altLang="ja-JP">
            <a:effectLst/>
            <a:latin typeface="BIZ UDPゴシック" panose="020B0400000000000000" pitchFamily="50" charset="-128"/>
            <a:ea typeface="BIZ UDPゴシック" panose="020B0400000000000000" pitchFamily="50" charset="-128"/>
          </a:endParaRPr>
        </a:p>
        <a:p>
          <a:r>
            <a:rPr kumimoji="1" lang="en-US" altLang="ja-JP" sz="1100">
              <a:solidFill>
                <a:schemeClr val="dk1"/>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chemeClr val="dk1"/>
              </a:solidFill>
              <a:effectLst/>
              <a:latin typeface="BIZ UDPゴシック" panose="020B0400000000000000" pitchFamily="50" charset="-128"/>
              <a:ea typeface="BIZ UDPゴシック" panose="020B0400000000000000" pitchFamily="50" charset="-128"/>
              <a:cs typeface="+mn-cs"/>
            </a:rPr>
            <a:t>５</a:t>
          </a:r>
          <a:r>
            <a:rPr kumimoji="1" lang="ja-JP" altLang="ja-JP" sz="1100">
              <a:solidFill>
                <a:schemeClr val="dk1"/>
              </a:solidFill>
              <a:effectLst/>
              <a:latin typeface="BIZ UDPゴシック" panose="020B0400000000000000" pitchFamily="50" charset="-128"/>
              <a:ea typeface="BIZ UDPゴシック" panose="020B0400000000000000" pitchFamily="50" charset="-128"/>
              <a:cs typeface="+mn-cs"/>
            </a:rPr>
            <a:t>　給付費で支給される人件費で、「主幹保育教諭等を専任化させるための代替保育教諭等」について、２人加算することとなっているものです</a:t>
          </a:r>
          <a:endParaRPr lang="ja-JP" altLang="ja-JP">
            <a:effectLst/>
            <a:latin typeface="BIZ UDPゴシック" panose="020B0400000000000000" pitchFamily="50" charset="-128"/>
            <a:ea typeface="BIZ UDPゴシック" panose="020B0400000000000000" pitchFamily="50" charset="-128"/>
          </a:endParaRPr>
        </a:p>
        <a:p>
          <a:endParaRPr kumimoji="1" lang="ja-JP" altLang="en-US" sz="1100"/>
        </a:p>
      </xdr:txBody>
    </xdr:sp>
    <xdr:clientData/>
  </xdr:twoCellAnchor>
  <xdr:twoCellAnchor>
    <xdr:from>
      <xdr:col>21</xdr:col>
      <xdr:colOff>107749</xdr:colOff>
      <xdr:row>0</xdr:row>
      <xdr:rowOff>30561</xdr:rowOff>
    </xdr:from>
    <xdr:to>
      <xdr:col>30</xdr:col>
      <xdr:colOff>427838</xdr:colOff>
      <xdr:row>21</xdr:row>
      <xdr:rowOff>0</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bwMode="auto">
        <a:xfrm>
          <a:off x="12904867" y="30561"/>
          <a:ext cx="6539353" cy="6099057"/>
        </a:xfrm>
        <a:prstGeom prst="rect">
          <a:avLst/>
        </a:prstGeom>
        <a:solidFill>
          <a:schemeClr val="accent6">
            <a:lumMod val="40000"/>
            <a:lumOff val="60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en-US" altLang="ja-JP" sz="1100"/>
        </a:p>
        <a:p>
          <a:r>
            <a:rPr lang="ja-JP" altLang="ja-JP" sz="1100">
              <a:effectLst/>
              <a:latin typeface="BIZ UDPゴシック" panose="020B0400000000000000" pitchFamily="50" charset="-128"/>
              <a:ea typeface="BIZ UDPゴシック" panose="020B0400000000000000" pitchFamily="50" charset="-128"/>
              <a:cs typeface="+mn-cs"/>
            </a:rPr>
            <a:t>特定教育・保育等に要する費用の額の算定に関する基準の制定に伴う実施上の留意事項について</a:t>
          </a:r>
          <a:endParaRPr lang="en-US" altLang="ja-JP" sz="1100">
            <a:effectLst/>
            <a:latin typeface="BIZ UDPゴシック" panose="020B0400000000000000" pitchFamily="50" charset="-128"/>
            <a:ea typeface="BIZ UDPゴシック" panose="020B0400000000000000" pitchFamily="50" charset="-128"/>
            <a:cs typeface="+mn-cs"/>
          </a:endParaRPr>
        </a:p>
        <a:p>
          <a:r>
            <a:rPr lang="ja-JP" altLang="en-US" sz="1100">
              <a:effectLst/>
              <a:latin typeface="BIZ UDPゴシック" panose="020B0400000000000000" pitchFamily="50" charset="-128"/>
              <a:ea typeface="BIZ UDPゴシック" panose="020B0400000000000000" pitchFamily="50" charset="-128"/>
              <a:cs typeface="+mn-cs"/>
            </a:rPr>
            <a:t>平成３０年４月１６日の国通知より抜粋</a:t>
          </a:r>
          <a:endParaRPr kumimoji="1" lang="en-US" altLang="ja-JP" sz="1100">
            <a:latin typeface="BIZ UDPゴシック" panose="020B0400000000000000" pitchFamily="50" charset="-128"/>
            <a:ea typeface="BIZ UDPゴシック" panose="020B0400000000000000" pitchFamily="50" charset="-128"/>
          </a:endParaRPr>
        </a:p>
        <a:p>
          <a:endParaRPr lang="en-US" altLang="ja-JP" sz="1100">
            <a:effectLst/>
            <a:latin typeface="BIZ UDPゴシック" panose="020B0400000000000000" pitchFamily="50" charset="-128"/>
            <a:ea typeface="BIZ UDPゴシック" panose="020B0400000000000000" pitchFamily="50" charset="-128"/>
            <a:cs typeface="+mn-cs"/>
          </a:endParaRPr>
        </a:p>
        <a:p>
          <a:r>
            <a:rPr lang="ja-JP" altLang="ja-JP" sz="1100">
              <a:effectLst/>
              <a:latin typeface="BIZ UDPゴシック" panose="020B0400000000000000" pitchFamily="50" charset="-128"/>
              <a:ea typeface="BIZ UDPゴシック" panose="020B0400000000000000" pitchFamily="50" charset="-128"/>
              <a:cs typeface="+mn-cs"/>
            </a:rPr>
            <a:t>（２）基本分単価に含まれる職員構成</a:t>
          </a:r>
          <a:endParaRPr lang="en-US" altLang="ja-JP" sz="1100">
            <a:effectLst/>
            <a:latin typeface="BIZ UDPゴシック" panose="020B0400000000000000" pitchFamily="50" charset="-128"/>
            <a:ea typeface="BIZ UDPゴシック" panose="020B0400000000000000" pitchFamily="50" charset="-128"/>
            <a:cs typeface="+mn-cs"/>
          </a:endParaRPr>
        </a:p>
        <a:p>
          <a:r>
            <a:rPr lang="ja-JP" altLang="en-US" sz="1100">
              <a:effectLst/>
              <a:latin typeface="BIZ UDPゴシック" panose="020B0400000000000000" pitchFamily="50" charset="-128"/>
              <a:ea typeface="BIZ UDPゴシック" panose="020B0400000000000000" pitchFamily="50" charset="-128"/>
              <a:cs typeface="+mn-cs"/>
            </a:rPr>
            <a:t>　　</a:t>
          </a:r>
          <a:r>
            <a:rPr lang="en-US" altLang="ja-JP" sz="1100">
              <a:effectLst/>
              <a:latin typeface="BIZ UDPゴシック" panose="020B0400000000000000" pitchFamily="50" charset="-128"/>
              <a:ea typeface="BIZ UDPゴシック" panose="020B0400000000000000" pitchFamily="50" charset="-128"/>
              <a:cs typeface="+mn-cs"/>
            </a:rPr>
            <a:t>※</a:t>
          </a:r>
          <a:r>
            <a:rPr lang="ja-JP" altLang="en-US" sz="1100">
              <a:effectLst/>
              <a:latin typeface="BIZ UDPゴシック" panose="020B0400000000000000" pitchFamily="50" charset="-128"/>
              <a:ea typeface="BIZ UDPゴシック" panose="020B0400000000000000" pitchFamily="50" charset="-128"/>
              <a:cs typeface="+mn-cs"/>
            </a:rPr>
            <a:t>基本分単価：給付費で支給される基本分単価のことです。</a:t>
          </a:r>
          <a:endParaRPr lang="ja-JP" altLang="ja-JP">
            <a:effectLst/>
            <a:latin typeface="BIZ UDPゴシック" panose="020B0400000000000000" pitchFamily="50" charset="-128"/>
            <a:ea typeface="BIZ UDPゴシック" panose="020B0400000000000000" pitchFamily="50" charset="-128"/>
          </a:endParaRPr>
        </a:p>
        <a:p>
          <a:r>
            <a:rPr lang="ja-JP" altLang="ja-JP" sz="1100">
              <a:effectLst/>
              <a:latin typeface="BIZ UDPゴシック" panose="020B0400000000000000" pitchFamily="50" charset="-128"/>
              <a:ea typeface="BIZ UDPゴシック" panose="020B0400000000000000" pitchFamily="50" charset="-128"/>
              <a:cs typeface="+mn-cs"/>
            </a:rPr>
            <a:t>基本分単価（保育認定子どもに係る基本分単価を含む。）に含まれる職員構成は以下のとおりであることから、これを充足すること。</a:t>
          </a:r>
          <a:endParaRPr lang="ja-JP" altLang="ja-JP">
            <a:effectLst/>
            <a:latin typeface="BIZ UDPゴシック" panose="020B0400000000000000" pitchFamily="50" charset="-128"/>
            <a:ea typeface="BIZ UDPゴシック" panose="020B0400000000000000" pitchFamily="50" charset="-128"/>
          </a:endParaRPr>
        </a:p>
        <a:p>
          <a:r>
            <a:rPr lang="ja-JP" altLang="ja-JP" sz="1100">
              <a:effectLst/>
              <a:latin typeface="BIZ UDPゴシック" panose="020B0400000000000000" pitchFamily="50" charset="-128"/>
              <a:ea typeface="BIZ UDPゴシック" panose="020B0400000000000000" pitchFamily="50" charset="-128"/>
              <a:cs typeface="+mn-cs"/>
            </a:rPr>
            <a:t>（ア）保育教諭等</a:t>
          </a:r>
          <a:endParaRPr lang="ja-JP" altLang="ja-JP">
            <a:effectLst/>
            <a:latin typeface="BIZ UDPゴシック" panose="020B0400000000000000" pitchFamily="50" charset="-128"/>
            <a:ea typeface="BIZ UDPゴシック" panose="020B0400000000000000" pitchFamily="50" charset="-128"/>
          </a:endParaRPr>
        </a:p>
        <a:p>
          <a:r>
            <a:rPr lang="ja-JP" altLang="ja-JP" sz="1100">
              <a:effectLst/>
              <a:latin typeface="BIZ UDPゴシック" panose="020B0400000000000000" pitchFamily="50" charset="-128"/>
              <a:ea typeface="BIZ UDPゴシック" panose="020B0400000000000000" pitchFamily="50" charset="-128"/>
              <a:cs typeface="+mn-cs"/>
            </a:rPr>
            <a:t>基本分単価における必要保育教諭等の数は以下の</a:t>
          </a:r>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ⅰとⅱを合計した数であること。</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ⅰ　年齢別配置基準</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r>
            <a:rPr lang="ja-JP" altLang="ja-JP" sz="1100">
              <a:effectLst/>
              <a:latin typeface="BIZ UDPゴシック" panose="020B0400000000000000" pitchFamily="50" charset="-128"/>
              <a:ea typeface="BIZ UDPゴシック" panose="020B0400000000000000" pitchFamily="50" charset="-128"/>
              <a:cs typeface="+mn-cs"/>
            </a:rPr>
            <a:t>４歳以上児３０人につき１人、３歳児（</a:t>
          </a:r>
          <a:r>
            <a:rPr lang="en-US" altLang="ja-JP" sz="1100">
              <a:effectLst/>
              <a:latin typeface="BIZ UDPゴシック" panose="020B0400000000000000" pitchFamily="50" charset="-128"/>
              <a:ea typeface="BIZ UDPゴシック" panose="020B0400000000000000" pitchFamily="50" charset="-128"/>
              <a:cs typeface="+mn-cs"/>
            </a:rPr>
            <a:t>※</a:t>
          </a:r>
          <a:r>
            <a:rPr lang="ja-JP" altLang="en-US" sz="1100">
              <a:effectLst/>
              <a:latin typeface="BIZ UDPゴシック" panose="020B0400000000000000" pitchFamily="50" charset="-128"/>
              <a:ea typeface="BIZ UDPゴシック" panose="020B0400000000000000" pitchFamily="50" charset="-128"/>
              <a:cs typeface="+mn-cs"/>
            </a:rPr>
            <a:t>１</a:t>
          </a:r>
          <a:r>
            <a:rPr lang="ja-JP" altLang="ja-JP" sz="1100">
              <a:effectLst/>
              <a:latin typeface="BIZ UDPゴシック" panose="020B0400000000000000" pitchFamily="50" charset="-128"/>
              <a:ea typeface="BIZ UDPゴシック" panose="020B0400000000000000" pitchFamily="50" charset="-128"/>
              <a:cs typeface="+mn-cs"/>
            </a:rPr>
            <a:t>）及び満３歳児</a:t>
          </a:r>
          <a:r>
            <a:rPr lang="ja-JP" altLang="en-US" sz="1100">
              <a:effectLst/>
              <a:latin typeface="BIZ UDPゴシック" panose="020B0400000000000000" pitchFamily="50" charset="-128"/>
              <a:ea typeface="BIZ UDPゴシック" panose="020B0400000000000000" pitchFamily="50" charset="-128"/>
              <a:cs typeface="+mn-cs"/>
            </a:rPr>
            <a:t>（</a:t>
          </a:r>
          <a:r>
            <a:rPr lang="en-US" altLang="ja-JP" sz="1100">
              <a:effectLst/>
              <a:latin typeface="BIZ UDPゴシック" panose="020B0400000000000000" pitchFamily="50" charset="-128"/>
              <a:ea typeface="BIZ UDPゴシック" panose="020B0400000000000000" pitchFamily="50" charset="-128"/>
              <a:cs typeface="+mn-cs"/>
            </a:rPr>
            <a:t>※</a:t>
          </a:r>
          <a:r>
            <a:rPr lang="ja-JP" altLang="en-US" sz="1100">
              <a:effectLst/>
              <a:latin typeface="BIZ UDPゴシック" panose="020B0400000000000000" pitchFamily="50" charset="-128"/>
              <a:ea typeface="BIZ UDPゴシック" panose="020B0400000000000000" pitchFamily="50" charset="-128"/>
              <a:cs typeface="+mn-cs"/>
            </a:rPr>
            <a:t>２）</a:t>
          </a:r>
          <a:r>
            <a:rPr lang="ja-JP" altLang="ja-JP" sz="1100">
              <a:effectLst/>
              <a:latin typeface="BIZ UDPゴシック" panose="020B0400000000000000" pitchFamily="50" charset="-128"/>
              <a:ea typeface="BIZ UDPゴシック" panose="020B0400000000000000" pitchFamily="50" charset="-128"/>
              <a:cs typeface="+mn-cs"/>
            </a:rPr>
            <a:t>２０人につき１人、１、２歳児６人につき１人、乳児３人につき１人</a:t>
          </a:r>
          <a:endParaRPr lang="ja-JP" altLang="ja-JP">
            <a:effectLst/>
            <a:latin typeface="BIZ UDPゴシック" panose="020B0400000000000000" pitchFamily="50" charset="-128"/>
            <a:ea typeface="BIZ UDPゴシック" panose="020B0400000000000000" pitchFamily="50" charset="-128"/>
          </a:endParaRPr>
        </a:p>
        <a:p>
          <a:r>
            <a:rPr lang="en-US" altLang="ja-JP" sz="1100">
              <a:effectLst/>
              <a:latin typeface="BIZ UDPゴシック" panose="020B0400000000000000" pitchFamily="50" charset="-128"/>
              <a:ea typeface="BIZ UDPゴシック" panose="020B0400000000000000" pitchFamily="50" charset="-128"/>
              <a:cs typeface="+mn-cs"/>
            </a:rPr>
            <a:t>※</a:t>
          </a:r>
          <a:r>
            <a:rPr lang="ja-JP" altLang="en-US" sz="1100">
              <a:effectLst/>
              <a:latin typeface="BIZ UDPゴシック" panose="020B0400000000000000" pitchFamily="50" charset="-128"/>
              <a:ea typeface="BIZ UDPゴシック" panose="020B0400000000000000" pitchFamily="50" charset="-128"/>
              <a:cs typeface="+mn-cs"/>
            </a:rPr>
            <a:t>１　</a:t>
          </a:r>
          <a:r>
            <a:rPr kumimoji="1" lang="ja-JP" altLang="ja-JP" sz="1100">
              <a:effectLst/>
              <a:latin typeface="BIZ UDPゴシック" panose="020B0400000000000000" pitchFamily="50" charset="-128"/>
              <a:ea typeface="BIZ UDPゴシック" panose="020B0400000000000000" pitchFamily="50" charset="-128"/>
              <a:cs typeface="+mn-cs"/>
            </a:rPr>
            <a:t>本来は２０：１ですが、千葉市の配置基準補助金よりも優先的に支給される給付費の３歳児配置改善加算を</a:t>
          </a:r>
          <a:r>
            <a:rPr kumimoji="1" lang="ja-JP" altLang="en-US" sz="1100">
              <a:effectLst/>
              <a:latin typeface="BIZ UDPゴシック" panose="020B0400000000000000" pitchFamily="50" charset="-128"/>
              <a:ea typeface="BIZ UDPゴシック" panose="020B0400000000000000" pitchFamily="50" charset="-128"/>
              <a:cs typeface="+mn-cs"/>
            </a:rPr>
            <a:t>考慮して、このシートでは１５：１で計算しています。</a:t>
          </a:r>
          <a:endParaRPr kumimoji="1" lang="en-US" altLang="ja-JP" sz="1100">
            <a:effectLst/>
            <a:latin typeface="BIZ UDPゴシック" panose="020B0400000000000000" pitchFamily="50" charset="-128"/>
            <a:ea typeface="BIZ UDPゴシック" panose="020B04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BIZ UDPゴシック" panose="020B0400000000000000" pitchFamily="50" charset="-128"/>
              <a:ea typeface="BIZ UDPゴシック" panose="020B0400000000000000" pitchFamily="50" charset="-128"/>
              <a:cs typeface="+mn-cs"/>
            </a:rPr>
            <a:t>※</a:t>
          </a:r>
          <a:r>
            <a:rPr kumimoji="1" lang="ja-JP" altLang="en-US" sz="1100">
              <a:effectLst/>
              <a:latin typeface="BIZ UDPゴシック" panose="020B0400000000000000" pitchFamily="50" charset="-128"/>
              <a:ea typeface="BIZ UDPゴシック" panose="020B0400000000000000" pitchFamily="50" charset="-128"/>
              <a:cs typeface="+mn-cs"/>
            </a:rPr>
            <a:t>２　本来は２０：１ですが、</a:t>
          </a:r>
          <a:r>
            <a:rPr kumimoji="1" lang="ja-JP" altLang="ja-JP" sz="1100">
              <a:effectLst/>
              <a:latin typeface="BIZ UDPゴシック" panose="020B0400000000000000" pitchFamily="50" charset="-128"/>
              <a:ea typeface="BIZ UDPゴシック" panose="020B0400000000000000" pitchFamily="50" charset="-128"/>
              <a:cs typeface="+mn-cs"/>
            </a:rPr>
            <a:t>、千葉市の配置基準補助金よりも優先的に支給される給付費の</a:t>
          </a:r>
          <a:r>
            <a:rPr kumimoji="1" lang="ja-JP" altLang="en-US" sz="1100">
              <a:effectLst/>
              <a:latin typeface="BIZ UDPゴシック" panose="020B0400000000000000" pitchFamily="50" charset="-128"/>
              <a:ea typeface="BIZ UDPゴシック" panose="020B0400000000000000" pitchFamily="50" charset="-128"/>
              <a:cs typeface="+mn-cs"/>
            </a:rPr>
            <a:t>満３歳児</a:t>
          </a:r>
          <a:r>
            <a:rPr kumimoji="1" lang="ja-JP" altLang="ja-JP" sz="1100">
              <a:effectLst/>
              <a:latin typeface="BIZ UDPゴシック" panose="020B0400000000000000" pitchFamily="50" charset="-128"/>
              <a:ea typeface="BIZ UDPゴシック" panose="020B0400000000000000" pitchFamily="50" charset="-128"/>
              <a:cs typeface="+mn-cs"/>
            </a:rPr>
            <a:t>配置改善加算を考慮して、このシートでは</a:t>
          </a:r>
          <a:r>
            <a:rPr kumimoji="1" lang="ja-JP" altLang="en-US" sz="1100">
              <a:effectLst/>
              <a:latin typeface="BIZ UDPゴシック" panose="020B0400000000000000" pitchFamily="50" charset="-128"/>
              <a:ea typeface="BIZ UDPゴシック" panose="020B0400000000000000" pitchFamily="50" charset="-128"/>
              <a:cs typeface="+mn-cs"/>
            </a:rPr>
            <a:t>６</a:t>
          </a:r>
          <a:r>
            <a:rPr kumimoji="1" lang="ja-JP" altLang="ja-JP" sz="1100">
              <a:effectLst/>
              <a:latin typeface="BIZ UDPゴシック" panose="020B0400000000000000" pitchFamily="50" charset="-128"/>
              <a:ea typeface="BIZ UDPゴシック" panose="020B0400000000000000" pitchFamily="50" charset="-128"/>
              <a:cs typeface="+mn-cs"/>
            </a:rPr>
            <a:t>：１で計算しています。</a:t>
          </a:r>
          <a:endParaRPr kumimoji="1" lang="en-US" altLang="ja-JP" sz="1100">
            <a:effectLst/>
            <a:latin typeface="BIZ UDPゴシック" panose="020B0400000000000000" pitchFamily="50" charset="-128"/>
            <a:ea typeface="BIZ UDPゴシック" panose="020B0400000000000000" pitchFamily="50" charset="-128"/>
            <a:cs typeface="+mn-cs"/>
          </a:endParaRPr>
        </a:p>
        <a:p>
          <a:endParaRPr lang="en-US" altLang="ja-JP" sz="1100" u="none">
            <a:effectLst/>
            <a:latin typeface="BIZ UDPゴシック" panose="020B0400000000000000" pitchFamily="50" charset="-128"/>
            <a:ea typeface="BIZ UDPゴシック" panose="020B0400000000000000" pitchFamily="50" charset="-128"/>
            <a:cs typeface="+mn-cs"/>
          </a:endParaRPr>
        </a:p>
        <a:p>
          <a:r>
            <a:rPr lang="ja-JP" altLang="en-US" sz="1100" u="none">
              <a:effectLst/>
              <a:latin typeface="BIZ UDPゴシック" panose="020B0400000000000000" pitchFamily="50" charset="-128"/>
              <a:ea typeface="BIZ UDPゴシック" panose="020B0400000000000000" pitchFamily="50" charset="-128"/>
              <a:cs typeface="+mn-cs"/>
            </a:rPr>
            <a:t>　</a:t>
          </a:r>
          <a:r>
            <a:rPr lang="ja-JP" altLang="ja-JP" sz="1100" u="sng">
              <a:effectLst/>
              <a:latin typeface="BIZ UDPゴシック" panose="020B0400000000000000" pitchFamily="50" charset="-128"/>
              <a:ea typeface="BIZ UDPゴシック" panose="020B0400000000000000" pitchFamily="50" charset="-128"/>
              <a:cs typeface="+mn-cs"/>
            </a:rPr>
            <a:t>３歳児配置改善加算</a:t>
          </a:r>
          <a:endParaRPr lang="ja-JP" altLang="ja-JP" u="sng">
            <a:effectLst/>
            <a:latin typeface="BIZ UDPゴシック" panose="020B0400000000000000" pitchFamily="50" charset="-128"/>
            <a:ea typeface="BIZ UDPゴシック" panose="020B0400000000000000" pitchFamily="50" charset="-128"/>
          </a:endParaRPr>
        </a:p>
        <a:p>
          <a:r>
            <a:rPr lang="ja-JP" altLang="en-US" sz="1100">
              <a:effectLst/>
              <a:latin typeface="BIZ UDPゴシック" panose="020B0400000000000000" pitchFamily="50" charset="-128"/>
              <a:ea typeface="BIZ UDPゴシック" panose="020B0400000000000000" pitchFamily="50" charset="-128"/>
              <a:cs typeface="+mn-cs"/>
            </a:rPr>
            <a:t>　</a:t>
          </a:r>
          <a:r>
            <a:rPr lang="ja-JP" altLang="ja-JP" sz="1100">
              <a:effectLst/>
              <a:latin typeface="BIZ UDPゴシック" panose="020B0400000000000000" pitchFamily="50" charset="-128"/>
              <a:ea typeface="BIZ UDPゴシック" panose="020B0400000000000000" pitchFamily="50" charset="-128"/>
              <a:cs typeface="+mn-cs"/>
            </a:rPr>
            <a:t>（１）加算の要件</a:t>
          </a:r>
          <a:endParaRPr lang="ja-JP" altLang="ja-JP">
            <a:effectLst/>
            <a:latin typeface="BIZ UDPゴシック" panose="020B0400000000000000" pitchFamily="50" charset="-128"/>
            <a:ea typeface="BIZ UDPゴシック" panose="020B0400000000000000" pitchFamily="50" charset="-128"/>
          </a:endParaRPr>
        </a:p>
        <a:p>
          <a:r>
            <a:rPr lang="ja-JP" altLang="en-US" sz="1100">
              <a:effectLst/>
              <a:latin typeface="BIZ UDPゴシック" panose="020B0400000000000000" pitchFamily="50" charset="-128"/>
              <a:ea typeface="BIZ UDPゴシック" panose="020B0400000000000000" pitchFamily="50" charset="-128"/>
              <a:cs typeface="+mn-cs"/>
            </a:rPr>
            <a:t>　</a:t>
          </a:r>
          <a:r>
            <a:rPr lang="ja-JP" altLang="ja-JP" sz="1100">
              <a:effectLst/>
              <a:latin typeface="BIZ UDPゴシック" panose="020B0400000000000000" pitchFamily="50" charset="-128"/>
              <a:ea typeface="BIZ UDPゴシック" panose="020B0400000000000000" pitchFamily="50" charset="-128"/>
              <a:cs typeface="+mn-cs"/>
            </a:rPr>
            <a:t>（２）、（ア）、ⅰの年齢別配置基準のうち、３歳児</a:t>
          </a:r>
          <a:r>
            <a:rPr lang="ja-JP" altLang="en-US" sz="1100">
              <a:effectLst/>
              <a:latin typeface="BIZ UDPゴシック" panose="020B0400000000000000" pitchFamily="50" charset="-128"/>
              <a:ea typeface="BIZ UDPゴシック" panose="020B0400000000000000" pitchFamily="50" charset="-128"/>
              <a:cs typeface="+mn-cs"/>
            </a:rPr>
            <a:t>及び満３歳児に</a:t>
          </a:r>
          <a:r>
            <a:rPr lang="ja-JP" altLang="ja-JP" sz="1100">
              <a:effectLst/>
              <a:latin typeface="BIZ UDPゴシック" panose="020B0400000000000000" pitchFamily="50" charset="-128"/>
              <a:ea typeface="BIZ UDPゴシック" panose="020B0400000000000000" pitchFamily="50" charset="-128"/>
              <a:cs typeface="+mn-cs"/>
            </a:rPr>
            <a:t>係る保育</a:t>
          </a:r>
          <a:r>
            <a:rPr lang="ja-JP" altLang="en-US" sz="1100">
              <a:effectLst/>
              <a:latin typeface="BIZ UDPゴシック" panose="020B0400000000000000" pitchFamily="50" charset="-128"/>
              <a:ea typeface="BIZ UDPゴシック" panose="020B0400000000000000" pitchFamily="50" charset="-128"/>
              <a:cs typeface="+mn-cs"/>
            </a:rPr>
            <a:t>教諭等</a:t>
          </a:r>
          <a:r>
            <a:rPr lang="ja-JP" altLang="ja-JP" sz="1100">
              <a:effectLst/>
              <a:latin typeface="BIZ UDPゴシック" panose="020B0400000000000000" pitchFamily="50" charset="-128"/>
              <a:ea typeface="BIZ UDPゴシック" panose="020B0400000000000000" pitchFamily="50" charset="-128"/>
              <a:cs typeface="+mn-cs"/>
            </a:rPr>
            <a:t>士</a:t>
          </a:r>
          <a:r>
            <a:rPr lang="ja-JP" altLang="en-US" sz="1100">
              <a:effectLst/>
              <a:latin typeface="BIZ UDPゴシック" panose="020B0400000000000000" pitchFamily="50" charset="-128"/>
              <a:ea typeface="BIZ UDPゴシック" panose="020B0400000000000000" pitchFamily="50" charset="-128"/>
              <a:cs typeface="+mn-cs"/>
            </a:rPr>
            <a:t>の</a:t>
          </a:r>
          <a:r>
            <a:rPr lang="ja-JP" altLang="ja-JP" sz="1100">
              <a:effectLst/>
              <a:latin typeface="BIZ UDPゴシック" panose="020B0400000000000000" pitchFamily="50" charset="-128"/>
              <a:ea typeface="BIZ UDPゴシック" panose="020B0400000000000000" pitchFamily="50" charset="-128"/>
              <a:cs typeface="+mn-cs"/>
            </a:rPr>
            <a:t>配置基準を３歳児</a:t>
          </a:r>
          <a:r>
            <a:rPr lang="ja-JP" altLang="en-US" sz="1100">
              <a:effectLst/>
              <a:latin typeface="BIZ UDPゴシック" panose="020B0400000000000000" pitchFamily="50" charset="-128"/>
              <a:ea typeface="BIZ UDPゴシック" panose="020B0400000000000000" pitchFamily="50" charset="-128"/>
              <a:cs typeface="+mn-cs"/>
            </a:rPr>
            <a:t>及び満３歳児１５</a:t>
          </a:r>
          <a:r>
            <a:rPr lang="ja-JP" altLang="ja-JP" sz="1100">
              <a:effectLst/>
              <a:latin typeface="BIZ UDPゴシック" panose="020B0400000000000000" pitchFamily="50" charset="-128"/>
              <a:ea typeface="BIZ UDPゴシック" panose="020B0400000000000000" pitchFamily="50" charset="-128"/>
              <a:cs typeface="+mn-cs"/>
            </a:rPr>
            <a:t>人につき１人により実施する施設に加算する。</a:t>
          </a:r>
          <a:endParaRPr lang="en-US" altLang="ja-JP" sz="1100">
            <a:effectLst/>
            <a:latin typeface="BIZ UDPゴシック" panose="020B0400000000000000" pitchFamily="50" charset="-128"/>
            <a:ea typeface="BIZ UDPゴシック" panose="020B0400000000000000" pitchFamily="50" charset="-128"/>
            <a:cs typeface="+mn-cs"/>
          </a:endParaRPr>
        </a:p>
        <a:p>
          <a:endParaRPr lang="en-US" altLang="ja-JP" sz="1100">
            <a:effectLst/>
            <a:latin typeface="BIZ UDPゴシック" panose="020B0400000000000000" pitchFamily="50" charset="-128"/>
            <a:ea typeface="BIZ UDPゴシック" panose="020B0400000000000000" pitchFamily="50" charset="-128"/>
            <a:cs typeface="+mn-cs"/>
          </a:endParaRPr>
        </a:p>
        <a:p>
          <a:r>
            <a:rPr lang="ja-JP" altLang="en-US" sz="1100">
              <a:effectLst/>
              <a:latin typeface="BIZ UDPゴシック" panose="020B0400000000000000" pitchFamily="50" charset="-128"/>
              <a:ea typeface="BIZ UDPゴシック" panose="020B0400000000000000" pitchFamily="50" charset="-128"/>
              <a:cs typeface="+mn-cs"/>
            </a:rPr>
            <a:t>　</a:t>
          </a:r>
          <a:r>
            <a:rPr lang="ja-JP" altLang="en-US" sz="1100" u="sng">
              <a:effectLst/>
              <a:latin typeface="BIZ UDPゴシック" panose="020B0400000000000000" pitchFamily="50" charset="-128"/>
              <a:ea typeface="BIZ UDPゴシック" panose="020B0400000000000000" pitchFamily="50" charset="-128"/>
              <a:cs typeface="+mn-cs"/>
            </a:rPr>
            <a:t>満３歳児対応加配加算</a:t>
          </a:r>
          <a:endParaRPr lang="en-US" altLang="ja-JP" sz="1100" u="sng">
            <a:effectLst/>
            <a:latin typeface="BIZ UDPゴシック" panose="020B0400000000000000" pitchFamily="50" charset="-128"/>
            <a:ea typeface="BIZ UDPゴシック" panose="020B0400000000000000" pitchFamily="50" charset="-128"/>
            <a:cs typeface="+mn-cs"/>
          </a:endParaRPr>
        </a:p>
        <a:p>
          <a:r>
            <a:rPr lang="ja-JP" altLang="en-US" sz="1100">
              <a:effectLst/>
              <a:latin typeface="BIZ UDPゴシック" panose="020B0400000000000000" pitchFamily="50" charset="-128"/>
              <a:ea typeface="BIZ UDPゴシック" panose="020B0400000000000000" pitchFamily="50" charset="-128"/>
              <a:cs typeface="+mn-cs"/>
            </a:rPr>
            <a:t>　（１）加算の要件（３歳児配置改善加算の適用がある場合）</a:t>
          </a:r>
          <a:endParaRPr lang="en-US" altLang="ja-JP" sz="1100">
            <a:effectLst/>
            <a:latin typeface="BIZ UDPゴシック" panose="020B0400000000000000" pitchFamily="50" charset="-128"/>
            <a:ea typeface="BIZ UDPゴシック" panose="020B04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BIZ UDPゴシック" panose="020B0400000000000000" pitchFamily="50" charset="-128"/>
              <a:ea typeface="BIZ UDPゴシック" panose="020B0400000000000000" pitchFamily="50" charset="-128"/>
              <a:cs typeface="+mn-cs"/>
            </a:rPr>
            <a:t>　</a:t>
          </a:r>
          <a:r>
            <a:rPr lang="ja-JP" altLang="ja-JP" sz="1100">
              <a:effectLst/>
              <a:latin typeface="BIZ UDPゴシック" panose="020B0400000000000000" pitchFamily="50" charset="-128"/>
              <a:ea typeface="BIZ UDPゴシック" panose="020B0400000000000000" pitchFamily="50" charset="-128"/>
              <a:cs typeface="+mn-cs"/>
            </a:rPr>
            <a:t>（２）、（ア）、ⅰの年齢別配置基準のうち、</a:t>
          </a:r>
          <a:r>
            <a:rPr lang="ja-JP" altLang="en-US" sz="1100">
              <a:effectLst/>
              <a:latin typeface="BIZ UDPゴシック" panose="020B0400000000000000" pitchFamily="50" charset="-128"/>
              <a:ea typeface="BIZ UDPゴシック" panose="020B0400000000000000" pitchFamily="50" charset="-128"/>
              <a:cs typeface="+mn-cs"/>
            </a:rPr>
            <a:t>満</a:t>
          </a:r>
          <a:r>
            <a:rPr lang="ja-JP" altLang="ja-JP" sz="1100">
              <a:effectLst/>
              <a:latin typeface="BIZ UDPゴシック" panose="020B0400000000000000" pitchFamily="50" charset="-128"/>
              <a:ea typeface="BIZ UDPゴシック" panose="020B0400000000000000" pitchFamily="50" charset="-128"/>
              <a:cs typeface="+mn-cs"/>
            </a:rPr>
            <a:t>３歳児に係る保育</a:t>
          </a:r>
          <a:r>
            <a:rPr lang="ja-JP" altLang="en-US" sz="1100">
              <a:effectLst/>
              <a:latin typeface="BIZ UDPゴシック" panose="020B0400000000000000" pitchFamily="50" charset="-128"/>
              <a:ea typeface="BIZ UDPゴシック" panose="020B0400000000000000" pitchFamily="50" charset="-128"/>
              <a:cs typeface="+mn-cs"/>
            </a:rPr>
            <a:t>教諭等の</a:t>
          </a:r>
          <a:r>
            <a:rPr lang="ja-JP" altLang="ja-JP" sz="1100">
              <a:effectLst/>
              <a:latin typeface="BIZ UDPゴシック" panose="020B0400000000000000" pitchFamily="50" charset="-128"/>
              <a:ea typeface="BIZ UDPゴシック" panose="020B0400000000000000" pitchFamily="50" charset="-128"/>
              <a:cs typeface="+mn-cs"/>
            </a:rPr>
            <a:t>配置基準を</a:t>
          </a:r>
          <a:r>
            <a:rPr lang="ja-JP" altLang="en-US" sz="1100">
              <a:effectLst/>
              <a:latin typeface="BIZ UDPゴシック" panose="020B0400000000000000" pitchFamily="50" charset="-128"/>
              <a:ea typeface="BIZ UDPゴシック" panose="020B0400000000000000" pitchFamily="50" charset="-128"/>
              <a:cs typeface="+mn-cs"/>
            </a:rPr>
            <a:t>満</a:t>
          </a:r>
          <a:r>
            <a:rPr lang="ja-JP" altLang="ja-JP" sz="1100">
              <a:effectLst/>
              <a:latin typeface="BIZ UDPゴシック" panose="020B0400000000000000" pitchFamily="50" charset="-128"/>
              <a:ea typeface="BIZ UDPゴシック" panose="020B0400000000000000" pitchFamily="50" charset="-128"/>
              <a:cs typeface="+mn-cs"/>
            </a:rPr>
            <a:t>３歳児</a:t>
          </a:r>
          <a:r>
            <a:rPr lang="ja-JP" altLang="en-US" sz="1100">
              <a:effectLst/>
              <a:latin typeface="BIZ UDPゴシック" panose="020B0400000000000000" pitchFamily="50" charset="-128"/>
              <a:ea typeface="BIZ UDPゴシック" panose="020B0400000000000000" pitchFamily="50" charset="-128"/>
              <a:cs typeface="+mn-cs"/>
            </a:rPr>
            <a:t>６</a:t>
          </a:r>
          <a:r>
            <a:rPr lang="ja-JP" altLang="ja-JP" sz="1100">
              <a:effectLst/>
              <a:latin typeface="BIZ UDPゴシック" panose="020B0400000000000000" pitchFamily="50" charset="-128"/>
              <a:ea typeface="BIZ UDPゴシック" panose="020B0400000000000000" pitchFamily="50" charset="-128"/>
              <a:cs typeface="+mn-cs"/>
            </a:rPr>
            <a:t>人につき１人により実施する施設に加算する。</a:t>
          </a:r>
          <a:endParaRPr lang="ja-JP" altLang="ja-JP">
            <a:effectLst/>
            <a:latin typeface="BIZ UDPゴシック" panose="020B0400000000000000" pitchFamily="50" charset="-128"/>
            <a:ea typeface="BIZ UDPゴシック" panose="020B0400000000000000" pitchFamily="50" charset="-128"/>
          </a:endParaRPr>
        </a:p>
        <a:p>
          <a:endParaRPr lang="en-US" altLang="ja-JP" sz="1100">
            <a:effectLst/>
            <a:latin typeface="BIZ UDPゴシック" panose="020B0400000000000000" pitchFamily="50" charset="-128"/>
            <a:ea typeface="BIZ UDPゴシック" panose="020B0400000000000000" pitchFamily="50" charset="-128"/>
            <a:cs typeface="+mn-cs"/>
          </a:endParaRPr>
        </a:p>
        <a:p>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ⅱ　その他</a:t>
          </a:r>
        </a:p>
        <a:p>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ａ　</a:t>
          </a:r>
          <a:r>
            <a:rPr lang="ja-JP" altLang="en-US" sz="1100">
              <a:solidFill>
                <a:srgbClr val="FF0000"/>
              </a:solidFill>
              <a:effectLst/>
              <a:latin typeface="BIZ UDPゴシック" panose="020B0400000000000000" pitchFamily="50" charset="-128"/>
              <a:ea typeface="BIZ UDPゴシック" panose="020B0400000000000000" pitchFamily="50" charset="-128"/>
              <a:cs typeface="+mn-cs"/>
            </a:rPr>
            <a:t>保育認定子どもに係る</a:t>
          </a:r>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利用定員</a:t>
          </a:r>
          <a:r>
            <a:rPr lang="en-US" altLang="ja-JP" sz="1100">
              <a:solidFill>
                <a:srgbClr val="FF0000"/>
              </a:solidFill>
              <a:effectLst/>
              <a:latin typeface="BIZ UDPゴシック" panose="020B0400000000000000" pitchFamily="50" charset="-128"/>
              <a:ea typeface="BIZ UDPゴシック" panose="020B0400000000000000" pitchFamily="50" charset="-128"/>
              <a:cs typeface="+mn-cs"/>
            </a:rPr>
            <a:t>90</a:t>
          </a:r>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人以下の施設については１人</a:t>
          </a:r>
          <a:r>
            <a:rPr lang="ja-JP" altLang="en-US" sz="1100">
              <a:solidFill>
                <a:srgbClr val="FF0000"/>
              </a:solidFill>
              <a:effectLst/>
              <a:latin typeface="BIZ UDPゴシック" panose="020B0400000000000000" pitchFamily="50" charset="-128"/>
              <a:ea typeface="BIZ UDPゴシック" panose="020B0400000000000000" pitchFamily="50" charset="-128"/>
              <a:cs typeface="+mn-cs"/>
            </a:rPr>
            <a:t>　←このシートの（</a:t>
          </a:r>
          <a:r>
            <a:rPr lang="en-US" altLang="ja-JP" sz="1100">
              <a:solidFill>
                <a:srgbClr val="FF0000"/>
              </a:solidFill>
              <a:effectLst/>
              <a:latin typeface="BIZ UDPゴシック" panose="020B0400000000000000" pitchFamily="50" charset="-128"/>
              <a:ea typeface="BIZ UDPゴシック" panose="020B0400000000000000" pitchFamily="50" charset="-128"/>
              <a:cs typeface="+mn-cs"/>
            </a:rPr>
            <a:t>b</a:t>
          </a:r>
          <a:r>
            <a:rPr lang="ja-JP" altLang="en-US" sz="1100">
              <a:solidFill>
                <a:srgbClr val="FF0000"/>
              </a:solidFill>
              <a:effectLst/>
              <a:latin typeface="BIZ UDPゴシック" panose="020B0400000000000000" pitchFamily="50" charset="-128"/>
              <a:ea typeface="BIZ UDPゴシック" panose="020B0400000000000000" pitchFamily="50" charset="-128"/>
              <a:cs typeface="+mn-cs"/>
            </a:rPr>
            <a:t>）です。</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ｂ　保育標準時間認定を受けた子どもが利用する施設については１人</a:t>
          </a:r>
          <a:r>
            <a:rPr lang="ja-JP" altLang="en-US" sz="1100">
              <a:solidFill>
                <a:srgbClr val="FF0000"/>
              </a:solidFill>
              <a:effectLst/>
              <a:latin typeface="BIZ UDPゴシック" panose="020B0400000000000000" pitchFamily="50" charset="-128"/>
              <a:ea typeface="BIZ UDPゴシック" panose="020B0400000000000000" pitchFamily="50" charset="-128"/>
              <a:cs typeface="+mn-cs"/>
            </a:rPr>
            <a:t>　←このシートの（</a:t>
          </a:r>
          <a:r>
            <a:rPr lang="en-US" altLang="ja-JP" sz="1100">
              <a:solidFill>
                <a:srgbClr val="FF0000"/>
              </a:solidFill>
              <a:effectLst/>
              <a:latin typeface="BIZ UDPゴシック" panose="020B0400000000000000" pitchFamily="50" charset="-128"/>
              <a:ea typeface="BIZ UDPゴシック" panose="020B0400000000000000" pitchFamily="50" charset="-128"/>
              <a:cs typeface="+mn-cs"/>
            </a:rPr>
            <a:t>c</a:t>
          </a:r>
          <a:r>
            <a:rPr lang="ja-JP" altLang="en-US" sz="1100">
              <a:solidFill>
                <a:srgbClr val="FF0000"/>
              </a:solidFill>
              <a:effectLst/>
              <a:latin typeface="BIZ UDPゴシック" panose="020B0400000000000000" pitchFamily="50" charset="-128"/>
              <a:ea typeface="BIZ UDPゴシック" panose="020B0400000000000000" pitchFamily="50" charset="-128"/>
              <a:cs typeface="+mn-cs"/>
            </a:rPr>
            <a:t>）です。</a:t>
          </a:r>
          <a:endParaRPr lang="en-US" altLang="ja-JP" sz="1100">
            <a:solidFill>
              <a:srgbClr val="FF0000"/>
            </a:solidFill>
            <a:effectLst/>
            <a:latin typeface="BIZ UDPゴシック" panose="020B0400000000000000" pitchFamily="50" charset="-128"/>
            <a:ea typeface="BIZ UDPゴシック" panose="020B04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rgbClr val="FF0000"/>
              </a:solidFill>
              <a:effectLst/>
              <a:latin typeface="BIZ UDPゴシック" panose="020B0400000000000000" pitchFamily="50" charset="-128"/>
              <a:ea typeface="BIZ UDPゴシック" panose="020B0400000000000000" pitchFamily="50" charset="-128"/>
              <a:cs typeface="+mn-cs"/>
            </a:rPr>
            <a:t>c</a:t>
          </a:r>
          <a:r>
            <a:rPr kumimoji="1" lang="ja-JP" altLang="en-US" sz="1100">
              <a:solidFill>
                <a:srgbClr val="FF0000"/>
              </a:solidFill>
              <a:effectLst/>
              <a:latin typeface="BIZ UDPゴシック" panose="020B0400000000000000" pitchFamily="50" charset="-128"/>
              <a:ea typeface="BIZ UDPゴシック" panose="020B0400000000000000" pitchFamily="50" charset="-128"/>
              <a:cs typeface="+mn-cs"/>
            </a:rPr>
            <a:t>　主幹保育教諭等を専任化させるための代替保育教諭等を２人　</a:t>
          </a:r>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←このシートの（</a:t>
          </a:r>
          <a:r>
            <a:rPr lang="en-US" altLang="ja-JP" sz="1100">
              <a:solidFill>
                <a:srgbClr val="FF0000"/>
              </a:solidFill>
              <a:effectLst/>
              <a:latin typeface="BIZ UDPゴシック" panose="020B0400000000000000" pitchFamily="50" charset="-128"/>
              <a:ea typeface="BIZ UDPゴシック" panose="020B0400000000000000" pitchFamily="50" charset="-128"/>
              <a:cs typeface="+mn-cs"/>
            </a:rPr>
            <a:t>d</a:t>
          </a:r>
          <a:r>
            <a:rPr lang="ja-JP" altLang="en-US" sz="1100">
              <a:solidFill>
                <a:srgbClr val="FF0000"/>
              </a:solidFill>
              <a:effectLst/>
              <a:latin typeface="BIZ UDPゴシック" panose="020B0400000000000000" pitchFamily="50" charset="-128"/>
              <a:ea typeface="BIZ UDPゴシック" panose="020B0400000000000000" pitchFamily="50" charset="-128"/>
              <a:cs typeface="+mn-cs"/>
            </a:rPr>
            <a:t>）で</a:t>
          </a:r>
          <a:r>
            <a:rPr lang="ja-JP" altLang="ja-JP" sz="1100">
              <a:solidFill>
                <a:srgbClr val="FF0000"/>
              </a:solidFill>
              <a:effectLst/>
              <a:latin typeface="BIZ UDPゴシック" panose="020B0400000000000000" pitchFamily="50" charset="-128"/>
              <a:ea typeface="BIZ UDPゴシック" panose="020B0400000000000000" pitchFamily="50" charset="-128"/>
              <a:cs typeface="+mn-cs"/>
            </a:rPr>
            <a:t>す。</a:t>
          </a:r>
          <a:endParaRPr lang="ja-JP" altLang="ja-JP">
            <a:solidFill>
              <a:srgbClr val="FF0000"/>
            </a:solidFill>
            <a:effectLst/>
            <a:latin typeface="BIZ UDPゴシック" panose="020B0400000000000000" pitchFamily="50" charset="-128"/>
            <a:ea typeface="BIZ UDPゴシック" panose="020B0400000000000000" pitchFamily="50" charset="-128"/>
          </a:endParaRPr>
        </a:p>
        <a:p>
          <a:endParaRPr kumimoji="1" lang="en-US" altLang="ja-JP" sz="1100">
            <a:solidFill>
              <a:srgbClr val="FF0000"/>
            </a:solidFill>
            <a:effectLst/>
            <a:latin typeface="+mn-lt"/>
            <a:ea typeface="+mn-ea"/>
            <a:cs typeface="+mn-cs"/>
          </a:endParaRPr>
        </a:p>
        <a:p>
          <a:endParaRPr kumimoji="1" lang="ja-JP" altLang="en-US" sz="1100">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06%20&#27665;&#38291;&#20445;&#32946;&#22290;&#35036;&#21161;&#37329;&#38306;&#20418;\01%20&#20445;&#32946;&#22763;&#31561;&#37197;&#32622;&#22522;&#28310;&#25913;&#21892;&#20107;&#26989;&#35036;&#21161;&#37329;\&#9733;&#20445;&#32946;&#22763;&#37197;&#32622;&#22522;&#28310;&#35036;&#21161;&#37329;\R3\01%20%20&#30003;&#35531;&#12539;&#12405;&#12426;&#12371;&#12415;&#36039;&#26009;\02%20%20&#31532;&#20108;&#26399;&#20998;&#21106;\&#12304;&#26152;&#24180;&#29256;&#12305;01_&#12304;&#37197;&#32622;&#22522;&#28310;&#12305;&#31532;2&#26399;&#20998;&#21106;&#35531;&#27714;&#12398;&#21487;&#21542;&#30906;&#35469;&#12487;&#12540;&#12479;&#65288;&#27665;&#38291;&#20445;&#32946;&#22290;&#65289;R2.10.6&#24046;&#12375;&#26367;&#123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8251;&#21508;&#20418;&#21729;\&#28193;&#37096;&#30001;&#20339;&#12501;&#12457;&#12523;&#12480;\&#20445;&#32946;&#22763;&#37197;&#32622;&#22522;&#28310;&#35036;&#21161;&#37329;\&#20445;&#32946;&#22763;&#37197;&#32622;&#22522;&#28310;&#35036;&#21161;&#37329;\1&#35036;&#21161;&#37329;&#20132;&#20184;(vlookup)\23&#20445;&#32946;&#22763;&#31561;&#37197;&#32622;&#22522;&#28310;&#35036;&#21161;&#3732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リスト"/>
      <sheetName val="補助金用基本データ"/>
      <sheetName val="個別データ"/>
      <sheetName val="⓪ファイルの説明"/>
      <sheetName val="①基本情報"/>
      <sheetName val="②-1職員名簿"/>
      <sheetName val="②-2勤務時間数入力"/>
      <sheetName val="③児童数及び保育士定数 (2)-(1)"/>
      <sheetName val="④-1月別配置内訳書(2)-(2)-(A)"/>
      <sheetName val="④-2月別配置内訳書(2)-(2)-(B)"/>
      <sheetName val="④-3月別配置内訳書(2)-(2)-(C)"/>
      <sheetName val="⑤基本分、３歳未満児(3)"/>
      <sheetName val="⑥１・２歳児担当内訳書(4)"/>
      <sheetName val="⑦産休明け保育等(5)"/>
      <sheetName val="⑧要配慮内訳書(6)"/>
      <sheetName val="⑨調理内訳書(7)"/>
      <sheetName val="様式３"/>
      <sheetName val="様式４"/>
      <sheetName val="様式６"/>
      <sheetName val="様式８"/>
      <sheetName val="精算書"/>
      <sheetName val="修正等箇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施設情報"/>
      <sheetName val="交付決定内訳一覧"/>
      <sheetName val="3.31現在職員数"/>
      <sheetName val="交付決定一覧"/>
      <sheetName val="決定通知（様式第２号）"/>
      <sheetName val="第１四半期"/>
      <sheetName val="第２四半期 "/>
      <sheetName val="第２支払"/>
      <sheetName val="第３四半期"/>
      <sheetName val="第３支払"/>
      <sheetName val="10月予備申請"/>
      <sheetName val="変更決定一覧"/>
      <sheetName val="変更通知（様式第5号）"/>
      <sheetName val="確定通知（様式第7号）"/>
      <sheetName val="差引所要額一覧"/>
      <sheetName val="差引所要額内訳 "/>
      <sheetName val="確定額一覧"/>
      <sheetName val="精算分"/>
      <sheetName val="精算書"/>
      <sheetName val="枝番号簿"/>
      <sheetName val="支払い一覧"/>
    </sheetNames>
    <sheetDataSet>
      <sheetData sheetId="0"/>
      <sheetData sheetId="1">
        <row r="4">
          <cell r="A4">
            <v>1</v>
          </cell>
          <cell r="B4" t="str">
            <v>院内保育園</v>
          </cell>
          <cell r="C4">
            <v>0</v>
          </cell>
          <cell r="D4">
            <v>2517000</v>
          </cell>
          <cell r="E4">
            <v>4116000</v>
          </cell>
          <cell r="F4">
            <v>0</v>
          </cell>
          <cell r="G4">
            <v>1502000</v>
          </cell>
          <cell r="H4">
            <v>0</v>
          </cell>
          <cell r="I4">
            <v>8135000</v>
          </cell>
        </row>
        <row r="5">
          <cell r="A5">
            <v>2</v>
          </cell>
          <cell r="B5" t="str">
            <v>旭ケ丘保育園</v>
          </cell>
          <cell r="C5">
            <v>0</v>
          </cell>
          <cell r="D5">
            <v>2517000</v>
          </cell>
          <cell r="E5">
            <v>4116000</v>
          </cell>
          <cell r="F5">
            <v>467000</v>
          </cell>
          <cell r="G5">
            <v>1588000</v>
          </cell>
          <cell r="H5">
            <v>2352000</v>
          </cell>
          <cell r="I5">
            <v>11040000</v>
          </cell>
        </row>
        <row r="6">
          <cell r="A6">
            <v>3</v>
          </cell>
          <cell r="B6" t="str">
            <v>稲毛保育園</v>
          </cell>
          <cell r="C6">
            <v>0</v>
          </cell>
          <cell r="D6">
            <v>2517000</v>
          </cell>
          <cell r="E6">
            <v>4116000</v>
          </cell>
          <cell r="F6">
            <v>0</v>
          </cell>
          <cell r="G6">
            <v>1588000</v>
          </cell>
          <cell r="H6">
            <v>2352000</v>
          </cell>
          <cell r="I6">
            <v>10573000</v>
          </cell>
        </row>
        <row r="7">
          <cell r="A7">
            <v>4</v>
          </cell>
          <cell r="B7" t="str">
            <v>みどり学園附属保育園</v>
          </cell>
          <cell r="C7">
            <v>0</v>
          </cell>
          <cell r="D7">
            <v>2517000</v>
          </cell>
          <cell r="E7">
            <v>4116000</v>
          </cell>
          <cell r="F7">
            <v>0</v>
          </cell>
          <cell r="G7">
            <v>1588000</v>
          </cell>
          <cell r="H7">
            <v>0</v>
          </cell>
          <cell r="I7">
            <v>8221000</v>
          </cell>
        </row>
        <row r="8">
          <cell r="A8">
            <v>5</v>
          </cell>
          <cell r="B8" t="str">
            <v>ちどり保育園</v>
          </cell>
          <cell r="C8">
            <v>0</v>
          </cell>
          <cell r="D8">
            <v>2517000</v>
          </cell>
          <cell r="E8">
            <v>4116000</v>
          </cell>
          <cell r="F8">
            <v>467000</v>
          </cell>
          <cell r="G8">
            <v>1584000</v>
          </cell>
          <cell r="H8">
            <v>0</v>
          </cell>
          <cell r="I8">
            <v>8684000</v>
          </cell>
        </row>
        <row r="9">
          <cell r="A9">
            <v>6</v>
          </cell>
          <cell r="B9" t="str">
            <v>今井保育園</v>
          </cell>
          <cell r="C9">
            <v>935000</v>
          </cell>
          <cell r="D9">
            <v>2517000</v>
          </cell>
          <cell r="E9">
            <v>4116000</v>
          </cell>
          <cell r="F9">
            <v>467000</v>
          </cell>
          <cell r="G9">
            <v>1588000</v>
          </cell>
          <cell r="H9">
            <v>2352000</v>
          </cell>
          <cell r="I9">
            <v>11975000</v>
          </cell>
        </row>
        <row r="10">
          <cell r="A10">
            <v>7</v>
          </cell>
          <cell r="B10" t="str">
            <v>若竹保育園</v>
          </cell>
          <cell r="C10">
            <v>0</v>
          </cell>
          <cell r="D10">
            <v>2517000</v>
          </cell>
          <cell r="E10">
            <v>4116000</v>
          </cell>
          <cell r="F10">
            <v>467000</v>
          </cell>
          <cell r="G10">
            <v>1588000</v>
          </cell>
          <cell r="H10">
            <v>2352000</v>
          </cell>
          <cell r="I10">
            <v>11040000</v>
          </cell>
        </row>
        <row r="11">
          <cell r="A11">
            <v>8</v>
          </cell>
          <cell r="B11" t="str">
            <v>千葉寺保育園</v>
          </cell>
          <cell r="C11">
            <v>0</v>
          </cell>
          <cell r="D11">
            <v>2517000</v>
          </cell>
          <cell r="E11">
            <v>4116000</v>
          </cell>
          <cell r="F11">
            <v>0</v>
          </cell>
          <cell r="G11">
            <v>1588000</v>
          </cell>
          <cell r="H11">
            <v>2352000</v>
          </cell>
          <cell r="I11">
            <v>10573000</v>
          </cell>
        </row>
        <row r="12">
          <cell r="A12">
            <v>9</v>
          </cell>
          <cell r="B12" t="str">
            <v>慈光保育園</v>
          </cell>
          <cell r="C12">
            <v>0</v>
          </cell>
          <cell r="D12">
            <v>2517000</v>
          </cell>
          <cell r="E12">
            <v>4116000</v>
          </cell>
          <cell r="F12">
            <v>467000</v>
          </cell>
          <cell r="G12">
            <v>1588000</v>
          </cell>
          <cell r="H12">
            <v>2352000</v>
          </cell>
          <cell r="I12">
            <v>11040000</v>
          </cell>
        </row>
        <row r="13">
          <cell r="A13">
            <v>10</v>
          </cell>
          <cell r="B13" t="str">
            <v>若梅保育園</v>
          </cell>
          <cell r="C13">
            <v>0</v>
          </cell>
          <cell r="D13">
            <v>2517000</v>
          </cell>
          <cell r="E13">
            <v>4116000</v>
          </cell>
          <cell r="F13">
            <v>467000</v>
          </cell>
          <cell r="G13">
            <v>1588000</v>
          </cell>
          <cell r="H13">
            <v>2352000</v>
          </cell>
          <cell r="I13">
            <v>11040000</v>
          </cell>
        </row>
        <row r="14">
          <cell r="A14">
            <v>11</v>
          </cell>
          <cell r="B14" t="str">
            <v>チューリップ保育園</v>
          </cell>
          <cell r="C14">
            <v>0</v>
          </cell>
          <cell r="D14">
            <v>2517000</v>
          </cell>
          <cell r="E14">
            <v>4116000</v>
          </cell>
          <cell r="F14">
            <v>0</v>
          </cell>
          <cell r="G14">
            <v>1077000</v>
          </cell>
          <cell r="H14">
            <v>2352000</v>
          </cell>
          <cell r="I14">
            <v>10062000</v>
          </cell>
        </row>
        <row r="15">
          <cell r="A15">
            <v>12</v>
          </cell>
          <cell r="B15" t="str">
            <v>幕張海浜保育園</v>
          </cell>
          <cell r="C15">
            <v>0</v>
          </cell>
          <cell r="D15">
            <v>2517000</v>
          </cell>
          <cell r="E15">
            <v>4116000</v>
          </cell>
          <cell r="F15">
            <v>467000</v>
          </cell>
          <cell r="G15">
            <v>1588000</v>
          </cell>
          <cell r="H15">
            <v>0</v>
          </cell>
          <cell r="I15">
            <v>8688000</v>
          </cell>
        </row>
        <row r="16">
          <cell r="A16">
            <v>13</v>
          </cell>
          <cell r="B16" t="str">
            <v>みつわ台保育園</v>
          </cell>
          <cell r="C16">
            <v>0</v>
          </cell>
          <cell r="D16">
            <v>2517000</v>
          </cell>
          <cell r="E16">
            <v>4116000</v>
          </cell>
          <cell r="F16">
            <v>467000</v>
          </cell>
          <cell r="G16">
            <v>1588000</v>
          </cell>
          <cell r="H16">
            <v>7056000</v>
          </cell>
          <cell r="I16">
            <v>15744000</v>
          </cell>
        </row>
        <row r="17">
          <cell r="A17">
            <v>14</v>
          </cell>
          <cell r="B17" t="str">
            <v>まどか保育園</v>
          </cell>
          <cell r="C17">
            <v>0</v>
          </cell>
          <cell r="D17">
            <v>2517000</v>
          </cell>
          <cell r="E17">
            <v>4116000</v>
          </cell>
          <cell r="F17">
            <v>467000</v>
          </cell>
          <cell r="G17">
            <v>1588000</v>
          </cell>
          <cell r="H17">
            <v>0</v>
          </cell>
          <cell r="I17">
            <v>8688000</v>
          </cell>
        </row>
        <row r="18">
          <cell r="A18">
            <v>15</v>
          </cell>
          <cell r="B18" t="str">
            <v>わかくさ保育園</v>
          </cell>
          <cell r="C18">
            <v>0</v>
          </cell>
          <cell r="D18">
            <v>2517000</v>
          </cell>
          <cell r="E18">
            <v>4116000</v>
          </cell>
          <cell r="F18">
            <v>467000</v>
          </cell>
          <cell r="G18">
            <v>1588000</v>
          </cell>
          <cell r="H18">
            <v>0</v>
          </cell>
          <cell r="I18">
            <v>8688000</v>
          </cell>
        </row>
        <row r="19">
          <cell r="A19">
            <v>16</v>
          </cell>
          <cell r="B19" t="str">
            <v>たいよう保育園</v>
          </cell>
          <cell r="C19">
            <v>0</v>
          </cell>
          <cell r="D19">
            <v>2517000</v>
          </cell>
          <cell r="E19">
            <v>4116000</v>
          </cell>
          <cell r="F19">
            <v>467000</v>
          </cell>
          <cell r="G19">
            <v>1588000</v>
          </cell>
          <cell r="H19">
            <v>0</v>
          </cell>
          <cell r="I19">
            <v>8688000</v>
          </cell>
        </row>
        <row r="20">
          <cell r="A20">
            <v>17</v>
          </cell>
          <cell r="B20" t="str">
            <v>松ケ丘保育園</v>
          </cell>
          <cell r="C20">
            <v>0</v>
          </cell>
          <cell r="D20">
            <v>2517000</v>
          </cell>
          <cell r="E20">
            <v>4116000</v>
          </cell>
          <cell r="F20">
            <v>467000</v>
          </cell>
          <cell r="G20">
            <v>1288000</v>
          </cell>
          <cell r="H20">
            <v>2352000</v>
          </cell>
          <cell r="I20">
            <v>10740000</v>
          </cell>
        </row>
        <row r="21">
          <cell r="A21">
            <v>18</v>
          </cell>
          <cell r="B21" t="str">
            <v>作草部保育園</v>
          </cell>
          <cell r="C21">
            <v>0</v>
          </cell>
          <cell r="D21">
            <v>2517000</v>
          </cell>
          <cell r="E21">
            <v>4116000</v>
          </cell>
          <cell r="F21">
            <v>467000</v>
          </cell>
          <cell r="G21">
            <v>1588000</v>
          </cell>
          <cell r="H21">
            <v>2352000</v>
          </cell>
          <cell r="I21">
            <v>11040000</v>
          </cell>
        </row>
        <row r="22">
          <cell r="A22">
            <v>19</v>
          </cell>
          <cell r="B22" t="str">
            <v>すずらん保育園</v>
          </cell>
          <cell r="C22">
            <v>0</v>
          </cell>
          <cell r="D22">
            <v>2517000</v>
          </cell>
          <cell r="E22">
            <v>4116000</v>
          </cell>
          <cell r="F22">
            <v>467000</v>
          </cell>
          <cell r="G22">
            <v>1588000</v>
          </cell>
          <cell r="H22">
            <v>2352000</v>
          </cell>
          <cell r="I22">
            <v>11040000</v>
          </cell>
        </row>
        <row r="23">
          <cell r="A23">
            <v>20</v>
          </cell>
          <cell r="B23" t="str">
            <v>なぎさ保育園</v>
          </cell>
          <cell r="C23">
            <v>0</v>
          </cell>
          <cell r="D23">
            <v>2517000</v>
          </cell>
          <cell r="E23">
            <v>4116000</v>
          </cell>
          <cell r="F23">
            <v>467000</v>
          </cell>
          <cell r="G23">
            <v>1588000</v>
          </cell>
          <cell r="H23">
            <v>0</v>
          </cell>
          <cell r="I23">
            <v>8688000</v>
          </cell>
        </row>
        <row r="24">
          <cell r="A24">
            <v>21</v>
          </cell>
          <cell r="B24" t="str">
            <v>南小中台保育園</v>
          </cell>
          <cell r="C24">
            <v>0</v>
          </cell>
          <cell r="D24">
            <v>2517000</v>
          </cell>
          <cell r="E24">
            <v>4116000</v>
          </cell>
          <cell r="F24">
            <v>467000</v>
          </cell>
          <cell r="G24">
            <v>1588000</v>
          </cell>
          <cell r="H24">
            <v>2352000</v>
          </cell>
          <cell r="I24">
            <v>11040000</v>
          </cell>
        </row>
        <row r="25">
          <cell r="A25">
            <v>22</v>
          </cell>
          <cell r="B25" t="str">
            <v>もみじ保育園</v>
          </cell>
          <cell r="C25">
            <v>0</v>
          </cell>
          <cell r="D25">
            <v>2517000</v>
          </cell>
          <cell r="E25">
            <v>4116000</v>
          </cell>
          <cell r="F25">
            <v>0</v>
          </cell>
          <cell r="G25">
            <v>1588000</v>
          </cell>
          <cell r="H25">
            <v>2352000</v>
          </cell>
          <cell r="I25">
            <v>10573000</v>
          </cell>
        </row>
        <row r="26">
          <cell r="A26">
            <v>23</v>
          </cell>
          <cell r="B26" t="str">
            <v>おゆみ野保育園</v>
          </cell>
          <cell r="C26">
            <v>0</v>
          </cell>
          <cell r="D26">
            <v>2517000</v>
          </cell>
          <cell r="E26">
            <v>4116000</v>
          </cell>
          <cell r="F26">
            <v>467000</v>
          </cell>
          <cell r="G26">
            <v>1588000</v>
          </cell>
          <cell r="H26">
            <v>2352000</v>
          </cell>
          <cell r="I26">
            <v>11040000</v>
          </cell>
        </row>
        <row r="27">
          <cell r="A27">
            <v>24</v>
          </cell>
          <cell r="B27" t="str">
            <v>ナーセリー鏡戸</v>
          </cell>
          <cell r="C27">
            <v>935000</v>
          </cell>
          <cell r="D27">
            <v>2517000</v>
          </cell>
          <cell r="E27">
            <v>4116000</v>
          </cell>
          <cell r="F27">
            <v>467000</v>
          </cell>
          <cell r="G27">
            <v>1588000</v>
          </cell>
          <cell r="H27">
            <v>0</v>
          </cell>
          <cell r="I27">
            <v>9623000</v>
          </cell>
        </row>
        <row r="28">
          <cell r="A28">
            <v>25</v>
          </cell>
          <cell r="B28" t="str">
            <v>打瀬保育園</v>
          </cell>
          <cell r="C28">
            <v>0</v>
          </cell>
          <cell r="D28">
            <v>2517000</v>
          </cell>
          <cell r="E28">
            <v>4116000</v>
          </cell>
          <cell r="F28">
            <v>467000</v>
          </cell>
          <cell r="G28">
            <v>1588000</v>
          </cell>
          <cell r="H28">
            <v>0</v>
          </cell>
          <cell r="I28">
            <v>8688000</v>
          </cell>
        </row>
        <row r="29">
          <cell r="A29">
            <v>26</v>
          </cell>
          <cell r="B29" t="str">
            <v>ふたば保育園</v>
          </cell>
          <cell r="C29">
            <v>0</v>
          </cell>
          <cell r="D29">
            <v>2517000</v>
          </cell>
          <cell r="E29">
            <v>4116000</v>
          </cell>
          <cell r="F29">
            <v>467000</v>
          </cell>
          <cell r="G29">
            <v>1588000</v>
          </cell>
          <cell r="H29">
            <v>4704000</v>
          </cell>
          <cell r="I29">
            <v>13392000</v>
          </cell>
        </row>
        <row r="30">
          <cell r="A30">
            <v>27</v>
          </cell>
          <cell r="B30" t="str">
            <v>明和輝保育園</v>
          </cell>
          <cell r="C30">
            <v>935000</v>
          </cell>
          <cell r="D30">
            <v>2517000</v>
          </cell>
          <cell r="E30">
            <v>4116000</v>
          </cell>
          <cell r="F30">
            <v>0</v>
          </cell>
          <cell r="G30">
            <v>1588000</v>
          </cell>
          <cell r="H30">
            <v>2352000</v>
          </cell>
          <cell r="I30">
            <v>11508000</v>
          </cell>
        </row>
        <row r="31">
          <cell r="A31">
            <v>28</v>
          </cell>
          <cell r="B31" t="str">
            <v>山王保育園</v>
          </cell>
          <cell r="C31">
            <v>0</v>
          </cell>
          <cell r="D31">
            <v>2517000</v>
          </cell>
          <cell r="E31">
            <v>4116000</v>
          </cell>
          <cell r="F31">
            <v>467000</v>
          </cell>
          <cell r="G31">
            <v>1588000</v>
          </cell>
          <cell r="H31">
            <v>0</v>
          </cell>
          <cell r="I31">
            <v>8688000</v>
          </cell>
        </row>
        <row r="32">
          <cell r="A32">
            <v>29</v>
          </cell>
          <cell r="B32" t="str">
            <v>チャイルド・ガーデン保育園</v>
          </cell>
          <cell r="C32">
            <v>0</v>
          </cell>
          <cell r="D32">
            <v>2517000</v>
          </cell>
          <cell r="E32">
            <v>4116000</v>
          </cell>
          <cell r="F32">
            <v>0</v>
          </cell>
          <cell r="G32">
            <v>1588000</v>
          </cell>
          <cell r="H32">
            <v>0</v>
          </cell>
          <cell r="I32">
            <v>8221000</v>
          </cell>
        </row>
        <row r="33">
          <cell r="A33">
            <v>30</v>
          </cell>
          <cell r="B33" t="str">
            <v>明徳土気保育園</v>
          </cell>
          <cell r="C33">
            <v>0</v>
          </cell>
          <cell r="D33">
            <v>2517000</v>
          </cell>
          <cell r="E33">
            <v>4116000</v>
          </cell>
          <cell r="F33">
            <v>467000</v>
          </cell>
          <cell r="G33">
            <v>1588000</v>
          </cell>
          <cell r="H33">
            <v>4704000</v>
          </cell>
          <cell r="I33">
            <v>13392000</v>
          </cell>
        </row>
        <row r="34">
          <cell r="A34">
            <v>31</v>
          </cell>
          <cell r="B34" t="str">
            <v>グレース保育園</v>
          </cell>
          <cell r="C34">
            <v>0</v>
          </cell>
          <cell r="D34">
            <v>2517000</v>
          </cell>
          <cell r="E34">
            <v>4116000</v>
          </cell>
          <cell r="F34">
            <v>0</v>
          </cell>
          <cell r="G34">
            <v>1588000</v>
          </cell>
          <cell r="H34">
            <v>2352000</v>
          </cell>
          <cell r="I34">
            <v>10573000</v>
          </cell>
        </row>
        <row r="35">
          <cell r="A35">
            <v>32</v>
          </cell>
          <cell r="B35" t="str">
            <v>みらい保育園</v>
          </cell>
          <cell r="C35">
            <v>0</v>
          </cell>
          <cell r="D35">
            <v>2517000</v>
          </cell>
          <cell r="E35">
            <v>4116000</v>
          </cell>
          <cell r="F35">
            <v>0</v>
          </cell>
          <cell r="G35">
            <v>1588000</v>
          </cell>
          <cell r="H35">
            <v>2352000</v>
          </cell>
          <cell r="I35">
            <v>10573000</v>
          </cell>
        </row>
        <row r="36">
          <cell r="A36">
            <v>33</v>
          </cell>
          <cell r="B36" t="str">
            <v>かまとり保育園</v>
          </cell>
          <cell r="C36">
            <v>0</v>
          </cell>
          <cell r="D36">
            <v>2517000</v>
          </cell>
          <cell r="E36">
            <v>4116000</v>
          </cell>
          <cell r="F36">
            <v>0</v>
          </cell>
          <cell r="G36">
            <v>1588000</v>
          </cell>
          <cell r="H36">
            <v>2352000</v>
          </cell>
          <cell r="I36">
            <v>10573000</v>
          </cell>
        </row>
        <row r="37">
          <cell r="A37">
            <v>34</v>
          </cell>
          <cell r="B37" t="str">
            <v>植草弁天保育園</v>
          </cell>
          <cell r="C37">
            <v>935000</v>
          </cell>
          <cell r="D37">
            <v>2517000</v>
          </cell>
          <cell r="E37">
            <v>4116000</v>
          </cell>
          <cell r="F37">
            <v>467000</v>
          </cell>
          <cell r="G37">
            <v>1588000</v>
          </cell>
          <cell r="H37">
            <v>0</v>
          </cell>
          <cell r="I37">
            <v>9623000</v>
          </cell>
        </row>
        <row r="38">
          <cell r="A38">
            <v>35</v>
          </cell>
          <cell r="B38" t="str">
            <v>ひなたぼっこ保育園</v>
          </cell>
          <cell r="C38">
            <v>0</v>
          </cell>
          <cell r="D38">
            <v>2517000</v>
          </cell>
          <cell r="E38">
            <v>4116000</v>
          </cell>
          <cell r="F38">
            <v>467000</v>
          </cell>
          <cell r="G38">
            <v>1588000</v>
          </cell>
          <cell r="H38">
            <v>0</v>
          </cell>
          <cell r="I38">
            <v>8688000</v>
          </cell>
        </row>
        <row r="39">
          <cell r="A39">
            <v>36</v>
          </cell>
          <cell r="B39" t="str">
            <v>はまかぜ保育園</v>
          </cell>
          <cell r="C39">
            <v>0</v>
          </cell>
          <cell r="D39">
            <v>2517000</v>
          </cell>
          <cell r="E39">
            <v>4116000</v>
          </cell>
          <cell r="F39">
            <v>467000</v>
          </cell>
          <cell r="G39">
            <v>1588000</v>
          </cell>
          <cell r="H39">
            <v>0</v>
          </cell>
          <cell r="I39">
            <v>8688000</v>
          </cell>
        </row>
        <row r="40">
          <cell r="A40">
            <v>37</v>
          </cell>
          <cell r="B40" t="str">
            <v>いなほ保育園</v>
          </cell>
          <cell r="C40">
            <v>0</v>
          </cell>
          <cell r="D40">
            <v>2517000</v>
          </cell>
          <cell r="E40">
            <v>4116000</v>
          </cell>
          <cell r="F40">
            <v>467000</v>
          </cell>
          <cell r="G40">
            <v>1588000</v>
          </cell>
          <cell r="H40">
            <v>0</v>
          </cell>
          <cell r="I40">
            <v>8688000</v>
          </cell>
        </row>
        <row r="41">
          <cell r="A41">
            <v>38</v>
          </cell>
          <cell r="B41" t="str">
            <v>キッズマーム保育園</v>
          </cell>
          <cell r="C41">
            <v>0</v>
          </cell>
          <cell r="D41">
            <v>2517000</v>
          </cell>
          <cell r="E41">
            <v>4116000</v>
          </cell>
          <cell r="F41">
            <v>0</v>
          </cell>
          <cell r="G41">
            <v>1588000</v>
          </cell>
          <cell r="H41">
            <v>2352000</v>
          </cell>
          <cell r="I41">
            <v>10573000</v>
          </cell>
        </row>
        <row r="42">
          <cell r="A42">
            <v>39</v>
          </cell>
          <cell r="B42" t="str">
            <v>アスク海浜幕張保育園</v>
          </cell>
          <cell r="C42">
            <v>0</v>
          </cell>
          <cell r="D42">
            <v>2517000</v>
          </cell>
          <cell r="E42">
            <v>4116000</v>
          </cell>
          <cell r="F42">
            <v>467000</v>
          </cell>
          <cell r="G42">
            <v>0</v>
          </cell>
          <cell r="H42">
            <v>0</v>
          </cell>
          <cell r="I42">
            <v>7100000</v>
          </cell>
        </row>
        <row r="43">
          <cell r="A43">
            <v>40</v>
          </cell>
          <cell r="B43" t="str">
            <v>明徳浜野駅保育園</v>
          </cell>
          <cell r="C43">
            <v>0</v>
          </cell>
          <cell r="D43">
            <v>2517000</v>
          </cell>
          <cell r="E43">
            <v>4116000</v>
          </cell>
          <cell r="F43">
            <v>0</v>
          </cell>
          <cell r="G43">
            <v>1588000</v>
          </cell>
          <cell r="H43">
            <v>0</v>
          </cell>
          <cell r="I43">
            <v>8221000</v>
          </cell>
        </row>
        <row r="44">
          <cell r="A44">
            <v>41</v>
          </cell>
          <cell r="B44" t="str">
            <v>幕張いもっこ保育園</v>
          </cell>
          <cell r="C44">
            <v>0</v>
          </cell>
          <cell r="D44">
            <v>2517000</v>
          </cell>
          <cell r="E44">
            <v>4116000</v>
          </cell>
          <cell r="F44">
            <v>467000</v>
          </cell>
          <cell r="G44">
            <v>1122000</v>
          </cell>
          <cell r="H44">
            <v>0</v>
          </cell>
          <cell r="I44">
            <v>8222000</v>
          </cell>
        </row>
        <row r="45">
          <cell r="A45">
            <v>42</v>
          </cell>
          <cell r="B45" t="str">
            <v>稲毛すきっぷ保育園</v>
          </cell>
          <cell r="C45">
            <v>0</v>
          </cell>
          <cell r="D45">
            <v>2517000</v>
          </cell>
          <cell r="E45">
            <v>4116000</v>
          </cell>
          <cell r="F45">
            <v>467000</v>
          </cell>
          <cell r="G45">
            <v>0</v>
          </cell>
          <cell r="H45">
            <v>0</v>
          </cell>
          <cell r="I45">
            <v>7100000</v>
          </cell>
        </row>
        <row r="46">
          <cell r="A46">
            <v>43</v>
          </cell>
          <cell r="B46" t="str">
            <v>千葉聖心保育園</v>
          </cell>
          <cell r="C46">
            <v>935000</v>
          </cell>
          <cell r="D46">
            <v>2517000</v>
          </cell>
          <cell r="E46">
            <v>4116000</v>
          </cell>
          <cell r="F46">
            <v>0</v>
          </cell>
          <cell r="G46">
            <v>0</v>
          </cell>
          <cell r="H46">
            <v>0</v>
          </cell>
          <cell r="I46">
            <v>7568000</v>
          </cell>
        </row>
        <row r="47">
          <cell r="A47">
            <v>44</v>
          </cell>
          <cell r="B47" t="str">
            <v>真生保育園</v>
          </cell>
          <cell r="C47">
            <v>0</v>
          </cell>
          <cell r="D47">
            <v>2517000</v>
          </cell>
          <cell r="E47">
            <v>4116000</v>
          </cell>
          <cell r="F47">
            <v>467000</v>
          </cell>
          <cell r="G47">
            <v>1588000</v>
          </cell>
          <cell r="H47">
            <v>0</v>
          </cell>
          <cell r="I47">
            <v>8688000</v>
          </cell>
        </row>
        <row r="48">
          <cell r="A48">
            <v>45</v>
          </cell>
          <cell r="B48" t="str">
            <v>アップルナースリー検見川浜保育園</v>
          </cell>
          <cell r="C48">
            <v>0</v>
          </cell>
          <cell r="D48">
            <v>2517000</v>
          </cell>
          <cell r="E48">
            <v>4116000</v>
          </cell>
          <cell r="F48">
            <v>467000</v>
          </cell>
          <cell r="G48">
            <v>1588000</v>
          </cell>
          <cell r="H48">
            <v>0</v>
          </cell>
          <cell r="I48">
            <v>8688000</v>
          </cell>
        </row>
        <row r="49">
          <cell r="A49">
            <v>46</v>
          </cell>
          <cell r="B49">
            <v>0</v>
          </cell>
          <cell r="C49">
            <v>0</v>
          </cell>
          <cell r="D49">
            <v>0</v>
          </cell>
          <cell r="E49">
            <v>0</v>
          </cell>
          <cell r="I49">
            <v>0</v>
          </cell>
        </row>
        <row r="50">
          <cell r="A50">
            <v>47</v>
          </cell>
          <cell r="B50">
            <v>0</v>
          </cell>
          <cell r="C50">
            <v>0</v>
          </cell>
          <cell r="D50">
            <v>0</v>
          </cell>
          <cell r="E50">
            <v>0</v>
          </cell>
          <cell r="I50">
            <v>0</v>
          </cell>
        </row>
        <row r="51">
          <cell r="A51">
            <v>48</v>
          </cell>
          <cell r="B51">
            <v>0</v>
          </cell>
          <cell r="C51">
            <v>0</v>
          </cell>
          <cell r="D51">
            <v>0</v>
          </cell>
          <cell r="E51">
            <v>0</v>
          </cell>
          <cell r="I51">
            <v>0</v>
          </cell>
        </row>
        <row r="52">
          <cell r="A52">
            <v>49</v>
          </cell>
          <cell r="B52">
            <v>0</v>
          </cell>
          <cell r="C52">
            <v>0</v>
          </cell>
          <cell r="D52">
            <v>0</v>
          </cell>
          <cell r="E52">
            <v>0</v>
          </cell>
          <cell r="I52">
            <v>0</v>
          </cell>
        </row>
        <row r="53">
          <cell r="A53">
            <v>50</v>
          </cell>
          <cell r="B53">
            <v>0</v>
          </cell>
          <cell r="C53">
            <v>0</v>
          </cell>
          <cell r="D53">
            <v>0</v>
          </cell>
          <cell r="E53">
            <v>0</v>
          </cell>
          <cell r="I53">
            <v>0</v>
          </cell>
        </row>
        <row r="54">
          <cell r="B54" t="str">
            <v>この行は使わないこと</v>
          </cell>
        </row>
        <row r="55">
          <cell r="B55" t="str">
            <v>合計</v>
          </cell>
          <cell r="C55">
            <v>4675000</v>
          </cell>
          <cell r="D55">
            <v>113265000</v>
          </cell>
          <cell r="E55">
            <v>185220000</v>
          </cell>
          <cell r="F55">
            <v>14477000</v>
          </cell>
          <cell r="G55">
            <v>65329000</v>
          </cell>
          <cell r="H55">
            <v>61152000</v>
          </cell>
          <cell r="I55">
            <v>444118000</v>
          </cell>
        </row>
      </sheetData>
      <sheetData sheetId="2"/>
      <sheetData sheetId="3"/>
      <sheetData sheetId="4"/>
      <sheetData sheetId="5"/>
      <sheetData sheetId="6"/>
      <sheetData sheetId="7"/>
      <sheetData sheetId="8"/>
      <sheetData sheetId="9"/>
      <sheetData sheetId="10"/>
      <sheetData sheetId="11">
        <row r="4">
          <cell r="A4">
            <v>1</v>
          </cell>
          <cell r="B4" t="str">
            <v>院内保育園</v>
          </cell>
          <cell r="C4" t="str">
            <v>(財)千葉愛育会</v>
          </cell>
          <cell r="D4" t="str">
            <v>日高   正和</v>
          </cell>
          <cell r="E4" t="str">
            <v>千葉市中央区院内2-5-6</v>
          </cell>
          <cell r="F4">
            <v>935000</v>
          </cell>
          <cell r="G4">
            <v>2572000</v>
          </cell>
          <cell r="H4">
            <v>3159000</v>
          </cell>
          <cell r="I4">
            <v>0</v>
          </cell>
          <cell r="J4">
            <v>1588000</v>
          </cell>
          <cell r="K4">
            <v>8254000</v>
          </cell>
          <cell r="L4">
            <v>8254000</v>
          </cell>
        </row>
        <row r="5">
          <cell r="A5">
            <v>2</v>
          </cell>
          <cell r="B5" t="str">
            <v>旭ケ丘保育園</v>
          </cell>
          <cell r="C5" t="str">
            <v>(福)千葉ベタニヤホーム</v>
          </cell>
          <cell r="D5" t="str">
            <v>中島　康文</v>
          </cell>
          <cell r="E5" t="str">
            <v>市川市国府台2-9-13</v>
          </cell>
          <cell r="F5">
            <v>2572000</v>
          </cell>
          <cell r="G5">
            <v>2572000</v>
          </cell>
          <cell r="H5">
            <v>4212000</v>
          </cell>
          <cell r="I5">
            <v>467000</v>
          </cell>
          <cell r="J5">
            <v>1588000</v>
          </cell>
          <cell r="K5">
            <v>2352000</v>
          </cell>
          <cell r="L5">
            <v>11191000</v>
          </cell>
        </row>
        <row r="6">
          <cell r="A6">
            <v>3</v>
          </cell>
          <cell r="B6" t="str">
            <v>稲毛保育園</v>
          </cell>
          <cell r="C6" t="str">
            <v>(福)千葉県厚生事業団</v>
          </cell>
          <cell r="D6" t="str">
            <v>佐藤 悦光</v>
          </cell>
          <cell r="E6" t="str">
            <v>柏市十余二175-42</v>
          </cell>
          <cell r="F6">
            <v>0</v>
          </cell>
          <cell r="G6">
            <v>2357000</v>
          </cell>
          <cell r="H6">
            <v>3510000</v>
          </cell>
          <cell r="I6">
            <v>0</v>
          </cell>
          <cell r="J6">
            <v>1588000</v>
          </cell>
          <cell r="K6">
            <v>2352000</v>
          </cell>
          <cell r="L6">
            <v>9807000</v>
          </cell>
        </row>
        <row r="7">
          <cell r="A7">
            <v>4</v>
          </cell>
          <cell r="B7" t="str">
            <v>みどり学園附属保育園</v>
          </cell>
          <cell r="C7" t="str">
            <v>(財)みどり学園附属保育園</v>
          </cell>
          <cell r="D7" t="str">
            <v>相原 美知江</v>
          </cell>
          <cell r="E7" t="str">
            <v>千葉市花見川区幕張町2-972</v>
          </cell>
          <cell r="F7">
            <v>0</v>
          </cell>
          <cell r="G7">
            <v>2572000</v>
          </cell>
          <cell r="H7">
            <v>4212000</v>
          </cell>
          <cell r="I7">
            <v>467000</v>
          </cell>
          <cell r="J7">
            <v>1588000</v>
          </cell>
          <cell r="K7">
            <v>0</v>
          </cell>
          <cell r="L7">
            <v>8839000</v>
          </cell>
        </row>
        <row r="8">
          <cell r="A8">
            <v>5</v>
          </cell>
          <cell r="B8" t="str">
            <v>ちどり保育園</v>
          </cell>
          <cell r="C8" t="str">
            <v>(財)ちどり保育園</v>
          </cell>
          <cell r="D8" t="str">
            <v>吉岡   正夫</v>
          </cell>
          <cell r="E8" t="str">
            <v>千葉市花見川区検見川町3-331-4</v>
          </cell>
          <cell r="F8">
            <v>1870000</v>
          </cell>
          <cell r="G8">
            <v>2572000</v>
          </cell>
          <cell r="H8">
            <v>4212000</v>
          </cell>
          <cell r="I8">
            <v>467000</v>
          </cell>
          <cell r="J8">
            <v>1588000</v>
          </cell>
          <cell r="K8">
            <v>2352000</v>
          </cell>
          <cell r="L8">
            <v>13061000</v>
          </cell>
        </row>
        <row r="9">
          <cell r="A9">
            <v>6</v>
          </cell>
          <cell r="B9" t="str">
            <v>今井保育園</v>
          </cell>
          <cell r="C9" t="str">
            <v>(財)今井保育園</v>
          </cell>
          <cell r="D9" t="str">
            <v>大森 権四郎</v>
          </cell>
          <cell r="E9" t="str">
            <v>千葉市中央区今井2-12-7</v>
          </cell>
          <cell r="F9">
            <v>935000</v>
          </cell>
          <cell r="G9">
            <v>2572000</v>
          </cell>
          <cell r="H9">
            <v>4212000</v>
          </cell>
          <cell r="I9">
            <v>467000</v>
          </cell>
          <cell r="J9">
            <v>1588000</v>
          </cell>
          <cell r="K9">
            <v>2352000</v>
          </cell>
          <cell r="L9">
            <v>12126000</v>
          </cell>
        </row>
        <row r="10">
          <cell r="A10">
            <v>7</v>
          </cell>
          <cell r="B10" t="str">
            <v>若竹保育園</v>
          </cell>
          <cell r="C10" t="str">
            <v>(福)恵福祉会</v>
          </cell>
          <cell r="D10" t="str">
            <v>片倉  憲太郎</v>
          </cell>
          <cell r="E10" t="str">
            <v>袖ケ浦市蔵波2598-1</v>
          </cell>
          <cell r="F10">
            <v>935000</v>
          </cell>
          <cell r="G10">
            <v>2572000</v>
          </cell>
          <cell r="H10">
            <v>4212000</v>
          </cell>
          <cell r="I10">
            <v>467000</v>
          </cell>
          <cell r="J10">
            <v>1588000</v>
          </cell>
          <cell r="K10">
            <v>2352000</v>
          </cell>
          <cell r="L10">
            <v>12126000</v>
          </cell>
        </row>
        <row r="11">
          <cell r="A11">
            <v>8</v>
          </cell>
          <cell r="B11" t="str">
            <v>千葉寺保育園</v>
          </cell>
          <cell r="C11" t="str">
            <v>(福)千葉寺福祉会</v>
          </cell>
          <cell r="D11" t="str">
            <v>鈴木敏弘</v>
          </cell>
          <cell r="E11" t="str">
            <v>千葉市中央区末広4-17-3</v>
          </cell>
          <cell r="F11">
            <v>935000</v>
          </cell>
          <cell r="G11">
            <v>2572000</v>
          </cell>
          <cell r="H11">
            <v>4212000</v>
          </cell>
          <cell r="I11">
            <v>467000</v>
          </cell>
          <cell r="J11">
            <v>1588000</v>
          </cell>
          <cell r="K11">
            <v>2352000</v>
          </cell>
          <cell r="L11">
            <v>12126000</v>
          </cell>
        </row>
        <row r="12">
          <cell r="A12">
            <v>9</v>
          </cell>
          <cell r="B12" t="str">
            <v>慈光保育園</v>
          </cell>
          <cell r="C12" t="str">
            <v>(福)龍澤園</v>
          </cell>
          <cell r="D12" t="str">
            <v>長谷川 和世</v>
          </cell>
          <cell r="E12" t="str">
            <v>千葉市中央区大巌寺町457-5</v>
          </cell>
          <cell r="F12">
            <v>0</v>
          </cell>
          <cell r="G12">
            <v>2572000</v>
          </cell>
          <cell r="H12">
            <v>4212000</v>
          </cell>
          <cell r="I12">
            <v>467000</v>
          </cell>
          <cell r="J12">
            <v>894000</v>
          </cell>
          <cell r="K12">
            <v>2352000</v>
          </cell>
          <cell r="L12">
            <v>10497000</v>
          </cell>
        </row>
        <row r="13">
          <cell r="A13">
            <v>10</v>
          </cell>
          <cell r="B13" t="str">
            <v>若梅保育園</v>
          </cell>
          <cell r="C13" t="str">
            <v>(福)恵福祉会</v>
          </cell>
          <cell r="D13" t="str">
            <v>片倉  憲太郎</v>
          </cell>
          <cell r="E13" t="str">
            <v>袖ケ浦市蔵波2598-1</v>
          </cell>
          <cell r="F13">
            <v>0</v>
          </cell>
          <cell r="G13">
            <v>2572000</v>
          </cell>
          <cell r="H13">
            <v>4212000</v>
          </cell>
          <cell r="I13">
            <v>467000</v>
          </cell>
          <cell r="J13">
            <v>1588000</v>
          </cell>
          <cell r="K13">
            <v>2352000</v>
          </cell>
          <cell r="L13">
            <v>11191000</v>
          </cell>
        </row>
        <row r="14">
          <cell r="A14">
            <v>11</v>
          </cell>
          <cell r="B14" t="str">
            <v>チューリップ保育園</v>
          </cell>
          <cell r="C14" t="str">
            <v>(福)聖心福祉会</v>
          </cell>
          <cell r="D14" t="str">
            <v>藤井 二佐枝</v>
          </cell>
          <cell r="E14" t="str">
            <v>千葉市美浜区真砂3-15-14</v>
          </cell>
          <cell r="F14">
            <v>935000</v>
          </cell>
          <cell r="G14">
            <v>2572000</v>
          </cell>
          <cell r="H14">
            <v>4212000</v>
          </cell>
          <cell r="I14">
            <v>467000</v>
          </cell>
          <cell r="J14">
            <v>955000</v>
          </cell>
          <cell r="K14">
            <v>2352000</v>
          </cell>
          <cell r="L14">
            <v>11493000</v>
          </cell>
        </row>
        <row r="15">
          <cell r="A15">
            <v>12</v>
          </cell>
          <cell r="B15" t="str">
            <v>幕張海浜保育園</v>
          </cell>
          <cell r="C15" t="str">
            <v>(福)愛の園福祉会</v>
          </cell>
          <cell r="D15" t="str">
            <v>堀口   路加</v>
          </cell>
          <cell r="E15" t="str">
            <v>八千代市大字米本1359米本団地4-39</v>
          </cell>
          <cell r="F15">
            <v>0</v>
          </cell>
          <cell r="G15">
            <v>2572000</v>
          </cell>
          <cell r="H15">
            <v>4212000</v>
          </cell>
          <cell r="I15">
            <v>467000</v>
          </cell>
          <cell r="J15">
            <v>1588000</v>
          </cell>
          <cell r="K15">
            <v>2352000</v>
          </cell>
          <cell r="L15">
            <v>11191000</v>
          </cell>
        </row>
        <row r="16">
          <cell r="A16">
            <v>13</v>
          </cell>
          <cell r="B16" t="str">
            <v>みつわ台保育園</v>
          </cell>
          <cell r="C16" t="str">
            <v xml:space="preserve">(福)豊福祉会 </v>
          </cell>
          <cell r="D16" t="str">
            <v>御園　愛子</v>
          </cell>
          <cell r="E16" t="str">
            <v>千葉市若葉区みつわ台5-8-8</v>
          </cell>
          <cell r="F16">
            <v>0</v>
          </cell>
          <cell r="G16">
            <v>2572000</v>
          </cell>
          <cell r="H16">
            <v>4212000</v>
          </cell>
          <cell r="I16">
            <v>467000</v>
          </cell>
          <cell r="J16">
            <v>1588000</v>
          </cell>
          <cell r="K16">
            <v>4704000</v>
          </cell>
          <cell r="L16">
            <v>13543000</v>
          </cell>
        </row>
        <row r="17">
          <cell r="A17">
            <v>14</v>
          </cell>
          <cell r="B17" t="str">
            <v>まどか保育園</v>
          </cell>
          <cell r="C17" t="str">
            <v>(福)高洲福祉会</v>
          </cell>
          <cell r="D17" t="str">
            <v>樋口　正春</v>
          </cell>
          <cell r="E17" t="str">
            <v>千葉市美浜区高洲1-15-2</v>
          </cell>
          <cell r="F17">
            <v>935000</v>
          </cell>
          <cell r="G17">
            <v>2572000</v>
          </cell>
          <cell r="H17">
            <v>4212000</v>
          </cell>
          <cell r="I17">
            <v>467000</v>
          </cell>
          <cell r="J17">
            <v>1456000</v>
          </cell>
          <cell r="K17">
            <v>0</v>
          </cell>
          <cell r="L17">
            <v>9642000</v>
          </cell>
        </row>
        <row r="18">
          <cell r="A18">
            <v>15</v>
          </cell>
          <cell r="B18" t="str">
            <v>わかくさ保育園</v>
          </cell>
          <cell r="C18" t="str">
            <v>(福)如水福祉会</v>
          </cell>
          <cell r="D18" t="str">
            <v>行木　道嗣</v>
          </cell>
          <cell r="E18" t="str">
            <v>千葉市緑区大椎町1199-2</v>
          </cell>
          <cell r="F18">
            <v>0</v>
          </cell>
          <cell r="G18">
            <v>2572000</v>
          </cell>
          <cell r="H18">
            <v>3510000</v>
          </cell>
          <cell r="I18">
            <v>467000</v>
          </cell>
          <cell r="J18">
            <v>1148000</v>
          </cell>
          <cell r="K18">
            <v>0</v>
          </cell>
          <cell r="L18">
            <v>7697000</v>
          </cell>
        </row>
        <row r="19">
          <cell r="A19">
            <v>16</v>
          </cell>
          <cell r="B19" t="str">
            <v>たいよう保育園</v>
          </cell>
          <cell r="C19" t="str">
            <v>(福)千葉福祉会</v>
          </cell>
          <cell r="D19" t="str">
            <v>中村　くに子</v>
          </cell>
          <cell r="E19" t="str">
            <v>千葉市若葉区みつわ台3-12-1</v>
          </cell>
          <cell r="F19">
            <v>935000</v>
          </cell>
          <cell r="G19">
            <v>2572000</v>
          </cell>
          <cell r="H19">
            <v>4212000</v>
          </cell>
          <cell r="I19">
            <v>467000</v>
          </cell>
          <cell r="J19">
            <v>1588000</v>
          </cell>
          <cell r="K19">
            <v>0</v>
          </cell>
          <cell r="L19">
            <v>9774000</v>
          </cell>
        </row>
        <row r="20">
          <cell r="A20">
            <v>17</v>
          </cell>
          <cell r="B20" t="str">
            <v>松ケ丘保育園</v>
          </cell>
          <cell r="C20" t="str">
            <v>(福)清流福祉会</v>
          </cell>
          <cell r="D20" t="str">
            <v>渡辺   光範</v>
          </cell>
          <cell r="E20" t="str">
            <v>千葉市中央区松ケ丘町563-1</v>
          </cell>
          <cell r="F20">
            <v>0</v>
          </cell>
          <cell r="G20">
            <v>2572000</v>
          </cell>
          <cell r="H20">
            <v>4212000</v>
          </cell>
          <cell r="I20">
            <v>467000</v>
          </cell>
          <cell r="J20">
            <v>1043000</v>
          </cell>
          <cell r="K20">
            <v>2352000</v>
          </cell>
          <cell r="L20">
            <v>10646000</v>
          </cell>
        </row>
        <row r="21">
          <cell r="A21">
            <v>18</v>
          </cell>
          <cell r="B21" t="str">
            <v>作草部保育園</v>
          </cell>
          <cell r="C21" t="str">
            <v>(福)扶葉福祉会</v>
          </cell>
          <cell r="D21" t="str">
            <v>竝木     清</v>
          </cell>
          <cell r="E21" t="str">
            <v>千葉市稲毛区作草部町698-3</v>
          </cell>
          <cell r="F21">
            <v>0</v>
          </cell>
          <cell r="G21">
            <v>2572000</v>
          </cell>
          <cell r="H21">
            <v>4212000</v>
          </cell>
          <cell r="I21">
            <v>467000</v>
          </cell>
          <cell r="J21">
            <v>1588000</v>
          </cell>
          <cell r="K21">
            <v>0</v>
          </cell>
          <cell r="L21">
            <v>8839000</v>
          </cell>
        </row>
        <row r="22">
          <cell r="A22">
            <v>19</v>
          </cell>
          <cell r="B22" t="str">
            <v>すずらん保育園</v>
          </cell>
          <cell r="C22" t="str">
            <v>(福)精粋福祉会</v>
          </cell>
          <cell r="D22" t="str">
            <v>林      榮子</v>
          </cell>
          <cell r="E22" t="str">
            <v>千葉市若葉区若松町2106-3</v>
          </cell>
          <cell r="F22">
            <v>0</v>
          </cell>
          <cell r="G22">
            <v>2572000</v>
          </cell>
          <cell r="H22">
            <v>4212000</v>
          </cell>
          <cell r="I22">
            <v>467000</v>
          </cell>
          <cell r="J22">
            <v>1588000</v>
          </cell>
          <cell r="K22">
            <v>2352000</v>
          </cell>
          <cell r="L22">
            <v>11191000</v>
          </cell>
        </row>
        <row r="23">
          <cell r="A23">
            <v>20</v>
          </cell>
          <cell r="B23" t="str">
            <v>なぎさ保育園</v>
          </cell>
          <cell r="C23" t="str">
            <v>(福)愛誠福祉会</v>
          </cell>
          <cell r="D23" t="str">
            <v>森田  喜代八</v>
          </cell>
          <cell r="E23" t="str">
            <v>千葉市美浜区高浜4-4-1</v>
          </cell>
          <cell r="F23">
            <v>0</v>
          </cell>
          <cell r="G23">
            <v>2572000</v>
          </cell>
          <cell r="H23">
            <v>4212000</v>
          </cell>
          <cell r="I23">
            <v>467000</v>
          </cell>
          <cell r="J23">
            <v>1588000</v>
          </cell>
          <cell r="K23">
            <v>0</v>
          </cell>
          <cell r="L23">
            <v>8839000</v>
          </cell>
        </row>
        <row r="24">
          <cell r="A24">
            <v>21</v>
          </cell>
          <cell r="B24" t="str">
            <v>南小中台保育園</v>
          </cell>
          <cell r="C24" t="str">
            <v>(福)南小中台福祉会</v>
          </cell>
          <cell r="D24" t="str">
            <v>原   八代重</v>
          </cell>
          <cell r="E24" t="str">
            <v>千葉市稲毛区小仲台8-21-1</v>
          </cell>
          <cell r="F24">
            <v>0</v>
          </cell>
          <cell r="G24">
            <v>2572000</v>
          </cell>
          <cell r="H24">
            <v>3861000</v>
          </cell>
          <cell r="I24">
            <v>467000</v>
          </cell>
          <cell r="J24">
            <v>1588000</v>
          </cell>
          <cell r="K24">
            <v>2352000</v>
          </cell>
          <cell r="L24">
            <v>10840000</v>
          </cell>
        </row>
        <row r="25">
          <cell r="A25">
            <v>22</v>
          </cell>
          <cell r="B25" t="str">
            <v>もみじ保育園</v>
          </cell>
          <cell r="C25" t="str">
            <v>(福)光楓福祉会</v>
          </cell>
          <cell r="D25" t="str">
            <v>大川   さ己</v>
          </cell>
          <cell r="E25" t="str">
            <v>千葉市美浜区磯辺5-14-5</v>
          </cell>
          <cell r="F25">
            <v>935000</v>
          </cell>
          <cell r="G25">
            <v>2572000</v>
          </cell>
          <cell r="H25">
            <v>4212000</v>
          </cell>
          <cell r="I25">
            <v>467000</v>
          </cell>
          <cell r="J25">
            <v>1588000</v>
          </cell>
          <cell r="K25">
            <v>2352000</v>
          </cell>
          <cell r="L25">
            <v>12126000</v>
          </cell>
        </row>
        <row r="26">
          <cell r="A26">
            <v>23</v>
          </cell>
          <cell r="B26" t="str">
            <v>おゆみ野保育園</v>
          </cell>
          <cell r="C26" t="str">
            <v>(福)おゆみ野福祉会</v>
          </cell>
          <cell r="D26" t="str">
            <v>長谷川 光男</v>
          </cell>
          <cell r="E26" t="str">
            <v>千葉市緑区おゆみ野２－７</v>
          </cell>
          <cell r="F26">
            <v>0</v>
          </cell>
          <cell r="G26">
            <v>2572000</v>
          </cell>
          <cell r="H26">
            <v>4212000</v>
          </cell>
          <cell r="I26">
            <v>467000</v>
          </cell>
          <cell r="J26">
            <v>1588000</v>
          </cell>
          <cell r="K26">
            <v>2352000</v>
          </cell>
          <cell r="L26">
            <v>11191000</v>
          </cell>
        </row>
        <row r="27">
          <cell r="A27">
            <v>24</v>
          </cell>
          <cell r="B27" t="str">
            <v>ナーセリー鏡戸</v>
          </cell>
          <cell r="C27" t="str">
            <v>(福)鏡明福祉会</v>
          </cell>
          <cell r="D27" t="str">
            <v>片岡  明</v>
          </cell>
          <cell r="E27" t="str">
            <v>千葉市緑区あすみが丘4-21-1</v>
          </cell>
          <cell r="F27">
            <v>0</v>
          </cell>
          <cell r="G27">
            <v>2572000</v>
          </cell>
          <cell r="H27">
            <v>4212000</v>
          </cell>
          <cell r="I27">
            <v>467000</v>
          </cell>
          <cell r="J27">
            <v>1588000</v>
          </cell>
          <cell r="K27">
            <v>0</v>
          </cell>
          <cell r="L27">
            <v>8839000</v>
          </cell>
        </row>
        <row r="28">
          <cell r="A28">
            <v>25</v>
          </cell>
          <cell r="B28" t="str">
            <v>打瀬保育園</v>
          </cell>
          <cell r="C28" t="str">
            <v>(福)健育会</v>
          </cell>
          <cell r="D28" t="str">
            <v>畑佐　新次郎</v>
          </cell>
          <cell r="E28" t="str">
            <v>千葉市美浜区打瀬1-3-5</v>
          </cell>
          <cell r="F28">
            <v>0</v>
          </cell>
          <cell r="G28">
            <v>2572000</v>
          </cell>
          <cell r="H28">
            <v>4212000</v>
          </cell>
          <cell r="I28">
            <v>467000</v>
          </cell>
          <cell r="J28">
            <v>1588000</v>
          </cell>
          <cell r="K28">
            <v>0</v>
          </cell>
          <cell r="L28">
            <v>8839000</v>
          </cell>
        </row>
        <row r="29">
          <cell r="A29">
            <v>26</v>
          </cell>
          <cell r="B29" t="str">
            <v>ふたば保育園</v>
          </cell>
          <cell r="C29" t="str">
            <v>(福)あかね福祉会</v>
          </cell>
          <cell r="D29" t="str">
            <v>篠原　昇一</v>
          </cell>
          <cell r="E29" t="str">
            <v>千葉市緑区刈田子町３０８-10</v>
          </cell>
          <cell r="F29">
            <v>0</v>
          </cell>
          <cell r="G29">
            <v>2572000</v>
          </cell>
          <cell r="H29">
            <v>4212000</v>
          </cell>
          <cell r="I29">
            <v>467000</v>
          </cell>
          <cell r="J29">
            <v>1588000</v>
          </cell>
          <cell r="K29">
            <v>4704000</v>
          </cell>
          <cell r="L29">
            <v>13543000</v>
          </cell>
        </row>
        <row r="30">
          <cell r="A30">
            <v>27</v>
          </cell>
          <cell r="B30" t="str">
            <v>明和輝保育園</v>
          </cell>
          <cell r="C30" t="str">
            <v>(福)健善富会</v>
          </cell>
          <cell r="D30" t="str">
            <v>井上　　悟</v>
          </cell>
          <cell r="E30" t="str">
            <v>千葉市緑区おゆみ野中央7-30</v>
          </cell>
          <cell r="F30">
            <v>0</v>
          </cell>
          <cell r="G30">
            <v>2572000</v>
          </cell>
          <cell r="H30">
            <v>4212000</v>
          </cell>
          <cell r="I30">
            <v>467000</v>
          </cell>
          <cell r="J30">
            <v>1588000</v>
          </cell>
          <cell r="K30">
            <v>2352000</v>
          </cell>
          <cell r="L30">
            <v>11191000</v>
          </cell>
        </row>
        <row r="31">
          <cell r="A31">
            <v>28</v>
          </cell>
          <cell r="B31" t="str">
            <v>山王保育園</v>
          </cell>
          <cell r="C31" t="str">
            <v>(福)豊樹園</v>
          </cell>
          <cell r="D31" t="str">
            <v>伊藤　年夫</v>
          </cell>
          <cell r="E31" t="str">
            <v>千葉市稲毛区山王町153-16</v>
          </cell>
          <cell r="F31">
            <v>0</v>
          </cell>
          <cell r="G31">
            <v>2572000</v>
          </cell>
          <cell r="H31">
            <v>4212000</v>
          </cell>
          <cell r="I31">
            <v>467000</v>
          </cell>
          <cell r="J31">
            <v>1588000</v>
          </cell>
          <cell r="K31">
            <v>2352000</v>
          </cell>
          <cell r="L31">
            <v>11191000</v>
          </cell>
        </row>
        <row r="32">
          <cell r="A32">
            <v>29</v>
          </cell>
          <cell r="B32" t="str">
            <v>チャイルド・ガーデン保育園</v>
          </cell>
          <cell r="C32" t="str">
            <v>(学)誠真学園</v>
          </cell>
          <cell r="D32" t="str">
            <v>中村　喜一郎</v>
          </cell>
          <cell r="E32" t="str">
            <v>千葉市稲毛区小仲台8-20-1</v>
          </cell>
          <cell r="F32">
            <v>0</v>
          </cell>
          <cell r="G32">
            <v>2572000</v>
          </cell>
          <cell r="H32">
            <v>3861000</v>
          </cell>
          <cell r="I32">
            <v>467000</v>
          </cell>
          <cell r="J32">
            <v>1588000</v>
          </cell>
          <cell r="K32">
            <v>392000</v>
          </cell>
          <cell r="L32">
            <v>8880000</v>
          </cell>
        </row>
        <row r="33">
          <cell r="A33">
            <v>30</v>
          </cell>
          <cell r="B33" t="str">
            <v>明徳土気保育園</v>
          </cell>
          <cell r="C33" t="str">
            <v>(福)千葉明徳会</v>
          </cell>
          <cell r="D33" t="str">
            <v>福中　儀明</v>
          </cell>
          <cell r="E33" t="str">
            <v>千葉市緑区土気町1626-5</v>
          </cell>
          <cell r="F33">
            <v>0</v>
          </cell>
          <cell r="G33">
            <v>2572000</v>
          </cell>
          <cell r="H33">
            <v>4212000</v>
          </cell>
          <cell r="I33">
            <v>467000</v>
          </cell>
          <cell r="J33">
            <v>1588000</v>
          </cell>
          <cell r="K33">
            <v>4704000</v>
          </cell>
          <cell r="L33">
            <v>13543000</v>
          </cell>
        </row>
        <row r="34">
          <cell r="A34">
            <v>31</v>
          </cell>
          <cell r="B34" t="str">
            <v>グレース保育園</v>
          </cell>
          <cell r="C34" t="str">
            <v>(福)小ばと会</v>
          </cell>
          <cell r="D34" t="str">
            <v>村松　重彦</v>
          </cell>
          <cell r="E34" t="str">
            <v>千葉市緑区おゆみ野中央2-7-7</v>
          </cell>
          <cell r="F34">
            <v>0</v>
          </cell>
          <cell r="G34">
            <v>2572000</v>
          </cell>
          <cell r="H34">
            <v>4212000</v>
          </cell>
          <cell r="I34">
            <v>467000</v>
          </cell>
          <cell r="J34">
            <v>1053000</v>
          </cell>
          <cell r="K34">
            <v>4704000</v>
          </cell>
          <cell r="L34">
            <v>13008000</v>
          </cell>
        </row>
        <row r="35">
          <cell r="A35">
            <v>32</v>
          </cell>
          <cell r="B35" t="str">
            <v>みらい保育園</v>
          </cell>
          <cell r="C35" t="str">
            <v>(福)天祐会</v>
          </cell>
          <cell r="D35" t="str">
            <v>江口　　進</v>
          </cell>
          <cell r="E35" t="str">
            <v>千葉市中央区港町13-30</v>
          </cell>
          <cell r="F35">
            <v>0</v>
          </cell>
          <cell r="G35">
            <v>2572000</v>
          </cell>
          <cell r="H35">
            <v>4212000</v>
          </cell>
          <cell r="I35">
            <v>467000</v>
          </cell>
          <cell r="J35">
            <v>1588000</v>
          </cell>
          <cell r="K35">
            <v>0</v>
          </cell>
          <cell r="L35">
            <v>8839000</v>
          </cell>
        </row>
        <row r="36">
          <cell r="A36">
            <v>33</v>
          </cell>
          <cell r="B36" t="str">
            <v>かまとり保育園</v>
          </cell>
          <cell r="C36" t="str">
            <v>(学）アゼリー学園</v>
          </cell>
          <cell r="D36" t="str">
            <v>来栖　宏二</v>
          </cell>
          <cell r="E36" t="str">
            <v>東京都江戸川区中央1－8－21</v>
          </cell>
          <cell r="F36">
            <v>0</v>
          </cell>
          <cell r="G36">
            <v>2572000</v>
          </cell>
          <cell r="H36">
            <v>4212000</v>
          </cell>
          <cell r="I36">
            <v>467000</v>
          </cell>
          <cell r="J36">
            <v>1588000</v>
          </cell>
          <cell r="K36">
            <v>2352000</v>
          </cell>
          <cell r="L36">
            <v>11191000</v>
          </cell>
        </row>
        <row r="37">
          <cell r="A37">
            <v>34</v>
          </cell>
          <cell r="B37" t="str">
            <v>植草弁天保育園</v>
          </cell>
          <cell r="C37" t="str">
            <v>(学)植草学園</v>
          </cell>
          <cell r="D37" t="str">
            <v>植草　昭</v>
          </cell>
          <cell r="E37" t="str">
            <v>千葉市中央区弁天2-8-9</v>
          </cell>
          <cell r="F37">
            <v>935000</v>
          </cell>
          <cell r="G37">
            <v>2143000</v>
          </cell>
          <cell r="H37">
            <v>1755000</v>
          </cell>
          <cell r="I37">
            <v>0</v>
          </cell>
          <cell r="J37">
            <v>1588000</v>
          </cell>
          <cell r="K37">
            <v>0</v>
          </cell>
          <cell r="L37">
            <v>6421000</v>
          </cell>
        </row>
        <row r="38">
          <cell r="A38">
            <v>35</v>
          </cell>
          <cell r="B38" t="str">
            <v>ひなたぼっこ保育園</v>
          </cell>
          <cell r="C38" t="str">
            <v>(社)千葉市民間保育園協議会</v>
          </cell>
          <cell r="D38" t="str">
            <v>山﨑　淳一</v>
          </cell>
          <cell r="E38" t="str">
            <v>千葉市中央区中央4-5-1</v>
          </cell>
          <cell r="F38">
            <v>0</v>
          </cell>
          <cell r="G38">
            <v>2572000</v>
          </cell>
          <cell r="H38">
            <v>4212000</v>
          </cell>
          <cell r="I38">
            <v>311000</v>
          </cell>
          <cell r="J38">
            <v>1588000</v>
          </cell>
          <cell r="K38">
            <v>0</v>
          </cell>
          <cell r="L38">
            <v>8683000</v>
          </cell>
        </row>
        <row r="39">
          <cell r="A39">
            <v>36</v>
          </cell>
          <cell r="B39" t="str">
            <v>はまかぜ保育園</v>
          </cell>
          <cell r="C39" t="str">
            <v>(福)愛誠福祉会</v>
          </cell>
          <cell r="D39" t="str">
            <v>森田喜代八</v>
          </cell>
          <cell r="E39" t="str">
            <v xml:space="preserve">千葉市中央区中央港1-24-14 </v>
          </cell>
          <cell r="F39">
            <v>935000</v>
          </cell>
          <cell r="G39">
            <v>2572000</v>
          </cell>
          <cell r="H39">
            <v>4212000</v>
          </cell>
          <cell r="I39">
            <v>155000</v>
          </cell>
          <cell r="J39">
            <v>1588000</v>
          </cell>
          <cell r="K39">
            <v>0</v>
          </cell>
          <cell r="L39">
            <v>9462000</v>
          </cell>
        </row>
        <row r="40">
          <cell r="A40">
            <v>37</v>
          </cell>
          <cell r="B40" t="str">
            <v>いなほ保育園</v>
          </cell>
          <cell r="C40" t="str">
            <v>(株)こどもの森</v>
          </cell>
          <cell r="D40" t="str">
            <v>久芳一裕</v>
          </cell>
          <cell r="E40" t="str">
            <v>東京都国分寺市光町2-5-1</v>
          </cell>
          <cell r="F40">
            <v>0</v>
          </cell>
          <cell r="G40">
            <v>2572000</v>
          </cell>
          <cell r="H40">
            <v>4212000</v>
          </cell>
          <cell r="I40">
            <v>311000</v>
          </cell>
          <cell r="J40">
            <v>809000</v>
          </cell>
          <cell r="K40">
            <v>0</v>
          </cell>
          <cell r="L40">
            <v>7904000</v>
          </cell>
        </row>
        <row r="41">
          <cell r="A41">
            <v>38</v>
          </cell>
          <cell r="B41" t="str">
            <v>キッズマーム保育園</v>
          </cell>
          <cell r="C41" t="str">
            <v>イングレソ（株）</v>
          </cell>
          <cell r="D41" t="str">
            <v>西村　妙子</v>
          </cell>
          <cell r="E41" t="str">
            <v>千葉市若葉区西都賀3-17-11</v>
          </cell>
          <cell r="F41">
            <v>0</v>
          </cell>
          <cell r="G41">
            <v>2572000</v>
          </cell>
          <cell r="H41">
            <v>4212000</v>
          </cell>
          <cell r="I41">
            <v>0</v>
          </cell>
          <cell r="J41">
            <v>1588000</v>
          </cell>
          <cell r="K41">
            <v>1764000</v>
          </cell>
          <cell r="L41">
            <v>10136000</v>
          </cell>
        </row>
        <row r="42">
          <cell r="A42">
            <v>39</v>
          </cell>
          <cell r="B42" t="str">
            <v>アスク海浜幕張保育園</v>
          </cell>
          <cell r="C42" t="str">
            <v>(株)日本保育サービス</v>
          </cell>
          <cell r="D42" t="str">
            <v>佐々木　幸一</v>
          </cell>
          <cell r="E42" t="str">
            <v>名古屋市東区葵3-15-31住友生命千種ニュータワービル17階</v>
          </cell>
          <cell r="F42">
            <v>935000</v>
          </cell>
          <cell r="G42">
            <v>2572000</v>
          </cell>
          <cell r="H42">
            <v>3159000</v>
          </cell>
          <cell r="I42">
            <v>0</v>
          </cell>
          <cell r="J42">
            <v>0</v>
          </cell>
          <cell r="K42">
            <v>0</v>
          </cell>
          <cell r="L42">
            <v>6666000</v>
          </cell>
        </row>
        <row r="43">
          <cell r="A43">
            <v>40</v>
          </cell>
          <cell r="B43" t="str">
            <v>明徳浜野駅保育園</v>
          </cell>
          <cell r="C43" t="str">
            <v>（学）千葉明徳学園</v>
          </cell>
          <cell r="D43" t="str">
            <v>福中　儀明</v>
          </cell>
          <cell r="E43" t="str">
            <v>千葉市中央区南生実町1412番地</v>
          </cell>
          <cell r="F43">
            <v>0</v>
          </cell>
          <cell r="G43">
            <v>0</v>
          </cell>
          <cell r="H43">
            <v>0</v>
          </cell>
          <cell r="I43">
            <v>0</v>
          </cell>
          <cell r="J43">
            <v>0</v>
          </cell>
          <cell r="L43">
            <v>0</v>
          </cell>
        </row>
        <row r="44">
          <cell r="A44">
            <v>41</v>
          </cell>
          <cell r="B44" t="str">
            <v>幕張いもっこ保育園</v>
          </cell>
          <cell r="C44" t="str">
            <v>（福）まくはり福志会</v>
          </cell>
          <cell r="D44" t="str">
            <v>大越　淑子</v>
          </cell>
          <cell r="E44" t="str">
            <v>千葉市花見川区幕張町4-608-1</v>
          </cell>
          <cell r="F44">
            <v>0</v>
          </cell>
          <cell r="G44">
            <v>0</v>
          </cell>
          <cell r="H44">
            <v>0</v>
          </cell>
          <cell r="I44">
            <v>0</v>
          </cell>
          <cell r="L44">
            <v>0</v>
          </cell>
        </row>
        <row r="45">
          <cell r="A45">
            <v>42</v>
          </cell>
          <cell r="B45" t="str">
            <v>稲毛すきっぷ保育園</v>
          </cell>
          <cell r="C45" t="str">
            <v>（株）俊英館</v>
          </cell>
          <cell r="D45" t="str">
            <v>田村　幸之</v>
          </cell>
          <cell r="E45" t="str">
            <v>東京都板橋区小茂根4-9-2　セガミビル3F</v>
          </cell>
          <cell r="F45">
            <v>0</v>
          </cell>
          <cell r="G45">
            <v>0</v>
          </cell>
          <cell r="H45">
            <v>0</v>
          </cell>
          <cell r="I45">
            <v>0</v>
          </cell>
          <cell r="L45">
            <v>0</v>
          </cell>
        </row>
        <row r="46">
          <cell r="A46">
            <v>43</v>
          </cell>
          <cell r="B46" t="str">
            <v>千葉聖心保育園</v>
          </cell>
          <cell r="C46" t="str">
            <v>（福）弘恕会</v>
          </cell>
          <cell r="D46" t="str">
            <v>森島　弘道</v>
          </cell>
          <cell r="E46" t="str">
            <v>千葉市若葉区若松町531-197</v>
          </cell>
          <cell r="F46">
            <v>0</v>
          </cell>
          <cell r="G46">
            <v>0</v>
          </cell>
          <cell r="H46">
            <v>0</v>
          </cell>
          <cell r="I46">
            <v>0</v>
          </cell>
          <cell r="L46">
            <v>0</v>
          </cell>
        </row>
        <row r="47">
          <cell r="A47">
            <v>44</v>
          </cell>
          <cell r="B47" t="str">
            <v>真生保育園</v>
          </cell>
          <cell r="C47" t="str">
            <v>（福）健善富会</v>
          </cell>
          <cell r="D47" t="str">
            <v>井上　　悟</v>
          </cell>
          <cell r="E47" t="str">
            <v>千葉市緑区おゆみ野南5-29-1</v>
          </cell>
          <cell r="F47">
            <v>0</v>
          </cell>
          <cell r="G47">
            <v>0</v>
          </cell>
          <cell r="H47">
            <v>0</v>
          </cell>
          <cell r="I47">
            <v>0</v>
          </cell>
          <cell r="L47">
            <v>0</v>
          </cell>
        </row>
        <row r="48">
          <cell r="A48">
            <v>45</v>
          </cell>
          <cell r="B48" t="str">
            <v>アップルナースリー検見川浜保育園</v>
          </cell>
          <cell r="C48" t="str">
            <v>（有）もっくもっく</v>
          </cell>
          <cell r="D48" t="str">
            <v>河口　知子</v>
          </cell>
          <cell r="E48" t="str">
            <v>浦安市当代島1-1-23　林ビル3F</v>
          </cell>
          <cell r="F48">
            <v>0</v>
          </cell>
          <cell r="G48">
            <v>0</v>
          </cell>
          <cell r="H48">
            <v>0</v>
          </cell>
          <cell r="I48">
            <v>0</v>
          </cell>
          <cell r="L48">
            <v>0</v>
          </cell>
        </row>
        <row r="49">
          <cell r="A49">
            <v>46</v>
          </cell>
        </row>
        <row r="50">
          <cell r="A50">
            <v>47</v>
          </cell>
        </row>
        <row r="51">
          <cell r="A51">
            <v>48</v>
          </cell>
        </row>
        <row r="52">
          <cell r="A52">
            <v>49</v>
          </cell>
        </row>
        <row r="53">
          <cell r="A53">
            <v>50</v>
          </cell>
        </row>
        <row r="54">
          <cell r="B54" t="str">
            <v>この行は使わないこと</v>
          </cell>
        </row>
      </sheetData>
      <sheetData sheetId="12"/>
      <sheetData sheetId="13"/>
      <sheetData sheetId="14"/>
      <sheetData sheetId="15"/>
      <sheetData sheetId="16"/>
      <sheetData sheetId="17"/>
      <sheetData sheetId="18"/>
      <sheetData sheetId="19"/>
      <sheetData sheetId="20">
        <row r="4">
          <cell r="A4">
            <v>1</v>
          </cell>
          <cell r="B4" t="str">
            <v>院内保育園</v>
          </cell>
          <cell r="C4">
            <v>0</v>
          </cell>
          <cell r="D4">
            <v>2517000</v>
          </cell>
          <cell r="E4">
            <v>4116000</v>
          </cell>
          <cell r="F4">
            <v>0</v>
          </cell>
          <cell r="G4">
            <v>1502000</v>
          </cell>
          <cell r="H4">
            <v>0</v>
          </cell>
          <cell r="I4">
            <v>8135000</v>
          </cell>
          <cell r="J4">
            <v>0</v>
          </cell>
          <cell r="K4">
            <v>629250</v>
          </cell>
          <cell r="L4">
            <v>1029000</v>
          </cell>
          <cell r="M4">
            <v>0</v>
          </cell>
          <cell r="N4">
            <v>375500</v>
          </cell>
          <cell r="O4">
            <v>0</v>
          </cell>
          <cell r="P4">
            <v>2033750</v>
          </cell>
        </row>
        <row r="5">
          <cell r="A5">
            <v>2</v>
          </cell>
          <cell r="B5" t="str">
            <v>旭ケ丘保育園</v>
          </cell>
          <cell r="C5">
            <v>0</v>
          </cell>
          <cell r="D5">
            <v>2517000</v>
          </cell>
          <cell r="E5">
            <v>4116000</v>
          </cell>
          <cell r="F5">
            <v>467000</v>
          </cell>
          <cell r="G5">
            <v>1588000</v>
          </cell>
          <cell r="H5">
            <v>2352000</v>
          </cell>
          <cell r="I5">
            <v>11040000</v>
          </cell>
          <cell r="J5">
            <v>0</v>
          </cell>
          <cell r="K5">
            <v>629250</v>
          </cell>
          <cell r="L5">
            <v>1029000</v>
          </cell>
          <cell r="M5">
            <v>116750</v>
          </cell>
          <cell r="N5">
            <v>397000</v>
          </cell>
          <cell r="O5">
            <v>588000</v>
          </cell>
          <cell r="P5">
            <v>2760000</v>
          </cell>
        </row>
        <row r="6">
          <cell r="A6">
            <v>3</v>
          </cell>
          <cell r="B6" t="str">
            <v>稲毛保育園</v>
          </cell>
          <cell r="C6">
            <v>0</v>
          </cell>
          <cell r="D6">
            <v>2517000</v>
          </cell>
          <cell r="E6">
            <v>4116000</v>
          </cell>
          <cell r="F6">
            <v>0</v>
          </cell>
          <cell r="G6">
            <v>1588000</v>
          </cell>
          <cell r="H6">
            <v>2352000</v>
          </cell>
          <cell r="I6">
            <v>10573000</v>
          </cell>
          <cell r="J6">
            <v>0</v>
          </cell>
          <cell r="K6">
            <v>629250</v>
          </cell>
          <cell r="L6">
            <v>1029000</v>
          </cell>
          <cell r="M6">
            <v>0</v>
          </cell>
          <cell r="N6">
            <v>397000</v>
          </cell>
          <cell r="O6">
            <v>588000</v>
          </cell>
          <cell r="P6">
            <v>2643250</v>
          </cell>
        </row>
        <row r="7">
          <cell r="A7">
            <v>4</v>
          </cell>
          <cell r="B7" t="str">
            <v>みどり学園附属保育園</v>
          </cell>
          <cell r="C7">
            <v>0</v>
          </cell>
          <cell r="D7">
            <v>2517000</v>
          </cell>
          <cell r="E7">
            <v>4116000</v>
          </cell>
          <cell r="F7">
            <v>0</v>
          </cell>
          <cell r="G7">
            <v>1588000</v>
          </cell>
          <cell r="H7">
            <v>0</v>
          </cell>
          <cell r="I7">
            <v>8221000</v>
          </cell>
          <cell r="J7">
            <v>0</v>
          </cell>
          <cell r="K7">
            <v>629250</v>
          </cell>
          <cell r="L7">
            <v>1029000</v>
          </cell>
          <cell r="M7">
            <v>0</v>
          </cell>
          <cell r="N7">
            <v>397000</v>
          </cell>
          <cell r="O7">
            <v>0</v>
          </cell>
          <cell r="P7">
            <v>2055250</v>
          </cell>
        </row>
        <row r="8">
          <cell r="A8">
            <v>5</v>
          </cell>
          <cell r="B8" t="str">
            <v>ちどり保育園</v>
          </cell>
          <cell r="C8">
            <v>0</v>
          </cell>
          <cell r="D8">
            <v>2517000</v>
          </cell>
          <cell r="E8">
            <v>4116000</v>
          </cell>
          <cell r="F8">
            <v>467000</v>
          </cell>
          <cell r="G8">
            <v>1584000</v>
          </cell>
          <cell r="H8">
            <v>0</v>
          </cell>
          <cell r="I8">
            <v>8684000</v>
          </cell>
          <cell r="J8">
            <v>0</v>
          </cell>
          <cell r="K8">
            <v>629250</v>
          </cell>
          <cell r="L8">
            <v>1029000</v>
          </cell>
          <cell r="M8">
            <v>116750</v>
          </cell>
          <cell r="N8">
            <v>396000</v>
          </cell>
          <cell r="O8">
            <v>0</v>
          </cell>
          <cell r="P8">
            <v>2171000</v>
          </cell>
        </row>
        <row r="9">
          <cell r="A9">
            <v>6</v>
          </cell>
          <cell r="B9" t="str">
            <v>今井保育園</v>
          </cell>
          <cell r="C9">
            <v>935000</v>
          </cell>
          <cell r="D9">
            <v>2517000</v>
          </cell>
          <cell r="E9">
            <v>4116000</v>
          </cell>
          <cell r="F9">
            <v>467000</v>
          </cell>
          <cell r="G9">
            <v>1588000</v>
          </cell>
          <cell r="H9">
            <v>2352000</v>
          </cell>
          <cell r="I9">
            <v>11975000</v>
          </cell>
          <cell r="J9">
            <v>233750</v>
          </cell>
          <cell r="K9">
            <v>629250</v>
          </cell>
          <cell r="L9">
            <v>1029000</v>
          </cell>
          <cell r="M9">
            <v>116750</v>
          </cell>
          <cell r="N9">
            <v>397000</v>
          </cell>
          <cell r="O9">
            <v>588000</v>
          </cell>
          <cell r="P9">
            <v>2993750</v>
          </cell>
        </row>
        <row r="10">
          <cell r="A10">
            <v>7</v>
          </cell>
          <cell r="B10" t="str">
            <v>若竹保育園</v>
          </cell>
          <cell r="C10">
            <v>0</v>
          </cell>
          <cell r="D10">
            <v>2517000</v>
          </cell>
          <cell r="E10">
            <v>4116000</v>
          </cell>
          <cell r="F10">
            <v>467000</v>
          </cell>
          <cell r="G10">
            <v>1588000</v>
          </cell>
          <cell r="H10">
            <v>2352000</v>
          </cell>
          <cell r="I10">
            <v>11040000</v>
          </cell>
          <cell r="J10">
            <v>0</v>
          </cell>
          <cell r="K10">
            <v>629250</v>
          </cell>
          <cell r="L10">
            <v>1029000</v>
          </cell>
          <cell r="M10">
            <v>116750</v>
          </cell>
          <cell r="N10">
            <v>397000</v>
          </cell>
          <cell r="O10">
            <v>588000</v>
          </cell>
          <cell r="P10">
            <v>2760000</v>
          </cell>
        </row>
        <row r="11">
          <cell r="A11">
            <v>8</v>
          </cell>
          <cell r="B11" t="str">
            <v>千葉寺保育園</v>
          </cell>
          <cell r="C11">
            <v>0</v>
          </cell>
          <cell r="D11">
            <v>2517000</v>
          </cell>
          <cell r="E11">
            <v>4116000</v>
          </cell>
          <cell r="F11">
            <v>0</v>
          </cell>
          <cell r="G11">
            <v>1588000</v>
          </cell>
          <cell r="H11">
            <v>2352000</v>
          </cell>
          <cell r="I11">
            <v>10573000</v>
          </cell>
          <cell r="J11">
            <v>0</v>
          </cell>
          <cell r="K11">
            <v>629250</v>
          </cell>
          <cell r="L11">
            <v>1029000</v>
          </cell>
          <cell r="M11">
            <v>0</v>
          </cell>
          <cell r="N11">
            <v>397000</v>
          </cell>
          <cell r="O11">
            <v>588000</v>
          </cell>
          <cell r="P11">
            <v>2643250</v>
          </cell>
        </row>
        <row r="12">
          <cell r="A12">
            <v>9</v>
          </cell>
          <cell r="B12" t="str">
            <v>慈光保育園</v>
          </cell>
          <cell r="C12">
            <v>0</v>
          </cell>
          <cell r="D12">
            <v>2517000</v>
          </cell>
          <cell r="E12">
            <v>4116000</v>
          </cell>
          <cell r="F12">
            <v>467000</v>
          </cell>
          <cell r="G12">
            <v>1588000</v>
          </cell>
          <cell r="H12">
            <v>2352000</v>
          </cell>
          <cell r="I12">
            <v>11040000</v>
          </cell>
          <cell r="J12">
            <v>0</v>
          </cell>
          <cell r="K12">
            <v>629250</v>
          </cell>
          <cell r="L12">
            <v>1029000</v>
          </cell>
          <cell r="M12">
            <v>116750</v>
          </cell>
          <cell r="N12">
            <v>397000</v>
          </cell>
          <cell r="O12">
            <v>588000</v>
          </cell>
          <cell r="P12">
            <v>2760000</v>
          </cell>
        </row>
        <row r="13">
          <cell r="A13">
            <v>10</v>
          </cell>
          <cell r="B13" t="str">
            <v>若梅保育園</v>
          </cell>
          <cell r="C13">
            <v>0</v>
          </cell>
          <cell r="D13">
            <v>2517000</v>
          </cell>
          <cell r="E13">
            <v>4116000</v>
          </cell>
          <cell r="F13">
            <v>467000</v>
          </cell>
          <cell r="G13">
            <v>1588000</v>
          </cell>
          <cell r="H13">
            <v>2352000</v>
          </cell>
          <cell r="I13">
            <v>11040000</v>
          </cell>
          <cell r="J13">
            <v>0</v>
          </cell>
          <cell r="K13">
            <v>629250</v>
          </cell>
          <cell r="L13">
            <v>1029000</v>
          </cell>
          <cell r="M13">
            <v>116750</v>
          </cell>
          <cell r="N13">
            <v>397000</v>
          </cell>
          <cell r="O13">
            <v>588000</v>
          </cell>
          <cell r="P13">
            <v>2760000</v>
          </cell>
        </row>
        <row r="14">
          <cell r="A14">
            <v>11</v>
          </cell>
          <cell r="B14" t="str">
            <v>チューリップ保育園</v>
          </cell>
          <cell r="C14">
            <v>0</v>
          </cell>
          <cell r="D14">
            <v>2517000</v>
          </cell>
          <cell r="E14">
            <v>4116000</v>
          </cell>
          <cell r="F14">
            <v>0</v>
          </cell>
          <cell r="G14">
            <v>1077000</v>
          </cell>
          <cell r="H14">
            <v>2352000</v>
          </cell>
          <cell r="I14">
            <v>10062000</v>
          </cell>
          <cell r="J14">
            <v>0</v>
          </cell>
          <cell r="K14">
            <v>629250</v>
          </cell>
          <cell r="L14">
            <v>1029000</v>
          </cell>
          <cell r="M14">
            <v>0</v>
          </cell>
          <cell r="N14">
            <v>269250</v>
          </cell>
          <cell r="O14">
            <v>588000</v>
          </cell>
          <cell r="P14">
            <v>2515500</v>
          </cell>
        </row>
        <row r="15">
          <cell r="A15">
            <v>12</v>
          </cell>
          <cell r="B15" t="str">
            <v>幕張海浜保育園</v>
          </cell>
          <cell r="C15">
            <v>0</v>
          </cell>
          <cell r="D15">
            <v>2517000</v>
          </cell>
          <cell r="E15">
            <v>4116000</v>
          </cell>
          <cell r="F15">
            <v>467000</v>
          </cell>
          <cell r="G15">
            <v>1588000</v>
          </cell>
          <cell r="H15">
            <v>0</v>
          </cell>
          <cell r="I15">
            <v>8688000</v>
          </cell>
          <cell r="J15">
            <v>0</v>
          </cell>
          <cell r="K15">
            <v>629250</v>
          </cell>
          <cell r="L15">
            <v>1029000</v>
          </cell>
          <cell r="M15">
            <v>116750</v>
          </cell>
          <cell r="N15">
            <v>397000</v>
          </cell>
          <cell r="O15">
            <v>0</v>
          </cell>
          <cell r="P15">
            <v>2172000</v>
          </cell>
        </row>
        <row r="16">
          <cell r="A16">
            <v>13</v>
          </cell>
          <cell r="B16" t="str">
            <v>みつわ台保育園</v>
          </cell>
          <cell r="C16">
            <v>0</v>
          </cell>
          <cell r="D16">
            <v>2517000</v>
          </cell>
          <cell r="E16">
            <v>4116000</v>
          </cell>
          <cell r="F16">
            <v>467000</v>
          </cell>
          <cell r="G16">
            <v>1588000</v>
          </cell>
          <cell r="H16">
            <v>7056000</v>
          </cell>
          <cell r="I16">
            <v>15744000</v>
          </cell>
          <cell r="J16">
            <v>0</v>
          </cell>
          <cell r="K16">
            <v>629250</v>
          </cell>
          <cell r="L16">
            <v>1029000</v>
          </cell>
          <cell r="M16">
            <v>116750</v>
          </cell>
          <cell r="N16">
            <v>397000</v>
          </cell>
          <cell r="O16">
            <v>1764000</v>
          </cell>
          <cell r="P16">
            <v>3936000</v>
          </cell>
        </row>
        <row r="17">
          <cell r="A17">
            <v>14</v>
          </cell>
          <cell r="B17" t="str">
            <v>まどか保育園</v>
          </cell>
          <cell r="C17">
            <v>0</v>
          </cell>
          <cell r="D17">
            <v>2517000</v>
          </cell>
          <cell r="E17">
            <v>4116000</v>
          </cell>
          <cell r="F17">
            <v>467000</v>
          </cell>
          <cell r="G17">
            <v>1588000</v>
          </cell>
          <cell r="H17">
            <v>0</v>
          </cell>
          <cell r="I17">
            <v>8688000</v>
          </cell>
          <cell r="J17">
            <v>0</v>
          </cell>
          <cell r="K17">
            <v>629250</v>
          </cell>
          <cell r="L17">
            <v>1029000</v>
          </cell>
          <cell r="M17">
            <v>116750</v>
          </cell>
          <cell r="N17">
            <v>397000</v>
          </cell>
          <cell r="O17">
            <v>0</v>
          </cell>
          <cell r="P17">
            <v>2172000</v>
          </cell>
        </row>
        <row r="18">
          <cell r="A18">
            <v>15</v>
          </cell>
          <cell r="B18" t="str">
            <v>わかくさ保育園</v>
          </cell>
          <cell r="C18">
            <v>0</v>
          </cell>
          <cell r="D18">
            <v>2517000</v>
          </cell>
          <cell r="E18">
            <v>4116000</v>
          </cell>
          <cell r="F18">
            <v>467000</v>
          </cell>
          <cell r="G18">
            <v>1588000</v>
          </cell>
          <cell r="H18">
            <v>0</v>
          </cell>
          <cell r="I18">
            <v>8688000</v>
          </cell>
          <cell r="J18">
            <v>0</v>
          </cell>
          <cell r="K18">
            <v>629250</v>
          </cell>
          <cell r="L18">
            <v>1029000</v>
          </cell>
          <cell r="M18">
            <v>116750</v>
          </cell>
          <cell r="N18">
            <v>397000</v>
          </cell>
          <cell r="O18">
            <v>0</v>
          </cell>
          <cell r="P18">
            <v>2172000</v>
          </cell>
        </row>
        <row r="19">
          <cell r="A19">
            <v>16</v>
          </cell>
          <cell r="B19" t="str">
            <v>たいよう保育園</v>
          </cell>
          <cell r="C19">
            <v>0</v>
          </cell>
          <cell r="D19">
            <v>2517000</v>
          </cell>
          <cell r="E19">
            <v>4116000</v>
          </cell>
          <cell r="F19">
            <v>467000</v>
          </cell>
          <cell r="G19">
            <v>1588000</v>
          </cell>
          <cell r="H19">
            <v>0</v>
          </cell>
          <cell r="I19">
            <v>8688000</v>
          </cell>
          <cell r="J19">
            <v>0</v>
          </cell>
          <cell r="K19">
            <v>629250</v>
          </cell>
          <cell r="L19">
            <v>1029000</v>
          </cell>
          <cell r="M19">
            <v>116750</v>
          </cell>
          <cell r="N19">
            <v>397000</v>
          </cell>
          <cell r="O19">
            <v>0</v>
          </cell>
          <cell r="P19">
            <v>2172000</v>
          </cell>
        </row>
        <row r="20">
          <cell r="A20">
            <v>17</v>
          </cell>
          <cell r="B20" t="str">
            <v>松ケ丘保育園</v>
          </cell>
          <cell r="C20">
            <v>0</v>
          </cell>
          <cell r="D20">
            <v>2517000</v>
          </cell>
          <cell r="E20">
            <v>4116000</v>
          </cell>
          <cell r="F20">
            <v>467000</v>
          </cell>
          <cell r="G20">
            <v>1288000</v>
          </cell>
          <cell r="H20">
            <v>2352000</v>
          </cell>
          <cell r="I20">
            <v>10740000</v>
          </cell>
          <cell r="J20">
            <v>0</v>
          </cell>
          <cell r="K20">
            <v>629250</v>
          </cell>
          <cell r="L20">
            <v>1029000</v>
          </cell>
          <cell r="M20">
            <v>116750</v>
          </cell>
          <cell r="N20">
            <v>322000</v>
          </cell>
          <cell r="O20">
            <v>588000</v>
          </cell>
          <cell r="P20">
            <v>2685000</v>
          </cell>
        </row>
        <row r="21">
          <cell r="A21">
            <v>18</v>
          </cell>
          <cell r="B21" t="str">
            <v>作草部保育園</v>
          </cell>
          <cell r="C21">
            <v>0</v>
          </cell>
          <cell r="D21">
            <v>2517000</v>
          </cell>
          <cell r="E21">
            <v>4116000</v>
          </cell>
          <cell r="F21">
            <v>467000</v>
          </cell>
          <cell r="G21">
            <v>1588000</v>
          </cell>
          <cell r="H21">
            <v>2352000</v>
          </cell>
          <cell r="I21">
            <v>11040000</v>
          </cell>
          <cell r="J21">
            <v>0</v>
          </cell>
          <cell r="K21">
            <v>629250</v>
          </cell>
          <cell r="L21">
            <v>1029000</v>
          </cell>
          <cell r="M21">
            <v>116750</v>
          </cell>
          <cell r="N21">
            <v>397000</v>
          </cell>
          <cell r="O21">
            <v>588000</v>
          </cell>
          <cell r="P21">
            <v>2760000</v>
          </cell>
        </row>
        <row r="22">
          <cell r="A22">
            <v>19</v>
          </cell>
          <cell r="B22" t="str">
            <v>すずらん保育園</v>
          </cell>
          <cell r="C22">
            <v>0</v>
          </cell>
          <cell r="D22">
            <v>2517000</v>
          </cell>
          <cell r="E22">
            <v>4116000</v>
          </cell>
          <cell r="F22">
            <v>467000</v>
          </cell>
          <cell r="G22">
            <v>1588000</v>
          </cell>
          <cell r="H22">
            <v>2352000</v>
          </cell>
          <cell r="I22">
            <v>11040000</v>
          </cell>
          <cell r="J22">
            <v>0</v>
          </cell>
          <cell r="K22">
            <v>629250</v>
          </cell>
          <cell r="L22">
            <v>1029000</v>
          </cell>
          <cell r="M22">
            <v>116750</v>
          </cell>
          <cell r="N22">
            <v>397000</v>
          </cell>
          <cell r="O22">
            <v>588000</v>
          </cell>
          <cell r="P22">
            <v>2760000</v>
          </cell>
        </row>
        <row r="23">
          <cell r="A23">
            <v>20</v>
          </cell>
          <cell r="B23" t="str">
            <v>なぎさ保育園</v>
          </cell>
          <cell r="C23">
            <v>0</v>
          </cell>
          <cell r="D23">
            <v>2517000</v>
          </cell>
          <cell r="E23">
            <v>4116000</v>
          </cell>
          <cell r="F23">
            <v>467000</v>
          </cell>
          <cell r="G23">
            <v>1588000</v>
          </cell>
          <cell r="H23">
            <v>0</v>
          </cell>
          <cell r="I23">
            <v>8688000</v>
          </cell>
          <cell r="J23">
            <v>0</v>
          </cell>
          <cell r="K23">
            <v>629250</v>
          </cell>
          <cell r="L23">
            <v>1029000</v>
          </cell>
          <cell r="M23">
            <v>116750</v>
          </cell>
          <cell r="N23">
            <v>397000</v>
          </cell>
          <cell r="O23">
            <v>0</v>
          </cell>
          <cell r="P23">
            <v>2172000</v>
          </cell>
        </row>
        <row r="24">
          <cell r="A24">
            <v>21</v>
          </cell>
          <cell r="B24" t="str">
            <v>南小中台保育園</v>
          </cell>
          <cell r="C24">
            <v>0</v>
          </cell>
          <cell r="D24">
            <v>2517000</v>
          </cell>
          <cell r="E24">
            <v>4116000</v>
          </cell>
          <cell r="F24">
            <v>467000</v>
          </cell>
          <cell r="G24">
            <v>1588000</v>
          </cell>
          <cell r="H24">
            <v>2352000</v>
          </cell>
          <cell r="I24">
            <v>11040000</v>
          </cell>
          <cell r="J24">
            <v>0</v>
          </cell>
          <cell r="K24">
            <v>629250</v>
          </cell>
          <cell r="L24">
            <v>1029000</v>
          </cell>
          <cell r="M24">
            <v>116750</v>
          </cell>
          <cell r="N24">
            <v>397000</v>
          </cell>
          <cell r="O24">
            <v>588000</v>
          </cell>
          <cell r="P24">
            <v>2760000</v>
          </cell>
        </row>
        <row r="25">
          <cell r="A25">
            <v>22</v>
          </cell>
          <cell r="B25" t="str">
            <v>もみじ保育園</v>
          </cell>
          <cell r="C25">
            <v>0</v>
          </cell>
          <cell r="D25">
            <v>2517000</v>
          </cell>
          <cell r="E25">
            <v>4116000</v>
          </cell>
          <cell r="F25">
            <v>0</v>
          </cell>
          <cell r="G25">
            <v>1588000</v>
          </cell>
          <cell r="H25">
            <v>2352000</v>
          </cell>
          <cell r="I25">
            <v>10573000</v>
          </cell>
          <cell r="J25">
            <v>0</v>
          </cell>
          <cell r="K25">
            <v>629250</v>
          </cell>
          <cell r="L25">
            <v>1029000</v>
          </cell>
          <cell r="M25">
            <v>0</v>
          </cell>
          <cell r="N25">
            <v>397000</v>
          </cell>
          <cell r="O25">
            <v>588000</v>
          </cell>
          <cell r="P25">
            <v>2643250</v>
          </cell>
        </row>
        <row r="26">
          <cell r="A26">
            <v>23</v>
          </cell>
          <cell r="B26" t="str">
            <v>おゆみ野保育園</v>
          </cell>
          <cell r="C26">
            <v>0</v>
          </cell>
          <cell r="D26">
            <v>2517000</v>
          </cell>
          <cell r="E26">
            <v>4116000</v>
          </cell>
          <cell r="F26">
            <v>467000</v>
          </cell>
          <cell r="G26">
            <v>1588000</v>
          </cell>
          <cell r="H26">
            <v>2352000</v>
          </cell>
          <cell r="I26">
            <v>11040000</v>
          </cell>
          <cell r="J26">
            <v>0</v>
          </cell>
          <cell r="K26">
            <v>629250</v>
          </cell>
          <cell r="L26">
            <v>1029000</v>
          </cell>
          <cell r="M26">
            <v>116750</v>
          </cell>
          <cell r="N26">
            <v>397000</v>
          </cell>
          <cell r="O26">
            <v>588000</v>
          </cell>
          <cell r="P26">
            <v>2760000</v>
          </cell>
        </row>
        <row r="27">
          <cell r="A27">
            <v>24</v>
          </cell>
          <cell r="B27" t="str">
            <v>ナーセリー鏡戸</v>
          </cell>
          <cell r="C27">
            <v>935000</v>
          </cell>
          <cell r="D27">
            <v>2517000</v>
          </cell>
          <cell r="E27">
            <v>4116000</v>
          </cell>
          <cell r="F27">
            <v>467000</v>
          </cell>
          <cell r="G27">
            <v>1588000</v>
          </cell>
          <cell r="H27">
            <v>0</v>
          </cell>
          <cell r="I27">
            <v>9623000</v>
          </cell>
          <cell r="J27">
            <v>233750</v>
          </cell>
          <cell r="K27">
            <v>629250</v>
          </cell>
          <cell r="L27">
            <v>1029000</v>
          </cell>
          <cell r="M27">
            <v>116750</v>
          </cell>
          <cell r="N27">
            <v>397000</v>
          </cell>
          <cell r="O27">
            <v>0</v>
          </cell>
          <cell r="P27">
            <v>2405750</v>
          </cell>
        </row>
        <row r="28">
          <cell r="A28">
            <v>25</v>
          </cell>
          <cell r="B28" t="str">
            <v>打瀬保育園</v>
          </cell>
          <cell r="C28">
            <v>0</v>
          </cell>
          <cell r="D28">
            <v>2517000</v>
          </cell>
          <cell r="E28">
            <v>4116000</v>
          </cell>
          <cell r="F28">
            <v>467000</v>
          </cell>
          <cell r="G28">
            <v>1588000</v>
          </cell>
          <cell r="H28">
            <v>0</v>
          </cell>
          <cell r="I28">
            <v>8688000</v>
          </cell>
          <cell r="J28">
            <v>0</v>
          </cell>
          <cell r="K28">
            <v>629250</v>
          </cell>
          <cell r="L28">
            <v>1029000</v>
          </cell>
          <cell r="M28">
            <v>116750</v>
          </cell>
          <cell r="N28">
            <v>397000</v>
          </cell>
          <cell r="O28">
            <v>0</v>
          </cell>
          <cell r="P28">
            <v>2172000</v>
          </cell>
        </row>
        <row r="29">
          <cell r="A29">
            <v>26</v>
          </cell>
          <cell r="B29" t="str">
            <v>ふたば保育園</v>
          </cell>
          <cell r="C29">
            <v>0</v>
          </cell>
          <cell r="D29">
            <v>2517000</v>
          </cell>
          <cell r="E29">
            <v>4116000</v>
          </cell>
          <cell r="F29">
            <v>467000</v>
          </cell>
          <cell r="G29">
            <v>1588000</v>
          </cell>
          <cell r="H29">
            <v>4704000</v>
          </cell>
          <cell r="I29">
            <v>13392000</v>
          </cell>
          <cell r="J29">
            <v>0</v>
          </cell>
          <cell r="K29">
            <v>629250</v>
          </cell>
          <cell r="L29">
            <v>1029000</v>
          </cell>
          <cell r="M29">
            <v>116750</v>
          </cell>
          <cell r="N29">
            <v>397000</v>
          </cell>
          <cell r="O29">
            <v>1176000</v>
          </cell>
          <cell r="P29">
            <v>3348000</v>
          </cell>
        </row>
        <row r="30">
          <cell r="A30">
            <v>27</v>
          </cell>
          <cell r="B30" t="str">
            <v>明和輝保育園</v>
          </cell>
          <cell r="C30">
            <v>935000</v>
          </cell>
          <cell r="D30">
            <v>2517000</v>
          </cell>
          <cell r="E30">
            <v>4116000</v>
          </cell>
          <cell r="F30">
            <v>0</v>
          </cell>
          <cell r="G30">
            <v>1588000</v>
          </cell>
          <cell r="H30">
            <v>2352000</v>
          </cell>
          <cell r="I30">
            <v>11508000</v>
          </cell>
          <cell r="J30">
            <v>233750</v>
          </cell>
          <cell r="K30">
            <v>629250</v>
          </cell>
          <cell r="L30">
            <v>1029000</v>
          </cell>
          <cell r="M30">
            <v>0</v>
          </cell>
          <cell r="N30">
            <v>397000</v>
          </cell>
          <cell r="O30">
            <v>588000</v>
          </cell>
          <cell r="P30">
            <v>2877000</v>
          </cell>
        </row>
        <row r="31">
          <cell r="A31">
            <v>28</v>
          </cell>
          <cell r="B31" t="str">
            <v>山王保育園</v>
          </cell>
          <cell r="C31">
            <v>0</v>
          </cell>
          <cell r="D31">
            <v>2517000</v>
          </cell>
          <cell r="E31">
            <v>4116000</v>
          </cell>
          <cell r="F31">
            <v>467000</v>
          </cell>
          <cell r="G31">
            <v>1588000</v>
          </cell>
          <cell r="H31">
            <v>0</v>
          </cell>
          <cell r="I31">
            <v>8688000</v>
          </cell>
          <cell r="J31">
            <v>0</v>
          </cell>
          <cell r="K31">
            <v>629250</v>
          </cell>
          <cell r="L31">
            <v>1029000</v>
          </cell>
          <cell r="M31">
            <v>116750</v>
          </cell>
          <cell r="N31">
            <v>397000</v>
          </cell>
          <cell r="O31">
            <v>0</v>
          </cell>
          <cell r="P31">
            <v>2172000</v>
          </cell>
        </row>
        <row r="32">
          <cell r="A32">
            <v>29</v>
          </cell>
          <cell r="B32" t="str">
            <v>チャイルド・ガーデン保育園</v>
          </cell>
          <cell r="C32">
            <v>0</v>
          </cell>
          <cell r="D32">
            <v>2517000</v>
          </cell>
          <cell r="E32">
            <v>4116000</v>
          </cell>
          <cell r="F32">
            <v>0</v>
          </cell>
          <cell r="G32">
            <v>1588000</v>
          </cell>
          <cell r="H32">
            <v>0</v>
          </cell>
          <cell r="I32">
            <v>8221000</v>
          </cell>
          <cell r="J32">
            <v>0</v>
          </cell>
          <cell r="K32">
            <v>629250</v>
          </cell>
          <cell r="L32">
            <v>1029000</v>
          </cell>
          <cell r="M32">
            <v>0</v>
          </cell>
          <cell r="N32">
            <v>397000</v>
          </cell>
          <cell r="O32">
            <v>0</v>
          </cell>
          <cell r="P32">
            <v>2055250</v>
          </cell>
        </row>
        <row r="33">
          <cell r="A33">
            <v>30</v>
          </cell>
          <cell r="B33" t="str">
            <v>明徳土気保育園</v>
          </cell>
          <cell r="C33">
            <v>0</v>
          </cell>
          <cell r="D33">
            <v>2517000</v>
          </cell>
          <cell r="E33">
            <v>4116000</v>
          </cell>
          <cell r="F33">
            <v>467000</v>
          </cell>
          <cell r="G33">
            <v>1588000</v>
          </cell>
          <cell r="H33">
            <v>4704000</v>
          </cell>
          <cell r="I33">
            <v>13392000</v>
          </cell>
          <cell r="J33">
            <v>0</v>
          </cell>
          <cell r="K33">
            <v>629250</v>
          </cell>
          <cell r="L33">
            <v>1029000</v>
          </cell>
          <cell r="M33">
            <v>116750</v>
          </cell>
          <cell r="N33">
            <v>397000</v>
          </cell>
          <cell r="O33">
            <v>1176000</v>
          </cell>
          <cell r="P33">
            <v>3348000</v>
          </cell>
        </row>
        <row r="34">
          <cell r="A34">
            <v>31</v>
          </cell>
          <cell r="B34" t="str">
            <v>グレース保育園</v>
          </cell>
          <cell r="C34">
            <v>0</v>
          </cell>
          <cell r="D34">
            <v>2517000</v>
          </cell>
          <cell r="E34">
            <v>4116000</v>
          </cell>
          <cell r="F34">
            <v>0</v>
          </cell>
          <cell r="G34">
            <v>1588000</v>
          </cell>
          <cell r="H34">
            <v>2352000</v>
          </cell>
          <cell r="I34">
            <v>10573000</v>
          </cell>
          <cell r="J34">
            <v>0</v>
          </cell>
          <cell r="K34">
            <v>629250</v>
          </cell>
          <cell r="L34">
            <v>1029000</v>
          </cell>
          <cell r="M34">
            <v>0</v>
          </cell>
          <cell r="N34">
            <v>397000</v>
          </cell>
          <cell r="O34">
            <v>588000</v>
          </cell>
          <cell r="P34">
            <v>2643250</v>
          </cell>
        </row>
        <row r="35">
          <cell r="A35">
            <v>32</v>
          </cell>
          <cell r="B35" t="str">
            <v>みらい保育園</v>
          </cell>
          <cell r="C35">
            <v>0</v>
          </cell>
          <cell r="D35">
            <v>2517000</v>
          </cell>
          <cell r="E35">
            <v>4116000</v>
          </cell>
          <cell r="F35">
            <v>0</v>
          </cell>
          <cell r="G35">
            <v>1588000</v>
          </cell>
          <cell r="H35">
            <v>2352000</v>
          </cell>
          <cell r="I35">
            <v>10573000</v>
          </cell>
          <cell r="J35">
            <v>0</v>
          </cell>
          <cell r="K35">
            <v>629250</v>
          </cell>
          <cell r="L35">
            <v>1029000</v>
          </cell>
          <cell r="M35">
            <v>0</v>
          </cell>
          <cell r="N35">
            <v>397000</v>
          </cell>
          <cell r="O35">
            <v>588000</v>
          </cell>
          <cell r="P35">
            <v>2643250</v>
          </cell>
        </row>
        <row r="36">
          <cell r="A36">
            <v>33</v>
          </cell>
          <cell r="B36" t="str">
            <v>かまとり保育園</v>
          </cell>
          <cell r="C36">
            <v>0</v>
          </cell>
          <cell r="D36">
            <v>2517000</v>
          </cell>
          <cell r="E36">
            <v>4116000</v>
          </cell>
          <cell r="F36">
            <v>0</v>
          </cell>
          <cell r="G36">
            <v>1588000</v>
          </cell>
          <cell r="H36">
            <v>2352000</v>
          </cell>
          <cell r="I36">
            <v>10573000</v>
          </cell>
          <cell r="J36">
            <v>0</v>
          </cell>
          <cell r="K36">
            <v>629250</v>
          </cell>
          <cell r="L36">
            <v>1029000</v>
          </cell>
          <cell r="M36">
            <v>0</v>
          </cell>
          <cell r="N36">
            <v>397000</v>
          </cell>
          <cell r="O36">
            <v>588000</v>
          </cell>
          <cell r="P36">
            <v>2643250</v>
          </cell>
        </row>
        <row r="37">
          <cell r="A37">
            <v>34</v>
          </cell>
          <cell r="B37" t="str">
            <v>植草弁天保育園</v>
          </cell>
          <cell r="C37">
            <v>935000</v>
          </cell>
          <cell r="D37">
            <v>2517000</v>
          </cell>
          <cell r="E37">
            <v>4116000</v>
          </cell>
          <cell r="F37">
            <v>467000</v>
          </cell>
          <cell r="G37">
            <v>1588000</v>
          </cell>
          <cell r="H37">
            <v>0</v>
          </cell>
          <cell r="I37">
            <v>9623000</v>
          </cell>
          <cell r="J37">
            <v>233750</v>
          </cell>
          <cell r="K37">
            <v>629250</v>
          </cell>
          <cell r="L37">
            <v>1029000</v>
          </cell>
          <cell r="M37">
            <v>116750</v>
          </cell>
          <cell r="N37">
            <v>397000</v>
          </cell>
          <cell r="O37">
            <v>0</v>
          </cell>
          <cell r="P37">
            <v>2405750</v>
          </cell>
        </row>
        <row r="38">
          <cell r="A38">
            <v>35</v>
          </cell>
          <cell r="B38" t="str">
            <v>ひなたぼっこ保育園</v>
          </cell>
          <cell r="C38">
            <v>0</v>
          </cell>
          <cell r="D38">
            <v>2517000</v>
          </cell>
          <cell r="E38">
            <v>4116000</v>
          </cell>
          <cell r="F38">
            <v>467000</v>
          </cell>
          <cell r="G38">
            <v>1588000</v>
          </cell>
          <cell r="H38">
            <v>0</v>
          </cell>
          <cell r="I38">
            <v>8688000</v>
          </cell>
          <cell r="J38">
            <v>0</v>
          </cell>
          <cell r="K38">
            <v>629250</v>
          </cell>
          <cell r="L38">
            <v>1029000</v>
          </cell>
          <cell r="M38">
            <v>116750</v>
          </cell>
          <cell r="N38">
            <v>397000</v>
          </cell>
          <cell r="O38">
            <v>0</v>
          </cell>
          <cell r="P38">
            <v>2172000</v>
          </cell>
        </row>
        <row r="39">
          <cell r="A39">
            <v>36</v>
          </cell>
          <cell r="B39" t="str">
            <v>はまかぜ保育園</v>
          </cell>
          <cell r="C39">
            <v>0</v>
          </cell>
          <cell r="D39">
            <v>2517000</v>
          </cell>
          <cell r="E39">
            <v>4116000</v>
          </cell>
          <cell r="F39">
            <v>467000</v>
          </cell>
          <cell r="G39">
            <v>1588000</v>
          </cell>
          <cell r="H39">
            <v>0</v>
          </cell>
          <cell r="I39">
            <v>8688000</v>
          </cell>
          <cell r="J39">
            <v>0</v>
          </cell>
          <cell r="K39">
            <v>629250</v>
          </cell>
          <cell r="L39">
            <v>1029000</v>
          </cell>
          <cell r="M39">
            <v>116750</v>
          </cell>
          <cell r="N39">
            <v>397000</v>
          </cell>
          <cell r="O39">
            <v>0</v>
          </cell>
          <cell r="P39">
            <v>2172000</v>
          </cell>
        </row>
        <row r="40">
          <cell r="A40">
            <v>37</v>
          </cell>
          <cell r="B40" t="str">
            <v>いなほ保育園</v>
          </cell>
          <cell r="C40">
            <v>0</v>
          </cell>
          <cell r="D40">
            <v>2517000</v>
          </cell>
          <cell r="E40">
            <v>4116000</v>
          </cell>
          <cell r="F40">
            <v>467000</v>
          </cell>
          <cell r="G40">
            <v>1588000</v>
          </cell>
          <cell r="H40">
            <v>0</v>
          </cell>
          <cell r="I40">
            <v>8688000</v>
          </cell>
          <cell r="J40">
            <v>0</v>
          </cell>
          <cell r="K40">
            <v>629250</v>
          </cell>
          <cell r="L40">
            <v>1029000</v>
          </cell>
          <cell r="M40">
            <v>116750</v>
          </cell>
          <cell r="N40">
            <v>397000</v>
          </cell>
          <cell r="O40">
            <v>0</v>
          </cell>
          <cell r="P40">
            <v>2172000</v>
          </cell>
        </row>
        <row r="41">
          <cell r="A41">
            <v>38</v>
          </cell>
          <cell r="B41" t="str">
            <v>キッズマーム保育園</v>
          </cell>
          <cell r="C41">
            <v>0</v>
          </cell>
          <cell r="D41">
            <v>2517000</v>
          </cell>
          <cell r="E41">
            <v>4116000</v>
          </cell>
          <cell r="F41">
            <v>0</v>
          </cell>
          <cell r="G41">
            <v>1588000</v>
          </cell>
          <cell r="H41">
            <v>2352000</v>
          </cell>
          <cell r="I41">
            <v>10573000</v>
          </cell>
          <cell r="J41">
            <v>0</v>
          </cell>
          <cell r="K41">
            <v>629250</v>
          </cell>
          <cell r="L41">
            <v>1029000</v>
          </cell>
          <cell r="M41">
            <v>0</v>
          </cell>
          <cell r="N41">
            <v>397000</v>
          </cell>
          <cell r="O41">
            <v>588000</v>
          </cell>
          <cell r="P41">
            <v>2643250</v>
          </cell>
        </row>
        <row r="42">
          <cell r="A42">
            <v>39</v>
          </cell>
          <cell r="B42" t="str">
            <v>アスク海浜幕張保育園</v>
          </cell>
          <cell r="C42">
            <v>0</v>
          </cell>
          <cell r="D42">
            <v>2517000</v>
          </cell>
          <cell r="E42">
            <v>4116000</v>
          </cell>
          <cell r="F42">
            <v>467000</v>
          </cell>
          <cell r="G42">
            <v>0</v>
          </cell>
          <cell r="H42">
            <v>0</v>
          </cell>
          <cell r="I42">
            <v>7100000</v>
          </cell>
          <cell r="J42">
            <v>0</v>
          </cell>
          <cell r="K42">
            <v>629250</v>
          </cell>
          <cell r="L42">
            <v>1029000</v>
          </cell>
          <cell r="M42">
            <v>116750</v>
          </cell>
          <cell r="N42">
            <v>0</v>
          </cell>
          <cell r="O42">
            <v>0</v>
          </cell>
          <cell r="P42">
            <v>1775000</v>
          </cell>
        </row>
        <row r="43">
          <cell r="A43">
            <v>40</v>
          </cell>
          <cell r="B43" t="str">
            <v>明徳浜野駅保育園</v>
          </cell>
          <cell r="C43">
            <v>0</v>
          </cell>
          <cell r="D43">
            <v>2517000</v>
          </cell>
          <cell r="E43">
            <v>4116000</v>
          </cell>
          <cell r="F43">
            <v>0</v>
          </cell>
          <cell r="G43">
            <v>1588000</v>
          </cell>
          <cell r="H43">
            <v>0</v>
          </cell>
          <cell r="I43">
            <v>8221000</v>
          </cell>
          <cell r="J43">
            <v>0</v>
          </cell>
          <cell r="K43">
            <v>629250</v>
          </cell>
          <cell r="L43">
            <v>1029000</v>
          </cell>
          <cell r="M43">
            <v>0</v>
          </cell>
          <cell r="N43">
            <v>397000</v>
          </cell>
          <cell r="O43">
            <v>0</v>
          </cell>
          <cell r="P43">
            <v>2055250</v>
          </cell>
        </row>
        <row r="44">
          <cell r="A44">
            <v>41</v>
          </cell>
          <cell r="B44" t="str">
            <v>幕張いもっこ保育園</v>
          </cell>
          <cell r="C44">
            <v>0</v>
          </cell>
          <cell r="D44">
            <v>2517000</v>
          </cell>
          <cell r="E44">
            <v>4116000</v>
          </cell>
          <cell r="F44">
            <v>467000</v>
          </cell>
          <cell r="G44">
            <v>1122000</v>
          </cell>
          <cell r="H44">
            <v>0</v>
          </cell>
          <cell r="I44">
            <v>8222000</v>
          </cell>
          <cell r="J44">
            <v>0</v>
          </cell>
          <cell r="K44">
            <v>629250</v>
          </cell>
          <cell r="L44">
            <v>1029000</v>
          </cell>
          <cell r="M44">
            <v>116750</v>
          </cell>
          <cell r="N44">
            <v>280500</v>
          </cell>
          <cell r="O44">
            <v>0</v>
          </cell>
          <cell r="P44">
            <v>2055500</v>
          </cell>
        </row>
        <row r="45">
          <cell r="A45">
            <v>42</v>
          </cell>
          <cell r="B45" t="str">
            <v>稲毛すきっぷ保育園</v>
          </cell>
          <cell r="C45">
            <v>0</v>
          </cell>
          <cell r="D45">
            <v>2517000</v>
          </cell>
          <cell r="E45">
            <v>4116000</v>
          </cell>
          <cell r="F45">
            <v>467000</v>
          </cell>
          <cell r="G45">
            <v>0</v>
          </cell>
          <cell r="H45">
            <v>0</v>
          </cell>
          <cell r="I45">
            <v>7100000</v>
          </cell>
          <cell r="J45">
            <v>0</v>
          </cell>
          <cell r="K45">
            <v>629250</v>
          </cell>
          <cell r="L45">
            <v>1029000</v>
          </cell>
          <cell r="M45">
            <v>116750</v>
          </cell>
          <cell r="N45">
            <v>0</v>
          </cell>
          <cell r="O45">
            <v>0</v>
          </cell>
          <cell r="P45">
            <v>1775000</v>
          </cell>
        </row>
        <row r="46">
          <cell r="A46">
            <v>43</v>
          </cell>
          <cell r="B46" t="str">
            <v>千葉聖心保育園</v>
          </cell>
          <cell r="C46">
            <v>935000</v>
          </cell>
          <cell r="D46">
            <v>2517000</v>
          </cell>
          <cell r="E46">
            <v>4116000</v>
          </cell>
          <cell r="F46">
            <v>0</v>
          </cell>
          <cell r="G46">
            <v>0</v>
          </cell>
          <cell r="H46">
            <v>0</v>
          </cell>
          <cell r="I46">
            <v>7568000</v>
          </cell>
          <cell r="J46">
            <v>233750</v>
          </cell>
          <cell r="K46">
            <v>629250</v>
          </cell>
          <cell r="L46">
            <v>1029000</v>
          </cell>
          <cell r="M46">
            <v>0</v>
          </cell>
          <cell r="N46">
            <v>0</v>
          </cell>
          <cell r="O46">
            <v>0</v>
          </cell>
          <cell r="P46">
            <v>1892000</v>
          </cell>
        </row>
        <row r="47">
          <cell r="A47">
            <v>44</v>
          </cell>
          <cell r="B47" t="str">
            <v>真生保育園</v>
          </cell>
          <cell r="C47">
            <v>0</v>
          </cell>
          <cell r="D47">
            <v>2517000</v>
          </cell>
          <cell r="E47">
            <v>4116000</v>
          </cell>
          <cell r="F47">
            <v>467000</v>
          </cell>
          <cell r="G47">
            <v>1588000</v>
          </cell>
          <cell r="H47">
            <v>0</v>
          </cell>
          <cell r="I47">
            <v>8688000</v>
          </cell>
          <cell r="J47">
            <v>0</v>
          </cell>
          <cell r="K47">
            <v>629250</v>
          </cell>
          <cell r="L47">
            <v>1029000</v>
          </cell>
          <cell r="M47">
            <v>116750</v>
          </cell>
          <cell r="N47">
            <v>397000</v>
          </cell>
          <cell r="O47">
            <v>0</v>
          </cell>
          <cell r="P47">
            <v>2172000</v>
          </cell>
        </row>
        <row r="48">
          <cell r="A48">
            <v>45</v>
          </cell>
          <cell r="B48" t="str">
            <v>アップルナースリー検見川浜保育園</v>
          </cell>
          <cell r="C48">
            <v>0</v>
          </cell>
          <cell r="D48">
            <v>2517000</v>
          </cell>
          <cell r="E48">
            <v>4116000</v>
          </cell>
          <cell r="F48">
            <v>467000</v>
          </cell>
          <cell r="G48">
            <v>1588000</v>
          </cell>
          <cell r="H48">
            <v>0</v>
          </cell>
          <cell r="I48">
            <v>8688000</v>
          </cell>
          <cell r="J48">
            <v>0</v>
          </cell>
          <cell r="K48">
            <v>629250</v>
          </cell>
          <cell r="L48">
            <v>1029000</v>
          </cell>
          <cell r="M48">
            <v>116750</v>
          </cell>
          <cell r="N48">
            <v>397000</v>
          </cell>
          <cell r="O48">
            <v>0</v>
          </cell>
          <cell r="P48">
            <v>2172000</v>
          </cell>
        </row>
        <row r="49">
          <cell r="A49">
            <v>46</v>
          </cell>
        </row>
        <row r="50">
          <cell r="A50">
            <v>47</v>
          </cell>
        </row>
        <row r="51">
          <cell r="A51">
            <v>48</v>
          </cell>
        </row>
        <row r="52">
          <cell r="A52">
            <v>49</v>
          </cell>
        </row>
        <row r="53">
          <cell r="A53">
            <v>50</v>
          </cell>
        </row>
        <row r="54">
          <cell r="B54" t="str">
            <v>この行は使わないこと</v>
          </cell>
        </row>
        <row r="55">
          <cell r="B55" t="str">
            <v>計</v>
          </cell>
          <cell r="C55">
            <v>4675000</v>
          </cell>
          <cell r="D55">
            <v>113265000</v>
          </cell>
          <cell r="E55">
            <v>185220000</v>
          </cell>
          <cell r="F55">
            <v>14477000</v>
          </cell>
          <cell r="G55">
            <v>65329000</v>
          </cell>
          <cell r="H55">
            <v>61152000</v>
          </cell>
          <cell r="I55">
            <v>444118000</v>
          </cell>
          <cell r="J55">
            <v>1168750</v>
          </cell>
          <cell r="K55">
            <v>28316250</v>
          </cell>
          <cell r="L55">
            <v>46305000</v>
          </cell>
          <cell r="M55">
            <v>3619250</v>
          </cell>
          <cell r="N55">
            <v>16332250</v>
          </cell>
          <cell r="O55">
            <v>15288000</v>
          </cell>
          <cell r="P55">
            <v>111029500</v>
          </cell>
        </row>
        <row r="59">
          <cell r="A59">
            <v>1</v>
          </cell>
          <cell r="B59" t="str">
            <v>院内保育園</v>
          </cell>
          <cell r="C59">
            <v>0</v>
          </cell>
          <cell r="D59">
            <v>629250</v>
          </cell>
          <cell r="E59">
            <v>1029000</v>
          </cell>
          <cell r="F59">
            <v>0</v>
          </cell>
          <cell r="G59">
            <v>375500</v>
          </cell>
          <cell r="H59">
            <v>0</v>
          </cell>
          <cell r="I59">
            <v>2033750</v>
          </cell>
          <cell r="J59">
            <v>0</v>
          </cell>
          <cell r="K59">
            <v>629250</v>
          </cell>
          <cell r="L59">
            <v>1029000</v>
          </cell>
          <cell r="M59">
            <v>0</v>
          </cell>
          <cell r="N59">
            <v>375500</v>
          </cell>
          <cell r="O59">
            <v>0</v>
          </cell>
          <cell r="P59">
            <v>2033750</v>
          </cell>
        </row>
        <row r="60">
          <cell r="A60">
            <v>2</v>
          </cell>
          <cell r="B60" t="str">
            <v>旭ケ丘保育園</v>
          </cell>
          <cell r="C60">
            <v>0</v>
          </cell>
          <cell r="D60">
            <v>629250</v>
          </cell>
          <cell r="E60">
            <v>1029000</v>
          </cell>
          <cell r="F60">
            <v>116750</v>
          </cell>
          <cell r="G60">
            <v>397000</v>
          </cell>
          <cell r="H60">
            <v>588000</v>
          </cell>
          <cell r="I60">
            <v>2760000</v>
          </cell>
          <cell r="J60">
            <v>0</v>
          </cell>
          <cell r="K60">
            <v>629250</v>
          </cell>
          <cell r="L60">
            <v>1029000</v>
          </cell>
          <cell r="M60">
            <v>116750</v>
          </cell>
          <cell r="N60">
            <v>397000</v>
          </cell>
          <cell r="O60">
            <v>588000</v>
          </cell>
          <cell r="P60">
            <v>2760000</v>
          </cell>
        </row>
        <row r="61">
          <cell r="A61">
            <v>3</v>
          </cell>
          <cell r="B61" t="str">
            <v>稲毛保育園</v>
          </cell>
          <cell r="C61">
            <v>0</v>
          </cell>
          <cell r="D61">
            <v>629250</v>
          </cell>
          <cell r="E61">
            <v>1029000</v>
          </cell>
          <cell r="F61">
            <v>0</v>
          </cell>
          <cell r="G61">
            <v>397000</v>
          </cell>
          <cell r="H61">
            <v>588000</v>
          </cell>
          <cell r="I61">
            <v>2643250</v>
          </cell>
          <cell r="J61">
            <v>0</v>
          </cell>
          <cell r="K61">
            <v>629250</v>
          </cell>
          <cell r="L61">
            <v>1029000</v>
          </cell>
          <cell r="M61">
            <v>0</v>
          </cell>
          <cell r="N61">
            <v>397000</v>
          </cell>
          <cell r="O61">
            <v>588000</v>
          </cell>
          <cell r="P61">
            <v>2643250</v>
          </cell>
        </row>
        <row r="62">
          <cell r="A62">
            <v>4</v>
          </cell>
          <cell r="B62" t="str">
            <v>みどり学園附属保育園</v>
          </cell>
          <cell r="C62">
            <v>0</v>
          </cell>
          <cell r="D62">
            <v>629250</v>
          </cell>
          <cell r="E62">
            <v>1029000</v>
          </cell>
          <cell r="F62">
            <v>0</v>
          </cell>
          <cell r="G62">
            <v>397000</v>
          </cell>
          <cell r="H62">
            <v>0</v>
          </cell>
          <cell r="I62">
            <v>2055250</v>
          </cell>
          <cell r="J62">
            <v>0</v>
          </cell>
          <cell r="K62">
            <v>629250</v>
          </cell>
          <cell r="L62">
            <v>1029000</v>
          </cell>
          <cell r="M62">
            <v>0</v>
          </cell>
          <cell r="N62">
            <v>397000</v>
          </cell>
          <cell r="O62">
            <v>0</v>
          </cell>
          <cell r="P62">
            <v>2055250</v>
          </cell>
        </row>
        <row r="63">
          <cell r="A63">
            <v>5</v>
          </cell>
          <cell r="B63" t="str">
            <v>ちどり保育園</v>
          </cell>
          <cell r="C63">
            <v>0</v>
          </cell>
          <cell r="D63">
            <v>629250</v>
          </cell>
          <cell r="E63">
            <v>1029000</v>
          </cell>
          <cell r="F63">
            <v>116750</v>
          </cell>
          <cell r="G63">
            <v>396000</v>
          </cell>
          <cell r="H63">
            <v>0</v>
          </cell>
          <cell r="I63">
            <v>2171000</v>
          </cell>
          <cell r="J63">
            <v>0</v>
          </cell>
          <cell r="K63">
            <v>629250</v>
          </cell>
          <cell r="L63">
            <v>1029000</v>
          </cell>
          <cell r="M63">
            <v>116750</v>
          </cell>
          <cell r="N63">
            <v>396000</v>
          </cell>
          <cell r="O63">
            <v>0</v>
          </cell>
          <cell r="P63">
            <v>2171000</v>
          </cell>
        </row>
        <row r="64">
          <cell r="A64">
            <v>6</v>
          </cell>
          <cell r="B64" t="str">
            <v>今井保育園</v>
          </cell>
          <cell r="C64">
            <v>233750</v>
          </cell>
          <cell r="D64">
            <v>629250</v>
          </cell>
          <cell r="E64">
            <v>1029000</v>
          </cell>
          <cell r="F64">
            <v>116750</v>
          </cell>
          <cell r="G64">
            <v>397000</v>
          </cell>
          <cell r="H64">
            <v>588000</v>
          </cell>
          <cell r="I64">
            <v>2993750</v>
          </cell>
          <cell r="J64">
            <v>233750</v>
          </cell>
          <cell r="K64">
            <v>629250</v>
          </cell>
          <cell r="L64">
            <v>1029000</v>
          </cell>
          <cell r="M64">
            <v>116750</v>
          </cell>
          <cell r="N64">
            <v>397000</v>
          </cell>
          <cell r="O64">
            <v>588000</v>
          </cell>
          <cell r="P64">
            <v>2993750</v>
          </cell>
        </row>
        <row r="65">
          <cell r="A65">
            <v>7</v>
          </cell>
          <cell r="B65" t="str">
            <v>若竹保育園</v>
          </cell>
          <cell r="C65">
            <v>0</v>
          </cell>
          <cell r="D65">
            <v>629250</v>
          </cell>
          <cell r="E65">
            <v>1029000</v>
          </cell>
          <cell r="F65">
            <v>116750</v>
          </cell>
          <cell r="G65">
            <v>397000</v>
          </cell>
          <cell r="H65">
            <v>588000</v>
          </cell>
          <cell r="I65">
            <v>2760000</v>
          </cell>
          <cell r="J65">
            <v>0</v>
          </cell>
          <cell r="K65">
            <v>629250</v>
          </cell>
          <cell r="L65">
            <v>1029000</v>
          </cell>
          <cell r="M65">
            <v>116750</v>
          </cell>
          <cell r="N65">
            <v>397000</v>
          </cell>
          <cell r="O65">
            <v>588000</v>
          </cell>
          <cell r="P65">
            <v>2760000</v>
          </cell>
        </row>
        <row r="66">
          <cell r="A66">
            <v>8</v>
          </cell>
          <cell r="B66" t="str">
            <v>千葉寺保育園</v>
          </cell>
          <cell r="C66">
            <v>0</v>
          </cell>
          <cell r="D66">
            <v>629250</v>
          </cell>
          <cell r="E66">
            <v>1029000</v>
          </cell>
          <cell r="F66">
            <v>0</v>
          </cell>
          <cell r="G66">
            <v>397000</v>
          </cell>
          <cell r="H66">
            <v>588000</v>
          </cell>
          <cell r="I66">
            <v>2643250</v>
          </cell>
          <cell r="J66">
            <v>0</v>
          </cell>
          <cell r="K66">
            <v>629250</v>
          </cell>
          <cell r="L66">
            <v>1029000</v>
          </cell>
          <cell r="M66">
            <v>0</v>
          </cell>
          <cell r="N66">
            <v>397000</v>
          </cell>
          <cell r="O66">
            <v>588000</v>
          </cell>
          <cell r="P66">
            <v>2643250</v>
          </cell>
        </row>
        <row r="67">
          <cell r="A67">
            <v>9</v>
          </cell>
          <cell r="B67" t="str">
            <v>慈光保育園</v>
          </cell>
          <cell r="C67">
            <v>0</v>
          </cell>
          <cell r="D67">
            <v>629250</v>
          </cell>
          <cell r="E67">
            <v>1029000</v>
          </cell>
          <cell r="F67">
            <v>116750</v>
          </cell>
          <cell r="G67">
            <v>397000</v>
          </cell>
          <cell r="H67">
            <v>588000</v>
          </cell>
          <cell r="I67">
            <v>2760000</v>
          </cell>
          <cell r="J67">
            <v>0</v>
          </cell>
          <cell r="K67">
            <v>629250</v>
          </cell>
          <cell r="L67">
            <v>1029000</v>
          </cell>
          <cell r="M67">
            <v>116750</v>
          </cell>
          <cell r="N67">
            <v>397000</v>
          </cell>
          <cell r="O67">
            <v>588000</v>
          </cell>
          <cell r="P67">
            <v>2760000</v>
          </cell>
        </row>
        <row r="68">
          <cell r="A68">
            <v>10</v>
          </cell>
          <cell r="B68" t="str">
            <v>若梅保育園</v>
          </cell>
          <cell r="C68">
            <v>0</v>
          </cell>
          <cell r="D68">
            <v>629250</v>
          </cell>
          <cell r="E68">
            <v>1029000</v>
          </cell>
          <cell r="F68">
            <v>116750</v>
          </cell>
          <cell r="G68">
            <v>397000</v>
          </cell>
          <cell r="H68">
            <v>588000</v>
          </cell>
          <cell r="I68">
            <v>2760000</v>
          </cell>
          <cell r="J68">
            <v>0</v>
          </cell>
          <cell r="K68">
            <v>629250</v>
          </cell>
          <cell r="L68">
            <v>1029000</v>
          </cell>
          <cell r="M68">
            <v>116750</v>
          </cell>
          <cell r="N68">
            <v>397000</v>
          </cell>
          <cell r="O68">
            <v>588000</v>
          </cell>
          <cell r="P68">
            <v>2760000</v>
          </cell>
        </row>
        <row r="69">
          <cell r="A69">
            <v>11</v>
          </cell>
          <cell r="B69" t="str">
            <v>チューリップ保育園</v>
          </cell>
          <cell r="C69">
            <v>0</v>
          </cell>
          <cell r="D69">
            <v>629250</v>
          </cell>
          <cell r="E69">
            <v>1029000</v>
          </cell>
          <cell r="F69">
            <v>0</v>
          </cell>
          <cell r="G69">
            <v>269250</v>
          </cell>
          <cell r="H69">
            <v>588000</v>
          </cell>
          <cell r="I69">
            <v>2515500</v>
          </cell>
          <cell r="J69">
            <v>0</v>
          </cell>
          <cell r="K69">
            <v>629250</v>
          </cell>
          <cell r="L69">
            <v>1029000</v>
          </cell>
          <cell r="M69">
            <v>0</v>
          </cell>
          <cell r="N69">
            <v>269250</v>
          </cell>
          <cell r="O69">
            <v>588000</v>
          </cell>
          <cell r="P69">
            <v>2515500</v>
          </cell>
        </row>
        <row r="70">
          <cell r="A70">
            <v>12</v>
          </cell>
          <cell r="B70" t="str">
            <v>幕張海浜保育園</v>
          </cell>
          <cell r="C70">
            <v>0</v>
          </cell>
          <cell r="D70">
            <v>629250</v>
          </cell>
          <cell r="E70">
            <v>1029000</v>
          </cell>
          <cell r="F70">
            <v>116750</v>
          </cell>
          <cell r="G70">
            <v>397000</v>
          </cell>
          <cell r="H70">
            <v>0</v>
          </cell>
          <cell r="I70">
            <v>2172000</v>
          </cell>
          <cell r="J70">
            <v>0</v>
          </cell>
          <cell r="K70">
            <v>629250</v>
          </cell>
          <cell r="L70">
            <v>1029000</v>
          </cell>
          <cell r="M70">
            <v>116750</v>
          </cell>
          <cell r="N70">
            <v>397000</v>
          </cell>
          <cell r="O70">
            <v>0</v>
          </cell>
          <cell r="P70">
            <v>2172000</v>
          </cell>
        </row>
        <row r="71">
          <cell r="A71">
            <v>13</v>
          </cell>
          <cell r="B71" t="str">
            <v>みつわ台保育園</v>
          </cell>
          <cell r="C71">
            <v>0</v>
          </cell>
          <cell r="D71">
            <v>629250</v>
          </cell>
          <cell r="E71">
            <v>1029000</v>
          </cell>
          <cell r="F71">
            <v>116750</v>
          </cell>
          <cell r="G71">
            <v>397000</v>
          </cell>
          <cell r="H71">
            <v>1764000</v>
          </cell>
          <cell r="I71">
            <v>3936000</v>
          </cell>
          <cell r="J71">
            <v>0</v>
          </cell>
          <cell r="K71">
            <v>629250</v>
          </cell>
          <cell r="L71">
            <v>1029000</v>
          </cell>
          <cell r="M71">
            <v>116750</v>
          </cell>
          <cell r="N71">
            <v>397000</v>
          </cell>
          <cell r="O71">
            <v>1764000</v>
          </cell>
          <cell r="P71">
            <v>3936000</v>
          </cell>
        </row>
        <row r="72">
          <cell r="A72">
            <v>14</v>
          </cell>
          <cell r="B72" t="str">
            <v>まどか保育園</v>
          </cell>
          <cell r="C72">
            <v>0</v>
          </cell>
          <cell r="D72">
            <v>629250</v>
          </cell>
          <cell r="E72">
            <v>1029000</v>
          </cell>
          <cell r="F72">
            <v>116750</v>
          </cell>
          <cell r="G72">
            <v>397000</v>
          </cell>
          <cell r="H72">
            <v>0</v>
          </cell>
          <cell r="I72">
            <v>2172000</v>
          </cell>
          <cell r="J72">
            <v>0</v>
          </cell>
          <cell r="K72">
            <v>629250</v>
          </cell>
          <cell r="L72">
            <v>1029000</v>
          </cell>
          <cell r="M72">
            <v>116750</v>
          </cell>
          <cell r="N72">
            <v>397000</v>
          </cell>
          <cell r="O72">
            <v>0</v>
          </cell>
          <cell r="P72">
            <v>2172000</v>
          </cell>
        </row>
        <row r="73">
          <cell r="A73">
            <v>15</v>
          </cell>
          <cell r="B73" t="str">
            <v>わかくさ保育園</v>
          </cell>
          <cell r="C73">
            <v>0</v>
          </cell>
          <cell r="D73">
            <v>629250</v>
          </cell>
          <cell r="E73">
            <v>1029000</v>
          </cell>
          <cell r="F73">
            <v>116750</v>
          </cell>
          <cell r="G73">
            <v>397000</v>
          </cell>
          <cell r="H73">
            <v>0</v>
          </cell>
          <cell r="I73">
            <v>2172000</v>
          </cell>
          <cell r="J73">
            <v>0</v>
          </cell>
          <cell r="K73">
            <v>629250</v>
          </cell>
          <cell r="L73">
            <v>1029000</v>
          </cell>
          <cell r="M73">
            <v>116750</v>
          </cell>
          <cell r="N73">
            <v>397000</v>
          </cell>
          <cell r="O73">
            <v>0</v>
          </cell>
          <cell r="P73">
            <v>2172000</v>
          </cell>
        </row>
        <row r="74">
          <cell r="A74">
            <v>16</v>
          </cell>
          <cell r="B74" t="str">
            <v>たいよう保育園</v>
          </cell>
          <cell r="C74">
            <v>0</v>
          </cell>
          <cell r="D74">
            <v>629250</v>
          </cell>
          <cell r="E74">
            <v>1029000</v>
          </cell>
          <cell r="F74">
            <v>116750</v>
          </cell>
          <cell r="G74">
            <v>397000</v>
          </cell>
          <cell r="H74">
            <v>0</v>
          </cell>
          <cell r="I74">
            <v>2172000</v>
          </cell>
          <cell r="J74">
            <v>0</v>
          </cell>
          <cell r="K74">
            <v>629250</v>
          </cell>
          <cell r="L74">
            <v>1029000</v>
          </cell>
          <cell r="M74">
            <v>116750</v>
          </cell>
          <cell r="N74">
            <v>397000</v>
          </cell>
          <cell r="O74">
            <v>0</v>
          </cell>
          <cell r="P74">
            <v>2172000</v>
          </cell>
        </row>
        <row r="75">
          <cell r="A75">
            <v>17</v>
          </cell>
          <cell r="B75" t="str">
            <v>松ケ丘保育園</v>
          </cell>
          <cell r="C75">
            <v>0</v>
          </cell>
          <cell r="D75">
            <v>629250</v>
          </cell>
          <cell r="E75">
            <v>1029000</v>
          </cell>
          <cell r="F75">
            <v>116750</v>
          </cell>
          <cell r="G75">
            <v>322000</v>
          </cell>
          <cell r="H75">
            <v>588000</v>
          </cell>
          <cell r="I75">
            <v>2685000</v>
          </cell>
          <cell r="J75">
            <v>0</v>
          </cell>
          <cell r="K75">
            <v>629250</v>
          </cell>
          <cell r="L75">
            <v>1029000</v>
          </cell>
          <cell r="M75">
            <v>116750</v>
          </cell>
          <cell r="N75">
            <v>322000</v>
          </cell>
          <cell r="O75">
            <v>588000</v>
          </cell>
          <cell r="P75">
            <v>2685000</v>
          </cell>
        </row>
        <row r="76">
          <cell r="A76">
            <v>18</v>
          </cell>
          <cell r="B76" t="str">
            <v>作草部保育園</v>
          </cell>
          <cell r="C76">
            <v>0</v>
          </cell>
          <cell r="D76">
            <v>629250</v>
          </cell>
          <cell r="E76">
            <v>1029000</v>
          </cell>
          <cell r="F76">
            <v>116750</v>
          </cell>
          <cell r="G76">
            <v>397000</v>
          </cell>
          <cell r="H76">
            <v>588000</v>
          </cell>
          <cell r="I76">
            <v>2760000</v>
          </cell>
          <cell r="J76">
            <v>0</v>
          </cell>
          <cell r="K76">
            <v>629250</v>
          </cell>
          <cell r="L76">
            <v>1029000</v>
          </cell>
          <cell r="M76">
            <v>116750</v>
          </cell>
          <cell r="N76">
            <v>397000</v>
          </cell>
          <cell r="O76">
            <v>588000</v>
          </cell>
          <cell r="P76">
            <v>2760000</v>
          </cell>
        </row>
        <row r="77">
          <cell r="A77">
            <v>19</v>
          </cell>
          <cell r="B77" t="str">
            <v>すずらん保育園</v>
          </cell>
          <cell r="C77">
            <v>0</v>
          </cell>
          <cell r="D77">
            <v>629250</v>
          </cell>
          <cell r="E77">
            <v>1029000</v>
          </cell>
          <cell r="F77">
            <v>116750</v>
          </cell>
          <cell r="G77">
            <v>397000</v>
          </cell>
          <cell r="H77">
            <v>588000</v>
          </cell>
          <cell r="I77">
            <v>2760000</v>
          </cell>
          <cell r="J77">
            <v>0</v>
          </cell>
          <cell r="K77">
            <v>629250</v>
          </cell>
          <cell r="L77">
            <v>1029000</v>
          </cell>
          <cell r="M77">
            <v>116750</v>
          </cell>
          <cell r="N77">
            <v>397000</v>
          </cell>
          <cell r="O77">
            <v>588000</v>
          </cell>
          <cell r="P77">
            <v>2760000</v>
          </cell>
        </row>
        <row r="78">
          <cell r="A78">
            <v>20</v>
          </cell>
          <cell r="B78" t="str">
            <v>なぎさ保育園</v>
          </cell>
          <cell r="C78">
            <v>0</v>
          </cell>
          <cell r="D78">
            <v>629250</v>
          </cell>
          <cell r="E78">
            <v>1029000</v>
          </cell>
          <cell r="F78">
            <v>116750</v>
          </cell>
          <cell r="G78">
            <v>397000</v>
          </cell>
          <cell r="H78">
            <v>0</v>
          </cell>
          <cell r="I78">
            <v>2172000</v>
          </cell>
          <cell r="J78">
            <v>0</v>
          </cell>
          <cell r="K78">
            <v>629250</v>
          </cell>
          <cell r="L78">
            <v>1029000</v>
          </cell>
          <cell r="M78">
            <v>116750</v>
          </cell>
          <cell r="N78">
            <v>397000</v>
          </cell>
          <cell r="O78">
            <v>0</v>
          </cell>
          <cell r="P78">
            <v>2172000</v>
          </cell>
        </row>
        <row r="79">
          <cell r="A79">
            <v>21</v>
          </cell>
          <cell r="B79" t="str">
            <v>南小中台保育園</v>
          </cell>
          <cell r="C79">
            <v>0</v>
          </cell>
          <cell r="D79">
            <v>629250</v>
          </cell>
          <cell r="E79">
            <v>1029000</v>
          </cell>
          <cell r="F79">
            <v>116750</v>
          </cell>
          <cell r="G79">
            <v>397000</v>
          </cell>
          <cell r="H79">
            <v>588000</v>
          </cell>
          <cell r="I79">
            <v>2760000</v>
          </cell>
          <cell r="J79">
            <v>0</v>
          </cell>
          <cell r="K79">
            <v>629250</v>
          </cell>
          <cell r="L79">
            <v>1029000</v>
          </cell>
          <cell r="M79">
            <v>116750</v>
          </cell>
          <cell r="N79">
            <v>397000</v>
          </cell>
          <cell r="O79">
            <v>588000</v>
          </cell>
          <cell r="P79">
            <v>2760000</v>
          </cell>
        </row>
        <row r="80">
          <cell r="A80">
            <v>22</v>
          </cell>
          <cell r="B80" t="str">
            <v>もみじ保育園</v>
          </cell>
          <cell r="C80">
            <v>0</v>
          </cell>
          <cell r="D80">
            <v>629250</v>
          </cell>
          <cell r="E80">
            <v>1029000</v>
          </cell>
          <cell r="F80">
            <v>0</v>
          </cell>
          <cell r="G80">
            <v>397000</v>
          </cell>
          <cell r="H80">
            <v>588000</v>
          </cell>
          <cell r="I80">
            <v>2643250</v>
          </cell>
          <cell r="J80">
            <v>0</v>
          </cell>
          <cell r="K80">
            <v>629250</v>
          </cell>
          <cell r="L80">
            <v>1029000</v>
          </cell>
          <cell r="M80">
            <v>0</v>
          </cell>
          <cell r="N80">
            <v>397000</v>
          </cell>
          <cell r="O80">
            <v>588000</v>
          </cell>
          <cell r="P80">
            <v>2643250</v>
          </cell>
        </row>
        <row r="81">
          <cell r="A81">
            <v>23</v>
          </cell>
          <cell r="B81" t="str">
            <v>おゆみ野保育園</v>
          </cell>
          <cell r="C81">
            <v>0</v>
          </cell>
          <cell r="D81">
            <v>629250</v>
          </cell>
          <cell r="E81">
            <v>1029000</v>
          </cell>
          <cell r="F81">
            <v>116750</v>
          </cell>
          <cell r="G81">
            <v>397000</v>
          </cell>
          <cell r="H81">
            <v>588000</v>
          </cell>
          <cell r="I81">
            <v>2760000</v>
          </cell>
          <cell r="J81">
            <v>0</v>
          </cell>
          <cell r="K81">
            <v>629250</v>
          </cell>
          <cell r="L81">
            <v>1029000</v>
          </cell>
          <cell r="M81">
            <v>116750</v>
          </cell>
          <cell r="N81">
            <v>397000</v>
          </cell>
          <cell r="O81">
            <v>588000</v>
          </cell>
          <cell r="P81">
            <v>2760000</v>
          </cell>
        </row>
        <row r="82">
          <cell r="A82">
            <v>24</v>
          </cell>
          <cell r="B82" t="str">
            <v>ナーセリー鏡戸</v>
          </cell>
          <cell r="C82">
            <v>233750</v>
          </cell>
          <cell r="D82">
            <v>629250</v>
          </cell>
          <cell r="E82">
            <v>1029000</v>
          </cell>
          <cell r="F82">
            <v>116750</v>
          </cell>
          <cell r="G82">
            <v>397000</v>
          </cell>
          <cell r="H82">
            <v>0</v>
          </cell>
          <cell r="I82">
            <v>2405750</v>
          </cell>
          <cell r="J82">
            <v>233750</v>
          </cell>
          <cell r="K82">
            <v>629250</v>
          </cell>
          <cell r="L82">
            <v>1029000</v>
          </cell>
          <cell r="M82">
            <v>116750</v>
          </cell>
          <cell r="N82">
            <v>397000</v>
          </cell>
          <cell r="O82">
            <v>0</v>
          </cell>
          <cell r="P82">
            <v>2405750</v>
          </cell>
        </row>
        <row r="83">
          <cell r="A83">
            <v>25</v>
          </cell>
          <cell r="B83" t="str">
            <v>打瀬保育園</v>
          </cell>
          <cell r="C83">
            <v>0</v>
          </cell>
          <cell r="D83">
            <v>629250</v>
          </cell>
          <cell r="E83">
            <v>1029000</v>
          </cell>
          <cell r="F83">
            <v>116750</v>
          </cell>
          <cell r="G83">
            <v>397000</v>
          </cell>
          <cell r="H83">
            <v>0</v>
          </cell>
          <cell r="I83">
            <v>2172000</v>
          </cell>
          <cell r="J83">
            <v>0</v>
          </cell>
          <cell r="K83">
            <v>629250</v>
          </cell>
          <cell r="L83">
            <v>1029000</v>
          </cell>
          <cell r="M83">
            <v>116750</v>
          </cell>
          <cell r="N83">
            <v>397000</v>
          </cell>
          <cell r="O83">
            <v>0</v>
          </cell>
          <cell r="P83">
            <v>2172000</v>
          </cell>
        </row>
        <row r="84">
          <cell r="A84">
            <v>26</v>
          </cell>
          <cell r="B84" t="str">
            <v>ふたば保育園</v>
          </cell>
          <cell r="C84">
            <v>0</v>
          </cell>
          <cell r="D84">
            <v>629250</v>
          </cell>
          <cell r="E84">
            <v>1029000</v>
          </cell>
          <cell r="F84">
            <v>116750</v>
          </cell>
          <cell r="G84">
            <v>397000</v>
          </cell>
          <cell r="H84">
            <v>1176000</v>
          </cell>
          <cell r="I84">
            <v>3348000</v>
          </cell>
          <cell r="J84">
            <v>0</v>
          </cell>
          <cell r="K84">
            <v>629250</v>
          </cell>
          <cell r="L84">
            <v>1029000</v>
          </cell>
          <cell r="M84">
            <v>116750</v>
          </cell>
          <cell r="N84">
            <v>397000</v>
          </cell>
          <cell r="O84">
            <v>1176000</v>
          </cell>
          <cell r="P84">
            <v>3348000</v>
          </cell>
        </row>
        <row r="85">
          <cell r="A85">
            <v>27</v>
          </cell>
          <cell r="B85" t="str">
            <v>明和輝保育園</v>
          </cell>
          <cell r="C85">
            <v>233750</v>
          </cell>
          <cell r="D85">
            <v>629250</v>
          </cell>
          <cell r="E85">
            <v>1029000</v>
          </cell>
          <cell r="F85">
            <v>0</v>
          </cell>
          <cell r="G85">
            <v>397000</v>
          </cell>
          <cell r="H85">
            <v>588000</v>
          </cell>
          <cell r="I85">
            <v>2877000</v>
          </cell>
          <cell r="J85">
            <v>233750</v>
          </cell>
          <cell r="K85">
            <v>629250</v>
          </cell>
          <cell r="L85">
            <v>1029000</v>
          </cell>
          <cell r="M85">
            <v>0</v>
          </cell>
          <cell r="N85">
            <v>397000</v>
          </cell>
          <cell r="O85">
            <v>588000</v>
          </cell>
          <cell r="P85">
            <v>2877000</v>
          </cell>
        </row>
        <row r="86">
          <cell r="A86">
            <v>28</v>
          </cell>
          <cell r="B86" t="str">
            <v>山王保育園</v>
          </cell>
          <cell r="C86">
            <v>0</v>
          </cell>
          <cell r="D86">
            <v>629250</v>
          </cell>
          <cell r="E86">
            <v>1029000</v>
          </cell>
          <cell r="F86">
            <v>116750</v>
          </cell>
          <cell r="G86">
            <v>397000</v>
          </cell>
          <cell r="H86">
            <v>0</v>
          </cell>
          <cell r="I86">
            <v>2172000</v>
          </cell>
          <cell r="J86">
            <v>0</v>
          </cell>
          <cell r="K86">
            <v>629250</v>
          </cell>
          <cell r="L86">
            <v>1029000</v>
          </cell>
          <cell r="M86">
            <v>116750</v>
          </cell>
          <cell r="N86">
            <v>397000</v>
          </cell>
          <cell r="O86">
            <v>0</v>
          </cell>
          <cell r="P86">
            <v>2172000</v>
          </cell>
        </row>
        <row r="87">
          <cell r="A87">
            <v>29</v>
          </cell>
          <cell r="B87" t="str">
            <v>チャイルド・ガーデン保育園</v>
          </cell>
          <cell r="C87">
            <v>0</v>
          </cell>
          <cell r="D87">
            <v>629250</v>
          </cell>
          <cell r="E87">
            <v>1029000</v>
          </cell>
          <cell r="F87">
            <v>0</v>
          </cell>
          <cell r="G87">
            <v>397000</v>
          </cell>
          <cell r="H87">
            <v>0</v>
          </cell>
          <cell r="I87">
            <v>2055250</v>
          </cell>
          <cell r="J87">
            <v>0</v>
          </cell>
          <cell r="K87">
            <v>629250</v>
          </cell>
          <cell r="L87">
            <v>1029000</v>
          </cell>
          <cell r="M87">
            <v>0</v>
          </cell>
          <cell r="N87">
            <v>397000</v>
          </cell>
          <cell r="O87">
            <v>0</v>
          </cell>
          <cell r="P87">
            <v>2055250</v>
          </cell>
        </row>
        <row r="88">
          <cell r="A88">
            <v>30</v>
          </cell>
          <cell r="B88" t="str">
            <v>明徳土気保育園</v>
          </cell>
          <cell r="C88">
            <v>0</v>
          </cell>
          <cell r="D88">
            <v>629250</v>
          </cell>
          <cell r="E88">
            <v>1029000</v>
          </cell>
          <cell r="F88">
            <v>116750</v>
          </cell>
          <cell r="G88">
            <v>397000</v>
          </cell>
          <cell r="H88">
            <v>1176000</v>
          </cell>
          <cell r="I88">
            <v>3348000</v>
          </cell>
          <cell r="J88">
            <v>0</v>
          </cell>
          <cell r="K88">
            <v>629250</v>
          </cell>
          <cell r="L88">
            <v>1029000</v>
          </cell>
          <cell r="M88">
            <v>116750</v>
          </cell>
          <cell r="N88">
            <v>397000</v>
          </cell>
          <cell r="O88">
            <v>1176000</v>
          </cell>
          <cell r="P88">
            <v>3348000</v>
          </cell>
        </row>
        <row r="89">
          <cell r="A89">
            <v>31</v>
          </cell>
          <cell r="B89" t="str">
            <v>グレース保育園</v>
          </cell>
          <cell r="C89">
            <v>0</v>
          </cell>
          <cell r="D89">
            <v>629250</v>
          </cell>
          <cell r="E89">
            <v>1029000</v>
          </cell>
          <cell r="F89">
            <v>0</v>
          </cell>
          <cell r="G89">
            <v>397000</v>
          </cell>
          <cell r="H89">
            <v>588000</v>
          </cell>
          <cell r="I89">
            <v>2643250</v>
          </cell>
          <cell r="J89">
            <v>0</v>
          </cell>
          <cell r="K89">
            <v>629250</v>
          </cell>
          <cell r="L89">
            <v>1029000</v>
          </cell>
          <cell r="M89">
            <v>0</v>
          </cell>
          <cell r="N89">
            <v>397000</v>
          </cell>
          <cell r="O89">
            <v>588000</v>
          </cell>
          <cell r="P89">
            <v>2643250</v>
          </cell>
        </row>
        <row r="90">
          <cell r="A90">
            <v>32</v>
          </cell>
          <cell r="B90" t="str">
            <v>みらい保育園</v>
          </cell>
          <cell r="C90">
            <v>0</v>
          </cell>
          <cell r="D90">
            <v>629250</v>
          </cell>
          <cell r="E90">
            <v>1029000</v>
          </cell>
          <cell r="F90">
            <v>0</v>
          </cell>
          <cell r="G90">
            <v>397000</v>
          </cell>
          <cell r="H90">
            <v>588000</v>
          </cell>
          <cell r="I90">
            <v>2643250</v>
          </cell>
          <cell r="J90">
            <v>0</v>
          </cell>
          <cell r="K90">
            <v>629250</v>
          </cell>
          <cell r="L90">
            <v>1029000</v>
          </cell>
          <cell r="M90">
            <v>0</v>
          </cell>
          <cell r="N90">
            <v>397000</v>
          </cell>
          <cell r="O90">
            <v>588000</v>
          </cell>
          <cell r="P90">
            <v>2643250</v>
          </cell>
        </row>
        <row r="91">
          <cell r="A91">
            <v>33</v>
          </cell>
          <cell r="B91" t="str">
            <v>かまとり保育園</v>
          </cell>
          <cell r="C91">
            <v>0</v>
          </cell>
          <cell r="D91">
            <v>629250</v>
          </cell>
          <cell r="E91">
            <v>1029000</v>
          </cell>
          <cell r="F91">
            <v>0</v>
          </cell>
          <cell r="G91">
            <v>397000</v>
          </cell>
          <cell r="H91">
            <v>588000</v>
          </cell>
          <cell r="I91">
            <v>2643250</v>
          </cell>
          <cell r="J91">
            <v>0</v>
          </cell>
          <cell r="K91">
            <v>629250</v>
          </cell>
          <cell r="L91">
            <v>1029000</v>
          </cell>
          <cell r="M91">
            <v>0</v>
          </cell>
          <cell r="N91">
            <v>397000</v>
          </cell>
          <cell r="O91">
            <v>588000</v>
          </cell>
          <cell r="P91">
            <v>2643250</v>
          </cell>
        </row>
        <row r="92">
          <cell r="A92">
            <v>34</v>
          </cell>
          <cell r="B92" t="str">
            <v>植草弁天保育園</v>
          </cell>
          <cell r="C92">
            <v>233750</v>
          </cell>
          <cell r="D92">
            <v>629250</v>
          </cell>
          <cell r="E92">
            <v>1029000</v>
          </cell>
          <cell r="F92">
            <v>116750</v>
          </cell>
          <cell r="G92">
            <v>397000</v>
          </cell>
          <cell r="H92">
            <v>0</v>
          </cell>
          <cell r="I92">
            <v>2405750</v>
          </cell>
          <cell r="J92">
            <v>233750</v>
          </cell>
          <cell r="K92">
            <v>629250</v>
          </cell>
          <cell r="L92">
            <v>1029000</v>
          </cell>
          <cell r="M92">
            <v>116750</v>
          </cell>
          <cell r="N92">
            <v>397000</v>
          </cell>
          <cell r="O92">
            <v>0</v>
          </cell>
          <cell r="P92">
            <v>2405750</v>
          </cell>
        </row>
        <row r="93">
          <cell r="A93">
            <v>35</v>
          </cell>
          <cell r="B93" t="str">
            <v>ひなたぼっこ保育園</v>
          </cell>
          <cell r="C93">
            <v>0</v>
          </cell>
          <cell r="D93">
            <v>629250</v>
          </cell>
          <cell r="E93">
            <v>1029000</v>
          </cell>
          <cell r="F93">
            <v>116750</v>
          </cell>
          <cell r="G93">
            <v>397000</v>
          </cell>
          <cell r="H93">
            <v>0</v>
          </cell>
          <cell r="I93">
            <v>2172000</v>
          </cell>
          <cell r="J93">
            <v>0</v>
          </cell>
          <cell r="K93">
            <v>629250</v>
          </cell>
          <cell r="L93">
            <v>1029000</v>
          </cell>
          <cell r="M93">
            <v>116750</v>
          </cell>
          <cell r="N93">
            <v>397000</v>
          </cell>
          <cell r="O93">
            <v>0</v>
          </cell>
          <cell r="P93">
            <v>2172000</v>
          </cell>
        </row>
        <row r="94">
          <cell r="A94">
            <v>36</v>
          </cell>
          <cell r="B94" t="str">
            <v>はまかぜ保育園</v>
          </cell>
          <cell r="C94">
            <v>0</v>
          </cell>
          <cell r="D94">
            <v>629250</v>
          </cell>
          <cell r="E94">
            <v>1029000</v>
          </cell>
          <cell r="F94">
            <v>116750</v>
          </cell>
          <cell r="G94">
            <v>397000</v>
          </cell>
          <cell r="H94">
            <v>0</v>
          </cell>
          <cell r="I94">
            <v>2172000</v>
          </cell>
          <cell r="J94">
            <v>0</v>
          </cell>
          <cell r="K94">
            <v>629250</v>
          </cell>
          <cell r="L94">
            <v>1029000</v>
          </cell>
          <cell r="M94">
            <v>116750</v>
          </cell>
          <cell r="N94">
            <v>397000</v>
          </cell>
          <cell r="O94">
            <v>0</v>
          </cell>
          <cell r="P94">
            <v>2172000</v>
          </cell>
        </row>
        <row r="95">
          <cell r="A95">
            <v>37</v>
          </cell>
          <cell r="B95" t="str">
            <v>いなほ保育園</v>
          </cell>
          <cell r="C95">
            <v>0</v>
          </cell>
          <cell r="D95">
            <v>629250</v>
          </cell>
          <cell r="E95">
            <v>1029000</v>
          </cell>
          <cell r="F95">
            <v>116750</v>
          </cell>
          <cell r="G95">
            <v>397000</v>
          </cell>
          <cell r="H95">
            <v>0</v>
          </cell>
          <cell r="I95">
            <v>2172000</v>
          </cell>
          <cell r="J95">
            <v>0</v>
          </cell>
          <cell r="K95">
            <v>629250</v>
          </cell>
          <cell r="L95">
            <v>1029000</v>
          </cell>
          <cell r="M95">
            <v>116750</v>
          </cell>
          <cell r="N95">
            <v>397000</v>
          </cell>
          <cell r="O95">
            <v>0</v>
          </cell>
          <cell r="P95">
            <v>2172000</v>
          </cell>
        </row>
        <row r="96">
          <cell r="A96">
            <v>38</v>
          </cell>
          <cell r="B96" t="str">
            <v>キッズマーム保育園</v>
          </cell>
          <cell r="C96">
            <v>0</v>
          </cell>
          <cell r="D96">
            <v>629250</v>
          </cell>
          <cell r="E96">
            <v>1029000</v>
          </cell>
          <cell r="F96">
            <v>0</v>
          </cell>
          <cell r="G96">
            <v>397000</v>
          </cell>
          <cell r="H96">
            <v>588000</v>
          </cell>
          <cell r="I96">
            <v>2643250</v>
          </cell>
          <cell r="J96">
            <v>0</v>
          </cell>
          <cell r="K96">
            <v>629250</v>
          </cell>
          <cell r="L96">
            <v>1029000</v>
          </cell>
          <cell r="M96">
            <v>0</v>
          </cell>
          <cell r="N96">
            <v>397000</v>
          </cell>
          <cell r="O96">
            <v>588000</v>
          </cell>
          <cell r="P96">
            <v>2643250</v>
          </cell>
        </row>
        <row r="97">
          <cell r="A97">
            <v>39</v>
          </cell>
          <cell r="B97" t="str">
            <v>アスク海浜幕張保育園</v>
          </cell>
          <cell r="C97">
            <v>0</v>
          </cell>
          <cell r="D97">
            <v>629250</v>
          </cell>
          <cell r="E97">
            <v>1029000</v>
          </cell>
          <cell r="F97">
            <v>116750</v>
          </cell>
          <cell r="G97">
            <v>0</v>
          </cell>
          <cell r="H97">
            <v>0</v>
          </cell>
          <cell r="I97">
            <v>1775000</v>
          </cell>
          <cell r="J97">
            <v>0</v>
          </cell>
          <cell r="K97">
            <v>629250</v>
          </cell>
          <cell r="L97">
            <v>1029000</v>
          </cell>
          <cell r="M97">
            <v>116750</v>
          </cell>
          <cell r="N97">
            <v>0</v>
          </cell>
          <cell r="O97">
            <v>0</v>
          </cell>
          <cell r="P97">
            <v>1775000</v>
          </cell>
        </row>
        <row r="98">
          <cell r="A98">
            <v>40</v>
          </cell>
          <cell r="B98" t="str">
            <v>明徳浜野駅保育園</v>
          </cell>
          <cell r="C98">
            <v>0</v>
          </cell>
          <cell r="D98">
            <v>629250</v>
          </cell>
          <cell r="E98">
            <v>1029000</v>
          </cell>
          <cell r="F98">
            <v>0</v>
          </cell>
          <cell r="G98">
            <v>397000</v>
          </cell>
          <cell r="H98">
            <v>0</v>
          </cell>
          <cell r="I98">
            <v>2055250</v>
          </cell>
          <cell r="J98">
            <v>0</v>
          </cell>
          <cell r="K98">
            <v>629250</v>
          </cell>
          <cell r="L98">
            <v>1029000</v>
          </cell>
          <cell r="M98">
            <v>0</v>
          </cell>
          <cell r="N98">
            <v>397000</v>
          </cell>
          <cell r="O98">
            <v>0</v>
          </cell>
          <cell r="P98">
            <v>2055250</v>
          </cell>
        </row>
        <row r="99">
          <cell r="A99">
            <v>41</v>
          </cell>
          <cell r="B99" t="str">
            <v>幕張いもっこ保育園</v>
          </cell>
          <cell r="C99">
            <v>0</v>
          </cell>
          <cell r="D99">
            <v>629250</v>
          </cell>
          <cell r="E99">
            <v>1029000</v>
          </cell>
          <cell r="F99">
            <v>116750</v>
          </cell>
          <cell r="G99">
            <v>280500</v>
          </cell>
          <cell r="H99">
            <v>0</v>
          </cell>
          <cell r="I99">
            <v>2055500</v>
          </cell>
          <cell r="J99">
            <v>0</v>
          </cell>
          <cell r="K99">
            <v>629250</v>
          </cell>
          <cell r="L99">
            <v>1029000</v>
          </cell>
          <cell r="M99">
            <v>116750</v>
          </cell>
          <cell r="N99">
            <v>280500</v>
          </cell>
          <cell r="O99">
            <v>0</v>
          </cell>
          <cell r="P99">
            <v>2055500</v>
          </cell>
        </row>
        <row r="100">
          <cell r="A100">
            <v>42</v>
          </cell>
          <cell r="B100" t="str">
            <v>稲毛すきっぷ保育園</v>
          </cell>
          <cell r="C100">
            <v>0</v>
          </cell>
          <cell r="D100">
            <v>629250</v>
          </cell>
          <cell r="E100">
            <v>1029000</v>
          </cell>
          <cell r="F100">
            <v>116750</v>
          </cell>
          <cell r="G100">
            <v>0</v>
          </cell>
          <cell r="H100">
            <v>0</v>
          </cell>
          <cell r="I100">
            <v>1775000</v>
          </cell>
          <cell r="J100">
            <v>0</v>
          </cell>
          <cell r="K100">
            <v>629250</v>
          </cell>
          <cell r="L100">
            <v>1029000</v>
          </cell>
          <cell r="M100">
            <v>116750</v>
          </cell>
          <cell r="N100">
            <v>0</v>
          </cell>
          <cell r="O100">
            <v>0</v>
          </cell>
          <cell r="P100">
            <v>1775000</v>
          </cell>
        </row>
        <row r="101">
          <cell r="A101">
            <v>43</v>
          </cell>
          <cell r="B101" t="str">
            <v>千葉聖心保育園</v>
          </cell>
          <cell r="C101">
            <v>233750</v>
          </cell>
          <cell r="D101">
            <v>629250</v>
          </cell>
          <cell r="E101">
            <v>1029000</v>
          </cell>
          <cell r="F101">
            <v>0</v>
          </cell>
          <cell r="G101">
            <v>0</v>
          </cell>
          <cell r="H101">
            <v>0</v>
          </cell>
          <cell r="I101">
            <v>1892000</v>
          </cell>
          <cell r="J101">
            <v>233750</v>
          </cell>
          <cell r="K101">
            <v>629250</v>
          </cell>
          <cell r="L101">
            <v>1029000</v>
          </cell>
          <cell r="M101">
            <v>0</v>
          </cell>
          <cell r="N101">
            <v>0</v>
          </cell>
          <cell r="O101">
            <v>0</v>
          </cell>
          <cell r="P101">
            <v>1892000</v>
          </cell>
        </row>
        <row r="102">
          <cell r="A102">
            <v>44</v>
          </cell>
          <cell r="B102" t="str">
            <v>真生保育園</v>
          </cell>
          <cell r="C102">
            <v>0</v>
          </cell>
          <cell r="D102">
            <v>629250</v>
          </cell>
          <cell r="E102">
            <v>1029000</v>
          </cell>
          <cell r="F102">
            <v>116750</v>
          </cell>
          <cell r="G102">
            <v>397000</v>
          </cell>
          <cell r="H102">
            <v>0</v>
          </cell>
          <cell r="I102">
            <v>2172000</v>
          </cell>
          <cell r="J102">
            <v>0</v>
          </cell>
          <cell r="K102">
            <v>629250</v>
          </cell>
          <cell r="L102">
            <v>1029000</v>
          </cell>
          <cell r="M102">
            <v>116750</v>
          </cell>
          <cell r="N102">
            <v>397000</v>
          </cell>
          <cell r="O102">
            <v>0</v>
          </cell>
          <cell r="P102">
            <v>2172000</v>
          </cell>
        </row>
        <row r="103">
          <cell r="A103">
            <v>45</v>
          </cell>
          <cell r="B103" t="str">
            <v>アップルナースリー検見川浜保育園</v>
          </cell>
          <cell r="C103">
            <v>0</v>
          </cell>
          <cell r="D103">
            <v>629250</v>
          </cell>
          <cell r="E103">
            <v>1029000</v>
          </cell>
          <cell r="F103">
            <v>116750</v>
          </cell>
          <cell r="G103">
            <v>397000</v>
          </cell>
          <cell r="H103">
            <v>0</v>
          </cell>
          <cell r="I103">
            <v>2172000</v>
          </cell>
          <cell r="J103">
            <v>0</v>
          </cell>
          <cell r="K103">
            <v>629250</v>
          </cell>
          <cell r="L103">
            <v>1029000</v>
          </cell>
          <cell r="M103">
            <v>116750</v>
          </cell>
          <cell r="N103">
            <v>397000</v>
          </cell>
          <cell r="O103">
            <v>0</v>
          </cell>
          <cell r="P103">
            <v>2172000</v>
          </cell>
        </row>
        <row r="104">
          <cell r="A104">
            <v>46</v>
          </cell>
        </row>
        <row r="105">
          <cell r="A105">
            <v>47</v>
          </cell>
        </row>
        <row r="106">
          <cell r="A106">
            <v>48</v>
          </cell>
        </row>
        <row r="107">
          <cell r="A107">
            <v>49</v>
          </cell>
        </row>
        <row r="108">
          <cell r="A108">
            <v>50</v>
          </cell>
        </row>
        <row r="109">
          <cell r="B109" t="str">
            <v>この行は使わないこと</v>
          </cell>
        </row>
        <row r="110">
          <cell r="B110" t="str">
            <v>計</v>
          </cell>
          <cell r="C110">
            <v>1168750</v>
          </cell>
          <cell r="D110">
            <v>28316250</v>
          </cell>
          <cell r="E110">
            <v>46305000</v>
          </cell>
          <cell r="F110">
            <v>3619250</v>
          </cell>
          <cell r="G110">
            <v>16332250</v>
          </cell>
          <cell r="H110">
            <v>15288000</v>
          </cell>
          <cell r="I110">
            <v>111029500</v>
          </cell>
          <cell r="J110">
            <v>1168750</v>
          </cell>
          <cell r="K110">
            <v>28316250</v>
          </cell>
          <cell r="L110">
            <v>46305000</v>
          </cell>
          <cell r="M110">
            <v>3619250</v>
          </cell>
          <cell r="N110">
            <v>16332250</v>
          </cell>
          <cell r="O110">
            <v>15288000</v>
          </cell>
          <cell r="P110">
            <v>111029500</v>
          </cell>
        </row>
        <row r="114">
          <cell r="A114">
            <v>1</v>
          </cell>
          <cell r="B114" t="str">
            <v>院内保育園</v>
          </cell>
          <cell r="C114">
            <v>0</v>
          </cell>
          <cell r="D114">
            <v>1258500</v>
          </cell>
          <cell r="E114">
            <v>2058000</v>
          </cell>
          <cell r="F114">
            <v>0</v>
          </cell>
          <cell r="G114">
            <v>751000</v>
          </cell>
          <cell r="H114">
            <v>0</v>
          </cell>
          <cell r="I114">
            <v>4067500</v>
          </cell>
          <cell r="J114">
            <v>0</v>
          </cell>
          <cell r="K114">
            <v>629250</v>
          </cell>
          <cell r="L114">
            <v>1029000</v>
          </cell>
          <cell r="M114">
            <v>0</v>
          </cell>
          <cell r="N114">
            <v>375500</v>
          </cell>
          <cell r="O114">
            <v>0</v>
          </cell>
          <cell r="P114">
            <v>2033750</v>
          </cell>
        </row>
        <row r="115">
          <cell r="A115">
            <v>2</v>
          </cell>
          <cell r="B115" t="str">
            <v>旭ケ丘保育園</v>
          </cell>
          <cell r="C115">
            <v>0</v>
          </cell>
          <cell r="D115">
            <v>1258500</v>
          </cell>
          <cell r="E115">
            <v>2058000</v>
          </cell>
          <cell r="F115">
            <v>233500</v>
          </cell>
          <cell r="G115">
            <v>794000</v>
          </cell>
          <cell r="H115">
            <v>1176000</v>
          </cell>
          <cell r="I115">
            <v>5520000</v>
          </cell>
          <cell r="J115">
            <v>0</v>
          </cell>
          <cell r="K115">
            <v>629250</v>
          </cell>
          <cell r="L115">
            <v>1029000</v>
          </cell>
          <cell r="M115">
            <v>116750</v>
          </cell>
          <cell r="N115">
            <v>397000</v>
          </cell>
          <cell r="O115">
            <v>588000</v>
          </cell>
          <cell r="P115">
            <v>2760000</v>
          </cell>
        </row>
        <row r="116">
          <cell r="A116">
            <v>3</v>
          </cell>
          <cell r="B116" t="str">
            <v>稲毛保育園</v>
          </cell>
          <cell r="C116">
            <v>0</v>
          </cell>
          <cell r="D116">
            <v>1258500</v>
          </cell>
          <cell r="E116">
            <v>2058000</v>
          </cell>
          <cell r="F116">
            <v>0</v>
          </cell>
          <cell r="G116">
            <v>794000</v>
          </cell>
          <cell r="H116">
            <v>1176000</v>
          </cell>
          <cell r="I116">
            <v>5286500</v>
          </cell>
          <cell r="J116">
            <v>0</v>
          </cell>
          <cell r="K116">
            <v>629250</v>
          </cell>
          <cell r="L116">
            <v>1029000</v>
          </cell>
          <cell r="M116">
            <v>0</v>
          </cell>
          <cell r="N116">
            <v>397000</v>
          </cell>
          <cell r="O116">
            <v>588000</v>
          </cell>
          <cell r="P116">
            <v>2643250</v>
          </cell>
        </row>
        <row r="117">
          <cell r="A117">
            <v>4</v>
          </cell>
          <cell r="B117" t="str">
            <v>みどり学園附属保育園</v>
          </cell>
          <cell r="C117">
            <v>0</v>
          </cell>
          <cell r="D117">
            <v>1258500</v>
          </cell>
          <cell r="E117">
            <v>2058000</v>
          </cell>
          <cell r="F117">
            <v>0</v>
          </cell>
          <cell r="G117">
            <v>794000</v>
          </cell>
          <cell r="H117">
            <v>0</v>
          </cell>
          <cell r="I117">
            <v>4110500</v>
          </cell>
          <cell r="J117">
            <v>0</v>
          </cell>
          <cell r="K117">
            <v>629250</v>
          </cell>
          <cell r="L117">
            <v>1029000</v>
          </cell>
          <cell r="M117">
            <v>0</v>
          </cell>
          <cell r="N117">
            <v>397000</v>
          </cell>
          <cell r="O117">
            <v>0</v>
          </cell>
          <cell r="P117">
            <v>2055250</v>
          </cell>
        </row>
        <row r="118">
          <cell r="A118">
            <v>5</v>
          </cell>
          <cell r="B118" t="str">
            <v>ちどり保育園</v>
          </cell>
          <cell r="C118">
            <v>0</v>
          </cell>
          <cell r="D118">
            <v>1258500</v>
          </cell>
          <cell r="E118">
            <v>2058000</v>
          </cell>
          <cell r="F118">
            <v>233500</v>
          </cell>
          <cell r="G118">
            <v>792000</v>
          </cell>
          <cell r="H118">
            <v>0</v>
          </cell>
          <cell r="I118">
            <v>4342000</v>
          </cell>
          <cell r="J118">
            <v>0</v>
          </cell>
          <cell r="K118">
            <v>629250</v>
          </cell>
          <cell r="L118">
            <v>1029000</v>
          </cell>
          <cell r="M118">
            <v>116750</v>
          </cell>
          <cell r="N118">
            <v>396000</v>
          </cell>
          <cell r="O118">
            <v>0</v>
          </cell>
          <cell r="P118">
            <v>2171000</v>
          </cell>
        </row>
        <row r="119">
          <cell r="A119">
            <v>6</v>
          </cell>
          <cell r="B119" t="str">
            <v>今井保育園</v>
          </cell>
          <cell r="C119">
            <v>467500</v>
          </cell>
          <cell r="D119">
            <v>1258500</v>
          </cell>
          <cell r="E119">
            <v>2058000</v>
          </cell>
          <cell r="F119">
            <v>233500</v>
          </cell>
          <cell r="G119">
            <v>794000</v>
          </cell>
          <cell r="H119">
            <v>1176000</v>
          </cell>
          <cell r="I119">
            <v>5987500</v>
          </cell>
          <cell r="J119">
            <v>233750</v>
          </cell>
          <cell r="K119">
            <v>629250</v>
          </cell>
          <cell r="L119">
            <v>1029000</v>
          </cell>
          <cell r="M119">
            <v>116750</v>
          </cell>
          <cell r="N119">
            <v>397000</v>
          </cell>
          <cell r="O119">
            <v>588000</v>
          </cell>
          <cell r="P119">
            <v>2993750</v>
          </cell>
        </row>
        <row r="120">
          <cell r="A120">
            <v>7</v>
          </cell>
          <cell r="B120" t="str">
            <v>若竹保育園</v>
          </cell>
          <cell r="C120">
            <v>0</v>
          </cell>
          <cell r="D120">
            <v>1258500</v>
          </cell>
          <cell r="E120">
            <v>2058000</v>
          </cell>
          <cell r="F120">
            <v>233500</v>
          </cell>
          <cell r="G120">
            <v>794000</v>
          </cell>
          <cell r="H120">
            <v>1176000</v>
          </cell>
          <cell r="I120">
            <v>5520000</v>
          </cell>
          <cell r="J120">
            <v>0</v>
          </cell>
          <cell r="K120">
            <v>629250</v>
          </cell>
          <cell r="L120">
            <v>1029000</v>
          </cell>
          <cell r="M120">
            <v>116750</v>
          </cell>
          <cell r="N120">
            <v>397000</v>
          </cell>
          <cell r="O120">
            <v>588000</v>
          </cell>
          <cell r="P120">
            <v>2760000</v>
          </cell>
        </row>
        <row r="121">
          <cell r="A121">
            <v>8</v>
          </cell>
          <cell r="B121" t="str">
            <v>千葉寺保育園</v>
          </cell>
          <cell r="C121">
            <v>0</v>
          </cell>
          <cell r="D121">
            <v>1258500</v>
          </cell>
          <cell r="E121">
            <v>2058000</v>
          </cell>
          <cell r="F121">
            <v>0</v>
          </cell>
          <cell r="G121">
            <v>794000</v>
          </cell>
          <cell r="H121">
            <v>1176000</v>
          </cell>
          <cell r="I121">
            <v>5286500</v>
          </cell>
          <cell r="J121">
            <v>0</v>
          </cell>
          <cell r="K121">
            <v>629250</v>
          </cell>
          <cell r="L121">
            <v>1029000</v>
          </cell>
          <cell r="M121">
            <v>0</v>
          </cell>
          <cell r="N121">
            <v>397000</v>
          </cell>
          <cell r="O121">
            <v>588000</v>
          </cell>
          <cell r="P121">
            <v>2643250</v>
          </cell>
        </row>
        <row r="122">
          <cell r="A122">
            <v>9</v>
          </cell>
          <cell r="B122" t="str">
            <v>慈光保育園</v>
          </cell>
          <cell r="C122">
            <v>0</v>
          </cell>
          <cell r="D122">
            <v>1258500</v>
          </cell>
          <cell r="E122">
            <v>2058000</v>
          </cell>
          <cell r="F122">
            <v>233500</v>
          </cell>
          <cell r="G122">
            <v>794000</v>
          </cell>
          <cell r="H122">
            <v>1176000</v>
          </cell>
          <cell r="I122">
            <v>5520000</v>
          </cell>
          <cell r="J122">
            <v>0</v>
          </cell>
          <cell r="K122">
            <v>629250</v>
          </cell>
          <cell r="L122">
            <v>1029000</v>
          </cell>
          <cell r="M122">
            <v>116750</v>
          </cell>
          <cell r="N122">
            <v>397000</v>
          </cell>
          <cell r="O122">
            <v>588000</v>
          </cell>
          <cell r="P122">
            <v>2760000</v>
          </cell>
        </row>
        <row r="123">
          <cell r="A123">
            <v>10</v>
          </cell>
          <cell r="B123" t="str">
            <v>若梅保育園</v>
          </cell>
          <cell r="C123">
            <v>0</v>
          </cell>
          <cell r="D123">
            <v>1258500</v>
          </cell>
          <cell r="E123">
            <v>2058000</v>
          </cell>
          <cell r="F123">
            <v>233500</v>
          </cell>
          <cell r="G123">
            <v>794000</v>
          </cell>
          <cell r="H123">
            <v>1176000</v>
          </cell>
          <cell r="I123">
            <v>5520000</v>
          </cell>
          <cell r="J123">
            <v>0</v>
          </cell>
          <cell r="K123">
            <v>629250</v>
          </cell>
          <cell r="L123">
            <v>1029000</v>
          </cell>
          <cell r="M123">
            <v>116750</v>
          </cell>
          <cell r="N123">
            <v>397000</v>
          </cell>
          <cell r="O123">
            <v>588000</v>
          </cell>
          <cell r="P123">
            <v>2760000</v>
          </cell>
        </row>
        <row r="124">
          <cell r="A124">
            <v>11</v>
          </cell>
          <cell r="B124" t="str">
            <v>チューリップ保育園</v>
          </cell>
          <cell r="C124">
            <v>0</v>
          </cell>
          <cell r="D124">
            <v>1258500</v>
          </cell>
          <cell r="E124">
            <v>2058000</v>
          </cell>
          <cell r="F124">
            <v>0</v>
          </cell>
          <cell r="G124">
            <v>538500</v>
          </cell>
          <cell r="H124">
            <v>1176000</v>
          </cell>
          <cell r="I124">
            <v>5031000</v>
          </cell>
          <cell r="J124">
            <v>0</v>
          </cell>
          <cell r="K124">
            <v>629250</v>
          </cell>
          <cell r="L124">
            <v>1029000</v>
          </cell>
          <cell r="M124">
            <v>0</v>
          </cell>
          <cell r="N124">
            <v>269250</v>
          </cell>
          <cell r="O124">
            <v>588000</v>
          </cell>
          <cell r="P124">
            <v>2515500</v>
          </cell>
        </row>
        <row r="125">
          <cell r="A125">
            <v>12</v>
          </cell>
          <cell r="B125" t="str">
            <v>幕張海浜保育園</v>
          </cell>
          <cell r="C125">
            <v>0</v>
          </cell>
          <cell r="D125">
            <v>1258500</v>
          </cell>
          <cell r="E125">
            <v>2058000</v>
          </cell>
          <cell r="F125">
            <v>233500</v>
          </cell>
          <cell r="G125">
            <v>794000</v>
          </cell>
          <cell r="H125">
            <v>0</v>
          </cell>
          <cell r="I125">
            <v>4344000</v>
          </cell>
          <cell r="J125">
            <v>0</v>
          </cell>
          <cell r="K125">
            <v>629250</v>
          </cell>
          <cell r="L125">
            <v>1029000</v>
          </cell>
          <cell r="M125">
            <v>116750</v>
          </cell>
          <cell r="N125">
            <v>397000</v>
          </cell>
          <cell r="O125">
            <v>0</v>
          </cell>
          <cell r="P125">
            <v>2172000</v>
          </cell>
        </row>
        <row r="126">
          <cell r="A126">
            <v>13</v>
          </cell>
          <cell r="B126" t="str">
            <v>みつわ台保育園</v>
          </cell>
          <cell r="C126">
            <v>0</v>
          </cell>
          <cell r="D126">
            <v>1258500</v>
          </cell>
          <cell r="E126">
            <v>2058000</v>
          </cell>
          <cell r="F126">
            <v>233500</v>
          </cell>
          <cell r="G126">
            <v>794000</v>
          </cell>
          <cell r="H126">
            <v>3528000</v>
          </cell>
          <cell r="I126">
            <v>7872000</v>
          </cell>
          <cell r="J126">
            <v>0</v>
          </cell>
          <cell r="K126">
            <v>629250</v>
          </cell>
          <cell r="L126">
            <v>1029000</v>
          </cell>
          <cell r="M126">
            <v>116750</v>
          </cell>
          <cell r="N126">
            <v>397000</v>
          </cell>
          <cell r="O126">
            <v>1764000</v>
          </cell>
          <cell r="P126">
            <v>3936000</v>
          </cell>
        </row>
        <row r="127">
          <cell r="A127">
            <v>14</v>
          </cell>
          <cell r="B127" t="str">
            <v>まどか保育園</v>
          </cell>
          <cell r="C127">
            <v>0</v>
          </cell>
          <cell r="D127">
            <v>1258500</v>
          </cell>
          <cell r="E127">
            <v>2058000</v>
          </cell>
          <cell r="F127">
            <v>233500</v>
          </cell>
          <cell r="G127">
            <v>794000</v>
          </cell>
          <cell r="H127">
            <v>0</v>
          </cell>
          <cell r="I127">
            <v>4344000</v>
          </cell>
          <cell r="J127">
            <v>0</v>
          </cell>
          <cell r="K127">
            <v>629250</v>
          </cell>
          <cell r="L127">
            <v>1029000</v>
          </cell>
          <cell r="M127">
            <v>116750</v>
          </cell>
          <cell r="N127">
            <v>397000</v>
          </cell>
          <cell r="O127">
            <v>0</v>
          </cell>
          <cell r="P127">
            <v>2172000</v>
          </cell>
        </row>
        <row r="128">
          <cell r="A128">
            <v>15</v>
          </cell>
          <cell r="B128" t="str">
            <v>わかくさ保育園</v>
          </cell>
          <cell r="C128">
            <v>0</v>
          </cell>
          <cell r="D128">
            <v>1258500</v>
          </cell>
          <cell r="E128">
            <v>2058000</v>
          </cell>
          <cell r="F128">
            <v>233500</v>
          </cell>
          <cell r="G128">
            <v>794000</v>
          </cell>
          <cell r="H128">
            <v>0</v>
          </cell>
          <cell r="I128">
            <v>4344000</v>
          </cell>
          <cell r="J128">
            <v>0</v>
          </cell>
          <cell r="K128">
            <v>629250</v>
          </cell>
          <cell r="L128">
            <v>1029000</v>
          </cell>
          <cell r="M128">
            <v>116750</v>
          </cell>
          <cell r="N128">
            <v>397000</v>
          </cell>
          <cell r="O128">
            <v>0</v>
          </cell>
          <cell r="P128">
            <v>2172000</v>
          </cell>
        </row>
        <row r="129">
          <cell r="A129">
            <v>16</v>
          </cell>
          <cell r="B129" t="str">
            <v>たいよう保育園</v>
          </cell>
          <cell r="C129">
            <v>0</v>
          </cell>
          <cell r="D129">
            <v>1258500</v>
          </cell>
          <cell r="E129">
            <v>2058000</v>
          </cell>
          <cell r="F129">
            <v>233500</v>
          </cell>
          <cell r="G129">
            <v>794000</v>
          </cell>
          <cell r="H129">
            <v>0</v>
          </cell>
          <cell r="I129">
            <v>4344000</v>
          </cell>
          <cell r="J129">
            <v>0</v>
          </cell>
          <cell r="K129">
            <v>629250</v>
          </cell>
          <cell r="L129">
            <v>1029000</v>
          </cell>
          <cell r="M129">
            <v>116750</v>
          </cell>
          <cell r="N129">
            <v>397000</v>
          </cell>
          <cell r="O129">
            <v>0</v>
          </cell>
          <cell r="P129">
            <v>2172000</v>
          </cell>
        </row>
        <row r="130">
          <cell r="A130">
            <v>17</v>
          </cell>
          <cell r="B130" t="str">
            <v>松ケ丘保育園</v>
          </cell>
          <cell r="C130">
            <v>0</v>
          </cell>
          <cell r="D130">
            <v>1258500</v>
          </cell>
          <cell r="E130">
            <v>2058000</v>
          </cell>
          <cell r="F130">
            <v>233500</v>
          </cell>
          <cell r="G130">
            <v>644000</v>
          </cell>
          <cell r="H130">
            <v>1176000</v>
          </cell>
          <cell r="I130">
            <v>5370000</v>
          </cell>
          <cell r="J130">
            <v>0</v>
          </cell>
          <cell r="K130">
            <v>629250</v>
          </cell>
          <cell r="L130">
            <v>1029000</v>
          </cell>
          <cell r="M130">
            <v>116750</v>
          </cell>
          <cell r="N130">
            <v>322000</v>
          </cell>
          <cell r="O130">
            <v>588000</v>
          </cell>
          <cell r="P130">
            <v>2685000</v>
          </cell>
        </row>
        <row r="131">
          <cell r="A131">
            <v>18</v>
          </cell>
          <cell r="B131" t="str">
            <v>作草部保育園</v>
          </cell>
          <cell r="C131">
            <v>0</v>
          </cell>
          <cell r="D131">
            <v>1258500</v>
          </cell>
          <cell r="E131">
            <v>2058000</v>
          </cell>
          <cell r="F131">
            <v>233500</v>
          </cell>
          <cell r="G131">
            <v>794000</v>
          </cell>
          <cell r="H131">
            <v>1176000</v>
          </cell>
          <cell r="I131">
            <v>5520000</v>
          </cell>
          <cell r="J131">
            <v>0</v>
          </cell>
          <cell r="K131">
            <v>629250</v>
          </cell>
          <cell r="L131">
            <v>1029000</v>
          </cell>
          <cell r="M131">
            <v>116750</v>
          </cell>
          <cell r="N131">
            <v>397000</v>
          </cell>
          <cell r="O131">
            <v>588000</v>
          </cell>
          <cell r="P131">
            <v>2760000</v>
          </cell>
        </row>
        <row r="132">
          <cell r="A132">
            <v>19</v>
          </cell>
          <cell r="B132" t="str">
            <v>すずらん保育園</v>
          </cell>
          <cell r="C132">
            <v>0</v>
          </cell>
          <cell r="D132">
            <v>1258500</v>
          </cell>
          <cell r="E132">
            <v>2058000</v>
          </cell>
          <cell r="F132">
            <v>233500</v>
          </cell>
          <cell r="G132">
            <v>794000</v>
          </cell>
          <cell r="H132">
            <v>1176000</v>
          </cell>
          <cell r="I132">
            <v>5520000</v>
          </cell>
          <cell r="J132">
            <v>0</v>
          </cell>
          <cell r="K132">
            <v>629250</v>
          </cell>
          <cell r="L132">
            <v>1029000</v>
          </cell>
          <cell r="M132">
            <v>116750</v>
          </cell>
          <cell r="N132">
            <v>397000</v>
          </cell>
          <cell r="O132">
            <v>588000</v>
          </cell>
          <cell r="P132">
            <v>2760000</v>
          </cell>
        </row>
        <row r="133">
          <cell r="A133">
            <v>20</v>
          </cell>
          <cell r="B133" t="str">
            <v>なぎさ保育園</v>
          </cell>
          <cell r="C133">
            <v>0</v>
          </cell>
          <cell r="D133">
            <v>1258500</v>
          </cell>
          <cell r="E133">
            <v>2058000</v>
          </cell>
          <cell r="F133">
            <v>233500</v>
          </cell>
          <cell r="G133">
            <v>794000</v>
          </cell>
          <cell r="H133">
            <v>0</v>
          </cell>
          <cell r="I133">
            <v>4344000</v>
          </cell>
          <cell r="J133">
            <v>0</v>
          </cell>
          <cell r="K133">
            <v>629250</v>
          </cell>
          <cell r="L133">
            <v>1029000</v>
          </cell>
          <cell r="M133">
            <v>116750</v>
          </cell>
          <cell r="N133">
            <v>397000</v>
          </cell>
          <cell r="O133">
            <v>0</v>
          </cell>
          <cell r="P133">
            <v>2172000</v>
          </cell>
        </row>
        <row r="134">
          <cell r="A134">
            <v>21</v>
          </cell>
          <cell r="B134" t="str">
            <v>南小中台保育園</v>
          </cell>
          <cell r="C134">
            <v>0</v>
          </cell>
          <cell r="D134">
            <v>1258500</v>
          </cell>
          <cell r="E134">
            <v>2058000</v>
          </cell>
          <cell r="F134">
            <v>233500</v>
          </cell>
          <cell r="G134">
            <v>794000</v>
          </cell>
          <cell r="H134">
            <v>1176000</v>
          </cell>
          <cell r="I134">
            <v>5520000</v>
          </cell>
          <cell r="J134">
            <v>0</v>
          </cell>
          <cell r="K134">
            <v>629250</v>
          </cell>
          <cell r="L134">
            <v>1029000</v>
          </cell>
          <cell r="M134">
            <v>116750</v>
          </cell>
          <cell r="N134">
            <v>397000</v>
          </cell>
          <cell r="O134">
            <v>588000</v>
          </cell>
          <cell r="P134">
            <v>2760000</v>
          </cell>
        </row>
        <row r="135">
          <cell r="A135">
            <v>22</v>
          </cell>
          <cell r="B135" t="str">
            <v>もみじ保育園</v>
          </cell>
          <cell r="C135">
            <v>0</v>
          </cell>
          <cell r="D135">
            <v>1258500</v>
          </cell>
          <cell r="E135">
            <v>2058000</v>
          </cell>
          <cell r="F135">
            <v>0</v>
          </cell>
          <cell r="G135">
            <v>794000</v>
          </cell>
          <cell r="H135">
            <v>1176000</v>
          </cell>
          <cell r="I135">
            <v>5286500</v>
          </cell>
          <cell r="J135">
            <v>0</v>
          </cell>
          <cell r="K135">
            <v>629250</v>
          </cell>
          <cell r="L135">
            <v>1029000</v>
          </cell>
          <cell r="M135">
            <v>0</v>
          </cell>
          <cell r="N135">
            <v>397000</v>
          </cell>
          <cell r="O135">
            <v>588000</v>
          </cell>
          <cell r="P135">
            <v>2643250</v>
          </cell>
        </row>
        <row r="136">
          <cell r="A136">
            <v>23</v>
          </cell>
          <cell r="B136" t="str">
            <v>おゆみ野保育園</v>
          </cell>
          <cell r="C136">
            <v>0</v>
          </cell>
          <cell r="D136">
            <v>1258500</v>
          </cell>
          <cell r="E136">
            <v>2058000</v>
          </cell>
          <cell r="F136">
            <v>233500</v>
          </cell>
          <cell r="G136">
            <v>794000</v>
          </cell>
          <cell r="H136">
            <v>1176000</v>
          </cell>
          <cell r="I136">
            <v>5520000</v>
          </cell>
          <cell r="J136">
            <v>0</v>
          </cell>
          <cell r="K136">
            <v>629250</v>
          </cell>
          <cell r="L136">
            <v>1029000</v>
          </cell>
          <cell r="M136">
            <v>116750</v>
          </cell>
          <cell r="N136">
            <v>397000</v>
          </cell>
          <cell r="O136">
            <v>588000</v>
          </cell>
          <cell r="P136">
            <v>2760000</v>
          </cell>
        </row>
        <row r="137">
          <cell r="A137">
            <v>24</v>
          </cell>
          <cell r="B137" t="str">
            <v>ナーセリー鏡戸</v>
          </cell>
          <cell r="C137">
            <v>467500</v>
          </cell>
          <cell r="D137">
            <v>1258500</v>
          </cell>
          <cell r="E137">
            <v>2058000</v>
          </cell>
          <cell r="F137">
            <v>233500</v>
          </cell>
          <cell r="G137">
            <v>794000</v>
          </cell>
          <cell r="H137">
            <v>0</v>
          </cell>
          <cell r="I137">
            <v>4811500</v>
          </cell>
          <cell r="J137">
            <v>233750</v>
          </cell>
          <cell r="K137">
            <v>629250</v>
          </cell>
          <cell r="L137">
            <v>1029000</v>
          </cell>
          <cell r="M137">
            <v>116750</v>
          </cell>
          <cell r="N137">
            <v>397000</v>
          </cell>
          <cell r="O137">
            <v>0</v>
          </cell>
          <cell r="P137">
            <v>2405750</v>
          </cell>
        </row>
        <row r="138">
          <cell r="A138">
            <v>25</v>
          </cell>
          <cell r="B138" t="str">
            <v>打瀬保育園</v>
          </cell>
          <cell r="C138">
            <v>0</v>
          </cell>
          <cell r="D138">
            <v>1258500</v>
          </cell>
          <cell r="E138">
            <v>2058000</v>
          </cell>
          <cell r="F138">
            <v>233500</v>
          </cell>
          <cell r="G138">
            <v>794000</v>
          </cell>
          <cell r="H138">
            <v>0</v>
          </cell>
          <cell r="I138">
            <v>4344000</v>
          </cell>
          <cell r="J138">
            <v>0</v>
          </cell>
          <cell r="K138">
            <v>629250</v>
          </cell>
          <cell r="L138">
            <v>1029000</v>
          </cell>
          <cell r="M138">
            <v>116750</v>
          </cell>
          <cell r="N138">
            <v>397000</v>
          </cell>
          <cell r="O138">
            <v>0</v>
          </cell>
          <cell r="P138">
            <v>2172000</v>
          </cell>
        </row>
        <row r="139">
          <cell r="A139">
            <v>26</v>
          </cell>
          <cell r="B139" t="str">
            <v>ふたば保育園</v>
          </cell>
          <cell r="C139">
            <v>0</v>
          </cell>
          <cell r="D139">
            <v>1258500</v>
          </cell>
          <cell r="E139">
            <v>2058000</v>
          </cell>
          <cell r="F139">
            <v>233500</v>
          </cell>
          <cell r="G139">
            <v>794000</v>
          </cell>
          <cell r="H139">
            <v>2352000</v>
          </cell>
          <cell r="I139">
            <v>6696000</v>
          </cell>
          <cell r="J139">
            <v>0</v>
          </cell>
          <cell r="K139">
            <v>629250</v>
          </cell>
          <cell r="L139">
            <v>1029000</v>
          </cell>
          <cell r="M139">
            <v>116750</v>
          </cell>
          <cell r="N139">
            <v>397000</v>
          </cell>
          <cell r="O139">
            <v>1176000</v>
          </cell>
          <cell r="P139">
            <v>3348000</v>
          </cell>
        </row>
        <row r="140">
          <cell r="A140">
            <v>27</v>
          </cell>
          <cell r="B140" t="str">
            <v>明和輝保育園</v>
          </cell>
          <cell r="C140">
            <v>467500</v>
          </cell>
          <cell r="D140">
            <v>1258500</v>
          </cell>
          <cell r="E140">
            <v>2058000</v>
          </cell>
          <cell r="F140">
            <v>0</v>
          </cell>
          <cell r="G140">
            <v>794000</v>
          </cell>
          <cell r="H140">
            <v>1176000</v>
          </cell>
          <cell r="I140">
            <v>5754000</v>
          </cell>
          <cell r="J140">
            <v>233750</v>
          </cell>
          <cell r="K140">
            <v>629250</v>
          </cell>
          <cell r="L140">
            <v>1029000</v>
          </cell>
          <cell r="M140">
            <v>0</v>
          </cell>
          <cell r="N140">
            <v>397000</v>
          </cell>
          <cell r="O140">
            <v>588000</v>
          </cell>
          <cell r="P140">
            <v>2877000</v>
          </cell>
        </row>
        <row r="141">
          <cell r="A141">
            <v>28</v>
          </cell>
          <cell r="B141" t="str">
            <v>山王保育園</v>
          </cell>
          <cell r="C141">
            <v>0</v>
          </cell>
          <cell r="D141">
            <v>1258500</v>
          </cell>
          <cell r="E141">
            <v>2058000</v>
          </cell>
          <cell r="F141">
            <v>233500</v>
          </cell>
          <cell r="G141">
            <v>794000</v>
          </cell>
          <cell r="H141">
            <v>0</v>
          </cell>
          <cell r="I141">
            <v>4344000</v>
          </cell>
          <cell r="J141">
            <v>0</v>
          </cell>
          <cell r="K141">
            <v>629250</v>
          </cell>
          <cell r="L141">
            <v>1029000</v>
          </cell>
          <cell r="M141">
            <v>116750</v>
          </cell>
          <cell r="N141">
            <v>397000</v>
          </cell>
          <cell r="O141">
            <v>0</v>
          </cell>
          <cell r="P141">
            <v>2172000</v>
          </cell>
        </row>
        <row r="142">
          <cell r="A142">
            <v>29</v>
          </cell>
          <cell r="B142" t="str">
            <v>チャイルド・ガーデン保育園</v>
          </cell>
          <cell r="C142">
            <v>0</v>
          </cell>
          <cell r="D142">
            <v>1258500</v>
          </cell>
          <cell r="E142">
            <v>2058000</v>
          </cell>
          <cell r="F142">
            <v>0</v>
          </cell>
          <cell r="G142">
            <v>794000</v>
          </cell>
          <cell r="H142">
            <v>0</v>
          </cell>
          <cell r="I142">
            <v>4110500</v>
          </cell>
          <cell r="J142">
            <v>0</v>
          </cell>
          <cell r="K142">
            <v>629250</v>
          </cell>
          <cell r="L142">
            <v>1029000</v>
          </cell>
          <cell r="M142">
            <v>0</v>
          </cell>
          <cell r="N142">
            <v>397000</v>
          </cell>
          <cell r="O142">
            <v>0</v>
          </cell>
          <cell r="P142">
            <v>2055250</v>
          </cell>
        </row>
        <row r="143">
          <cell r="A143">
            <v>30</v>
          </cell>
          <cell r="B143" t="str">
            <v>明徳土気保育園</v>
          </cell>
          <cell r="C143">
            <v>0</v>
          </cell>
          <cell r="D143">
            <v>1258500</v>
          </cell>
          <cell r="E143">
            <v>2058000</v>
          </cell>
          <cell r="F143">
            <v>233500</v>
          </cell>
          <cell r="G143">
            <v>794000</v>
          </cell>
          <cell r="H143">
            <v>2352000</v>
          </cell>
          <cell r="I143">
            <v>6696000</v>
          </cell>
          <cell r="J143">
            <v>0</v>
          </cell>
          <cell r="K143">
            <v>629250</v>
          </cell>
          <cell r="L143">
            <v>1029000</v>
          </cell>
          <cell r="M143">
            <v>116750</v>
          </cell>
          <cell r="N143">
            <v>397000</v>
          </cell>
          <cell r="O143">
            <v>1176000</v>
          </cell>
          <cell r="P143">
            <v>3348000</v>
          </cell>
        </row>
        <row r="144">
          <cell r="A144">
            <v>31</v>
          </cell>
          <cell r="B144" t="str">
            <v>グレース保育園</v>
          </cell>
          <cell r="C144">
            <v>0</v>
          </cell>
          <cell r="D144">
            <v>1258500</v>
          </cell>
          <cell r="E144">
            <v>2058000</v>
          </cell>
          <cell r="F144">
            <v>0</v>
          </cell>
          <cell r="G144">
            <v>794000</v>
          </cell>
          <cell r="H144">
            <v>1176000</v>
          </cell>
          <cell r="I144">
            <v>5286500</v>
          </cell>
          <cell r="J144">
            <v>0</v>
          </cell>
          <cell r="K144">
            <v>629250</v>
          </cell>
          <cell r="L144">
            <v>1029000</v>
          </cell>
          <cell r="M144">
            <v>0</v>
          </cell>
          <cell r="N144">
            <v>397000</v>
          </cell>
          <cell r="O144">
            <v>588000</v>
          </cell>
          <cell r="P144">
            <v>2643250</v>
          </cell>
        </row>
        <row r="145">
          <cell r="A145">
            <v>32</v>
          </cell>
          <cell r="B145" t="str">
            <v>みらい保育園</v>
          </cell>
          <cell r="C145">
            <v>0</v>
          </cell>
          <cell r="D145">
            <v>1258500</v>
          </cell>
          <cell r="E145">
            <v>2058000</v>
          </cell>
          <cell r="F145">
            <v>0</v>
          </cell>
          <cell r="G145">
            <v>794000</v>
          </cell>
          <cell r="H145">
            <v>1176000</v>
          </cell>
          <cell r="I145">
            <v>5286500</v>
          </cell>
          <cell r="J145">
            <v>0</v>
          </cell>
          <cell r="K145">
            <v>629250</v>
          </cell>
          <cell r="L145">
            <v>1029000</v>
          </cell>
          <cell r="M145">
            <v>0</v>
          </cell>
          <cell r="N145">
            <v>397000</v>
          </cell>
          <cell r="O145">
            <v>588000</v>
          </cell>
          <cell r="P145">
            <v>2643250</v>
          </cell>
        </row>
        <row r="146">
          <cell r="A146">
            <v>33</v>
          </cell>
          <cell r="B146" t="str">
            <v>かまとり保育園</v>
          </cell>
          <cell r="C146">
            <v>0</v>
          </cell>
          <cell r="D146">
            <v>1258500</v>
          </cell>
          <cell r="E146">
            <v>2058000</v>
          </cell>
          <cell r="F146">
            <v>0</v>
          </cell>
          <cell r="G146">
            <v>794000</v>
          </cell>
          <cell r="H146">
            <v>1176000</v>
          </cell>
          <cell r="I146">
            <v>5286500</v>
          </cell>
          <cell r="J146">
            <v>0</v>
          </cell>
          <cell r="K146">
            <v>629250</v>
          </cell>
          <cell r="L146">
            <v>1029000</v>
          </cell>
          <cell r="M146">
            <v>0</v>
          </cell>
          <cell r="N146">
            <v>397000</v>
          </cell>
          <cell r="O146">
            <v>588000</v>
          </cell>
          <cell r="P146">
            <v>2643250</v>
          </cell>
        </row>
        <row r="147">
          <cell r="A147">
            <v>34</v>
          </cell>
          <cell r="B147" t="str">
            <v>植草弁天保育園</v>
          </cell>
          <cell r="C147">
            <v>467500</v>
          </cell>
          <cell r="D147">
            <v>1258500</v>
          </cell>
          <cell r="E147">
            <v>2058000</v>
          </cell>
          <cell r="F147">
            <v>233500</v>
          </cell>
          <cell r="G147">
            <v>794000</v>
          </cell>
          <cell r="H147">
            <v>0</v>
          </cell>
          <cell r="I147">
            <v>4811500</v>
          </cell>
          <cell r="J147">
            <v>233750</v>
          </cell>
          <cell r="K147">
            <v>629250</v>
          </cell>
          <cell r="L147">
            <v>1029000</v>
          </cell>
          <cell r="M147">
            <v>116750</v>
          </cell>
          <cell r="N147">
            <v>397000</v>
          </cell>
          <cell r="O147">
            <v>0</v>
          </cell>
          <cell r="P147">
            <v>2405750</v>
          </cell>
        </row>
        <row r="148">
          <cell r="A148">
            <v>35</v>
          </cell>
          <cell r="B148" t="str">
            <v>ひなたぼっこ保育園</v>
          </cell>
          <cell r="C148">
            <v>0</v>
          </cell>
          <cell r="D148">
            <v>1258500</v>
          </cell>
          <cell r="E148">
            <v>2058000</v>
          </cell>
          <cell r="F148">
            <v>233500</v>
          </cell>
          <cell r="G148">
            <v>794000</v>
          </cell>
          <cell r="H148">
            <v>0</v>
          </cell>
          <cell r="I148">
            <v>4344000</v>
          </cell>
          <cell r="J148">
            <v>0</v>
          </cell>
          <cell r="K148">
            <v>629250</v>
          </cell>
          <cell r="L148">
            <v>1029000</v>
          </cell>
          <cell r="M148">
            <v>116750</v>
          </cell>
          <cell r="N148">
            <v>397000</v>
          </cell>
          <cell r="O148">
            <v>0</v>
          </cell>
          <cell r="P148">
            <v>2172000</v>
          </cell>
        </row>
        <row r="149">
          <cell r="A149">
            <v>36</v>
          </cell>
          <cell r="B149" t="str">
            <v>はまかぜ保育園</v>
          </cell>
          <cell r="C149">
            <v>0</v>
          </cell>
          <cell r="D149">
            <v>1258500</v>
          </cell>
          <cell r="E149">
            <v>2058000</v>
          </cell>
          <cell r="F149">
            <v>233500</v>
          </cell>
          <cell r="G149">
            <v>794000</v>
          </cell>
          <cell r="H149">
            <v>0</v>
          </cell>
          <cell r="I149">
            <v>4344000</v>
          </cell>
          <cell r="J149">
            <v>0</v>
          </cell>
          <cell r="K149">
            <v>629250</v>
          </cell>
          <cell r="L149">
            <v>1029000</v>
          </cell>
          <cell r="M149">
            <v>116750</v>
          </cell>
          <cell r="N149">
            <v>397000</v>
          </cell>
          <cell r="O149">
            <v>0</v>
          </cell>
          <cell r="P149">
            <v>2172000</v>
          </cell>
        </row>
        <row r="150">
          <cell r="A150">
            <v>37</v>
          </cell>
          <cell r="B150" t="str">
            <v>いなほ保育園</v>
          </cell>
          <cell r="C150">
            <v>0</v>
          </cell>
          <cell r="D150">
            <v>1258500</v>
          </cell>
          <cell r="E150">
            <v>2058000</v>
          </cell>
          <cell r="F150">
            <v>233500</v>
          </cell>
          <cell r="G150">
            <v>794000</v>
          </cell>
          <cell r="H150">
            <v>0</v>
          </cell>
          <cell r="I150">
            <v>4344000</v>
          </cell>
          <cell r="J150">
            <v>0</v>
          </cell>
          <cell r="K150">
            <v>629250</v>
          </cell>
          <cell r="L150">
            <v>1029000</v>
          </cell>
          <cell r="M150">
            <v>116750</v>
          </cell>
          <cell r="N150">
            <v>397000</v>
          </cell>
          <cell r="O150">
            <v>0</v>
          </cell>
          <cell r="P150">
            <v>2172000</v>
          </cell>
        </row>
        <row r="151">
          <cell r="A151">
            <v>38</v>
          </cell>
          <cell r="B151" t="str">
            <v>キッズマーム保育園</v>
          </cell>
          <cell r="C151">
            <v>0</v>
          </cell>
          <cell r="D151">
            <v>1258500</v>
          </cell>
          <cell r="E151">
            <v>2058000</v>
          </cell>
          <cell r="F151">
            <v>0</v>
          </cell>
          <cell r="G151">
            <v>794000</v>
          </cell>
          <cell r="H151">
            <v>1176000</v>
          </cell>
          <cell r="I151">
            <v>5286500</v>
          </cell>
          <cell r="J151">
            <v>0</v>
          </cell>
          <cell r="K151">
            <v>629250</v>
          </cell>
          <cell r="L151">
            <v>1029000</v>
          </cell>
          <cell r="M151">
            <v>0</v>
          </cell>
          <cell r="N151">
            <v>397000</v>
          </cell>
          <cell r="O151">
            <v>588000</v>
          </cell>
          <cell r="P151">
            <v>2643250</v>
          </cell>
        </row>
        <row r="152">
          <cell r="A152">
            <v>39</v>
          </cell>
          <cell r="B152" t="str">
            <v>アスク海浜幕張保育園</v>
          </cell>
          <cell r="C152">
            <v>0</v>
          </cell>
          <cell r="D152">
            <v>1258500</v>
          </cell>
          <cell r="E152">
            <v>2058000</v>
          </cell>
          <cell r="F152">
            <v>233500</v>
          </cell>
          <cell r="G152">
            <v>0</v>
          </cell>
          <cell r="H152">
            <v>0</v>
          </cell>
          <cell r="I152">
            <v>3550000</v>
          </cell>
          <cell r="J152">
            <v>0</v>
          </cell>
          <cell r="K152">
            <v>629250</v>
          </cell>
          <cell r="L152">
            <v>1029000</v>
          </cell>
          <cell r="M152">
            <v>116750</v>
          </cell>
          <cell r="N152">
            <v>0</v>
          </cell>
          <cell r="O152">
            <v>0</v>
          </cell>
          <cell r="P152">
            <v>1775000</v>
          </cell>
        </row>
        <row r="153">
          <cell r="A153">
            <v>40</v>
          </cell>
          <cell r="B153" t="str">
            <v>明徳浜野駅保育園</v>
          </cell>
          <cell r="C153">
            <v>0</v>
          </cell>
          <cell r="D153">
            <v>1258500</v>
          </cell>
          <cell r="E153">
            <v>2058000</v>
          </cell>
          <cell r="F153">
            <v>0</v>
          </cell>
          <cell r="G153">
            <v>794000</v>
          </cell>
          <cell r="H153">
            <v>0</v>
          </cell>
          <cell r="I153">
            <v>4110500</v>
          </cell>
          <cell r="J153">
            <v>0</v>
          </cell>
          <cell r="K153">
            <v>629250</v>
          </cell>
          <cell r="L153">
            <v>1029000</v>
          </cell>
          <cell r="M153">
            <v>0</v>
          </cell>
          <cell r="N153">
            <v>397000</v>
          </cell>
          <cell r="O153">
            <v>0</v>
          </cell>
          <cell r="P153">
            <v>2055250</v>
          </cell>
        </row>
        <row r="154">
          <cell r="A154">
            <v>41</v>
          </cell>
          <cell r="B154" t="str">
            <v>幕張いもっこ保育園</v>
          </cell>
          <cell r="C154">
            <v>0</v>
          </cell>
          <cell r="D154">
            <v>1258500</v>
          </cell>
          <cell r="E154">
            <v>2058000</v>
          </cell>
          <cell r="F154">
            <v>233500</v>
          </cell>
          <cell r="G154">
            <v>561000</v>
          </cell>
          <cell r="H154">
            <v>0</v>
          </cell>
          <cell r="I154">
            <v>4111000</v>
          </cell>
          <cell r="J154">
            <v>0</v>
          </cell>
          <cell r="K154">
            <v>629250</v>
          </cell>
          <cell r="L154">
            <v>1029000</v>
          </cell>
          <cell r="M154">
            <v>116750</v>
          </cell>
          <cell r="N154">
            <v>280500</v>
          </cell>
          <cell r="O154">
            <v>0</v>
          </cell>
          <cell r="P154">
            <v>2055500</v>
          </cell>
        </row>
        <row r="155">
          <cell r="A155">
            <v>42</v>
          </cell>
          <cell r="B155" t="str">
            <v>稲毛すきっぷ保育園</v>
          </cell>
          <cell r="C155">
            <v>0</v>
          </cell>
          <cell r="D155">
            <v>1258500</v>
          </cell>
          <cell r="E155">
            <v>2058000</v>
          </cell>
          <cell r="F155">
            <v>233500</v>
          </cell>
          <cell r="G155">
            <v>0</v>
          </cell>
          <cell r="H155">
            <v>0</v>
          </cell>
          <cell r="I155">
            <v>3550000</v>
          </cell>
          <cell r="J155">
            <v>0</v>
          </cell>
          <cell r="K155">
            <v>629250</v>
          </cell>
          <cell r="L155">
            <v>1029000</v>
          </cell>
          <cell r="M155">
            <v>116750</v>
          </cell>
          <cell r="N155">
            <v>0</v>
          </cell>
          <cell r="O155">
            <v>0</v>
          </cell>
          <cell r="P155">
            <v>1775000</v>
          </cell>
        </row>
        <row r="156">
          <cell r="A156">
            <v>43</v>
          </cell>
          <cell r="B156" t="str">
            <v>千葉聖心保育園</v>
          </cell>
          <cell r="C156">
            <v>467500</v>
          </cell>
          <cell r="D156">
            <v>1258500</v>
          </cell>
          <cell r="E156">
            <v>2058000</v>
          </cell>
          <cell r="F156">
            <v>0</v>
          </cell>
          <cell r="G156">
            <v>0</v>
          </cell>
          <cell r="H156">
            <v>0</v>
          </cell>
          <cell r="I156">
            <v>3784000</v>
          </cell>
          <cell r="J156">
            <v>233750</v>
          </cell>
          <cell r="K156">
            <v>629250</v>
          </cell>
          <cell r="L156">
            <v>1029000</v>
          </cell>
          <cell r="M156">
            <v>0</v>
          </cell>
          <cell r="N156">
            <v>0</v>
          </cell>
          <cell r="O156">
            <v>0</v>
          </cell>
          <cell r="P156">
            <v>1892000</v>
          </cell>
        </row>
        <row r="157">
          <cell r="A157">
            <v>44</v>
          </cell>
          <cell r="B157" t="str">
            <v>真生保育園</v>
          </cell>
          <cell r="C157">
            <v>0</v>
          </cell>
          <cell r="D157">
            <v>1258500</v>
          </cell>
          <cell r="E157">
            <v>2058000</v>
          </cell>
          <cell r="F157">
            <v>233500</v>
          </cell>
          <cell r="G157">
            <v>794000</v>
          </cell>
          <cell r="H157">
            <v>0</v>
          </cell>
          <cell r="I157">
            <v>4344000</v>
          </cell>
          <cell r="J157">
            <v>0</v>
          </cell>
          <cell r="K157">
            <v>629250</v>
          </cell>
          <cell r="L157">
            <v>1029000</v>
          </cell>
          <cell r="M157">
            <v>116750</v>
          </cell>
          <cell r="N157">
            <v>397000</v>
          </cell>
          <cell r="O157">
            <v>0</v>
          </cell>
          <cell r="P157">
            <v>2172000</v>
          </cell>
        </row>
        <row r="158">
          <cell r="A158">
            <v>45</v>
          </cell>
          <cell r="B158" t="str">
            <v>アップルナースリー検見川浜保育園</v>
          </cell>
          <cell r="C158">
            <v>0</v>
          </cell>
          <cell r="D158">
            <v>1258500</v>
          </cell>
          <cell r="E158">
            <v>2058000</v>
          </cell>
          <cell r="F158">
            <v>233500</v>
          </cell>
          <cell r="G158">
            <v>794000</v>
          </cell>
          <cell r="H158">
            <v>0</v>
          </cell>
          <cell r="I158">
            <v>4344000</v>
          </cell>
          <cell r="J158">
            <v>0</v>
          </cell>
          <cell r="K158">
            <v>629250</v>
          </cell>
          <cell r="L158">
            <v>1029000</v>
          </cell>
          <cell r="M158">
            <v>116750</v>
          </cell>
          <cell r="N158">
            <v>397000</v>
          </cell>
          <cell r="O158">
            <v>0</v>
          </cell>
          <cell r="P158">
            <v>2172000</v>
          </cell>
        </row>
        <row r="159">
          <cell r="A159">
            <v>46</v>
          </cell>
        </row>
        <row r="160">
          <cell r="A160">
            <v>47</v>
          </cell>
        </row>
        <row r="161">
          <cell r="A161">
            <v>48</v>
          </cell>
        </row>
        <row r="162">
          <cell r="A162">
            <v>49</v>
          </cell>
        </row>
        <row r="163">
          <cell r="A163">
            <v>50</v>
          </cell>
        </row>
        <row r="164">
          <cell r="B164" t="str">
            <v>この行は使わないこと</v>
          </cell>
        </row>
        <row r="165">
          <cell r="B165" t="str">
            <v>計</v>
          </cell>
          <cell r="C165">
            <v>2337500</v>
          </cell>
          <cell r="D165">
            <v>56632500</v>
          </cell>
          <cell r="E165">
            <v>92610000</v>
          </cell>
          <cell r="F165">
            <v>7238500</v>
          </cell>
          <cell r="G165">
            <v>32664500</v>
          </cell>
          <cell r="H165">
            <v>30576000</v>
          </cell>
          <cell r="I165">
            <v>222059000</v>
          </cell>
          <cell r="J165">
            <v>1168750</v>
          </cell>
          <cell r="K165">
            <v>28316250</v>
          </cell>
          <cell r="L165">
            <v>46305000</v>
          </cell>
          <cell r="M165">
            <v>3619250</v>
          </cell>
          <cell r="N165">
            <v>16332250</v>
          </cell>
          <cell r="O165">
            <v>15288000</v>
          </cell>
          <cell r="P165">
            <v>111029500</v>
          </cell>
        </row>
        <row r="166">
          <cell r="B166">
            <v>23</v>
          </cell>
          <cell r="C166" t="str">
            <v>民間保育園保育士等配置基準改善事業補助金差額請求分一覧</v>
          </cell>
        </row>
        <row r="167">
          <cell r="B167" t="str">
            <v xml:space="preserve">保育園名 </v>
          </cell>
          <cell r="C167" t="str">
            <v>第１・２・３四半期既交付額</v>
          </cell>
          <cell r="D167" t="str">
            <v>　　　　　　　　　　　　　　　差額請求</v>
          </cell>
          <cell r="E167" t="str">
            <v>　　　　　　　　　　　　　　　差額請求</v>
          </cell>
          <cell r="F167" t="str">
            <v>　　　　　　　　　　　　　　　差額請求</v>
          </cell>
          <cell r="G167" t="str">
            <v>　　　　　　　　　　　　　　　差額請求</v>
          </cell>
          <cell r="J167" t="str">
            <v>　　　　　　　　　　　　　　　差額請求</v>
          </cell>
        </row>
        <row r="168">
          <cell r="C168" t="str">
            <v>乳児保育</v>
          </cell>
          <cell r="D168" t="str">
            <v>予備保育士</v>
          </cell>
          <cell r="E168" t="str">
            <v>３未保育士</v>
          </cell>
          <cell r="F168" t="str">
            <v>産休明け</v>
          </cell>
          <cell r="G168" t="str">
            <v>調理員等</v>
          </cell>
          <cell r="H168" t="str">
            <v>障害児</v>
          </cell>
          <cell r="I168" t="str">
            <v>合計</v>
          </cell>
          <cell r="J168" t="str">
            <v>乳児保育</v>
          </cell>
          <cell r="K168" t="str">
            <v>予備保育士</v>
          </cell>
          <cell r="L168" t="str">
            <v>３未保育士</v>
          </cell>
          <cell r="M168" t="str">
            <v>産休明け</v>
          </cell>
          <cell r="N168" t="str">
            <v>調理員等</v>
          </cell>
          <cell r="O168" t="str">
            <v>障害児</v>
          </cell>
          <cell r="P168" t="str">
            <v>合計</v>
          </cell>
        </row>
        <row r="169">
          <cell r="A169">
            <v>1</v>
          </cell>
          <cell r="B169" t="str">
            <v>院内保育園</v>
          </cell>
          <cell r="C169">
            <v>0</v>
          </cell>
          <cell r="D169">
            <v>1887750</v>
          </cell>
          <cell r="E169">
            <v>3087000</v>
          </cell>
          <cell r="F169">
            <v>0</v>
          </cell>
          <cell r="G169">
            <v>1126500</v>
          </cell>
          <cell r="H169">
            <v>0</v>
          </cell>
          <cell r="I169">
            <v>6101250</v>
          </cell>
          <cell r="J169">
            <v>935000</v>
          </cell>
          <cell r="K169">
            <v>684250</v>
          </cell>
          <cell r="L169">
            <v>72000</v>
          </cell>
          <cell r="M169">
            <v>0</v>
          </cell>
          <cell r="N169">
            <v>461500</v>
          </cell>
          <cell r="O169">
            <v>0</v>
          </cell>
          <cell r="P169">
            <v>2152750</v>
          </cell>
        </row>
        <row r="170">
          <cell r="A170">
            <v>2</v>
          </cell>
          <cell r="B170" t="str">
            <v>旭ケ丘保育園</v>
          </cell>
          <cell r="C170">
            <v>0</v>
          </cell>
          <cell r="D170">
            <v>1887750</v>
          </cell>
          <cell r="E170">
            <v>3087000</v>
          </cell>
          <cell r="F170">
            <v>350250</v>
          </cell>
          <cell r="G170">
            <v>1191000</v>
          </cell>
          <cell r="H170">
            <v>1764000</v>
          </cell>
          <cell r="I170">
            <v>8280000</v>
          </cell>
          <cell r="J170">
            <v>0</v>
          </cell>
          <cell r="K170">
            <v>684250</v>
          </cell>
          <cell r="L170">
            <v>1125000</v>
          </cell>
          <cell r="M170">
            <v>116750</v>
          </cell>
          <cell r="N170">
            <v>397000</v>
          </cell>
          <cell r="O170">
            <v>588000</v>
          </cell>
          <cell r="P170">
            <v>2911000</v>
          </cell>
        </row>
        <row r="171">
          <cell r="A171">
            <v>3</v>
          </cell>
          <cell r="B171" t="str">
            <v>稲毛保育園</v>
          </cell>
          <cell r="C171">
            <v>0</v>
          </cell>
          <cell r="D171">
            <v>1887750</v>
          </cell>
          <cell r="E171">
            <v>3087000</v>
          </cell>
          <cell r="F171">
            <v>0</v>
          </cell>
          <cell r="G171">
            <v>1191000</v>
          </cell>
          <cell r="H171">
            <v>1764000</v>
          </cell>
          <cell r="I171">
            <v>7929750</v>
          </cell>
          <cell r="J171">
            <v>0</v>
          </cell>
          <cell r="K171">
            <v>469250</v>
          </cell>
          <cell r="L171">
            <v>423000</v>
          </cell>
          <cell r="M171">
            <v>0</v>
          </cell>
          <cell r="N171">
            <v>397000</v>
          </cell>
          <cell r="O171">
            <v>588000</v>
          </cell>
          <cell r="P171">
            <v>1877250</v>
          </cell>
        </row>
        <row r="172">
          <cell r="A172">
            <v>4</v>
          </cell>
          <cell r="B172" t="str">
            <v>みどり学園附属保育園</v>
          </cell>
          <cell r="C172">
            <v>0</v>
          </cell>
          <cell r="D172">
            <v>1887750</v>
          </cell>
          <cell r="E172">
            <v>3087000</v>
          </cell>
          <cell r="F172">
            <v>0</v>
          </cell>
          <cell r="G172">
            <v>1191000</v>
          </cell>
          <cell r="H172">
            <v>0</v>
          </cell>
          <cell r="I172">
            <v>6165750</v>
          </cell>
          <cell r="J172">
            <v>0</v>
          </cell>
          <cell r="K172">
            <v>684250</v>
          </cell>
          <cell r="L172">
            <v>1125000</v>
          </cell>
          <cell r="M172">
            <v>467000</v>
          </cell>
          <cell r="N172">
            <v>397000</v>
          </cell>
          <cell r="O172">
            <v>0</v>
          </cell>
          <cell r="P172">
            <v>2673250</v>
          </cell>
        </row>
        <row r="173">
          <cell r="A173">
            <v>5</v>
          </cell>
          <cell r="B173" t="str">
            <v>ちどり保育園</v>
          </cell>
          <cell r="C173">
            <v>0</v>
          </cell>
          <cell r="D173">
            <v>1887750</v>
          </cell>
          <cell r="E173">
            <v>3087000</v>
          </cell>
          <cell r="F173">
            <v>350250</v>
          </cell>
          <cell r="G173">
            <v>1188000</v>
          </cell>
          <cell r="H173">
            <v>0</v>
          </cell>
          <cell r="I173">
            <v>6513000</v>
          </cell>
          <cell r="J173">
            <v>1870000</v>
          </cell>
          <cell r="K173">
            <v>684250</v>
          </cell>
          <cell r="L173">
            <v>1125000</v>
          </cell>
          <cell r="M173">
            <v>116750</v>
          </cell>
          <cell r="N173">
            <v>400000</v>
          </cell>
          <cell r="O173">
            <v>2352000</v>
          </cell>
          <cell r="P173">
            <v>6548000</v>
          </cell>
        </row>
        <row r="174">
          <cell r="A174">
            <v>6</v>
          </cell>
          <cell r="B174" t="str">
            <v>今井保育園</v>
          </cell>
          <cell r="C174">
            <v>701250</v>
          </cell>
          <cell r="D174">
            <v>1887750</v>
          </cell>
          <cell r="E174">
            <v>3087000</v>
          </cell>
          <cell r="F174">
            <v>350250</v>
          </cell>
          <cell r="G174">
            <v>1191000</v>
          </cell>
          <cell r="H174">
            <v>1764000</v>
          </cell>
          <cell r="I174">
            <v>8981250</v>
          </cell>
          <cell r="J174">
            <v>233750</v>
          </cell>
          <cell r="K174">
            <v>684250</v>
          </cell>
          <cell r="L174">
            <v>1125000</v>
          </cell>
          <cell r="M174">
            <v>116750</v>
          </cell>
          <cell r="N174">
            <v>397000</v>
          </cell>
          <cell r="O174">
            <v>588000</v>
          </cell>
          <cell r="P174">
            <v>3144750</v>
          </cell>
        </row>
        <row r="175">
          <cell r="A175">
            <v>7</v>
          </cell>
          <cell r="B175" t="str">
            <v>若竹保育園</v>
          </cell>
          <cell r="C175">
            <v>0</v>
          </cell>
          <cell r="D175">
            <v>1887750</v>
          </cell>
          <cell r="E175">
            <v>3087000</v>
          </cell>
          <cell r="F175">
            <v>350250</v>
          </cell>
          <cell r="G175">
            <v>1191000</v>
          </cell>
          <cell r="H175">
            <v>1764000</v>
          </cell>
          <cell r="I175">
            <v>8280000</v>
          </cell>
          <cell r="J175">
            <v>935000</v>
          </cell>
          <cell r="K175">
            <v>684250</v>
          </cell>
          <cell r="L175">
            <v>1125000</v>
          </cell>
          <cell r="M175">
            <v>116750</v>
          </cell>
          <cell r="N175">
            <v>397000</v>
          </cell>
          <cell r="O175">
            <v>588000</v>
          </cell>
          <cell r="P175">
            <v>3846000</v>
          </cell>
        </row>
        <row r="176">
          <cell r="A176">
            <v>8</v>
          </cell>
          <cell r="B176" t="str">
            <v>千葉寺保育園</v>
          </cell>
          <cell r="C176">
            <v>0</v>
          </cell>
          <cell r="D176">
            <v>1887750</v>
          </cell>
          <cell r="E176">
            <v>3087000</v>
          </cell>
          <cell r="F176">
            <v>0</v>
          </cell>
          <cell r="G176">
            <v>1191000</v>
          </cell>
          <cell r="H176">
            <v>1764000</v>
          </cell>
          <cell r="I176">
            <v>7929750</v>
          </cell>
          <cell r="J176">
            <v>935000</v>
          </cell>
          <cell r="K176">
            <v>684250</v>
          </cell>
          <cell r="L176">
            <v>1125000</v>
          </cell>
          <cell r="M176">
            <v>467000</v>
          </cell>
          <cell r="N176">
            <v>397000</v>
          </cell>
          <cell r="O176">
            <v>588000</v>
          </cell>
          <cell r="P176">
            <v>4196250</v>
          </cell>
        </row>
        <row r="177">
          <cell r="A177">
            <v>9</v>
          </cell>
          <cell r="B177" t="str">
            <v>慈光保育園</v>
          </cell>
          <cell r="C177">
            <v>0</v>
          </cell>
          <cell r="D177">
            <v>1887750</v>
          </cell>
          <cell r="E177">
            <v>3087000</v>
          </cell>
          <cell r="F177">
            <v>350250</v>
          </cell>
          <cell r="G177">
            <v>1191000</v>
          </cell>
          <cell r="H177">
            <v>1764000</v>
          </cell>
          <cell r="I177">
            <v>8280000</v>
          </cell>
          <cell r="J177">
            <v>0</v>
          </cell>
          <cell r="K177">
            <v>684250</v>
          </cell>
          <cell r="L177">
            <v>1125000</v>
          </cell>
          <cell r="M177">
            <v>116750</v>
          </cell>
          <cell r="N177">
            <v>-297000</v>
          </cell>
          <cell r="O177">
            <v>588000</v>
          </cell>
          <cell r="P177">
            <v>2217000</v>
          </cell>
        </row>
        <row r="178">
          <cell r="A178">
            <v>10</v>
          </cell>
          <cell r="B178" t="str">
            <v>若梅保育園</v>
          </cell>
          <cell r="C178">
            <v>0</v>
          </cell>
          <cell r="D178">
            <v>1887750</v>
          </cell>
          <cell r="E178">
            <v>3087000</v>
          </cell>
          <cell r="F178">
            <v>350250</v>
          </cell>
          <cell r="G178">
            <v>1191000</v>
          </cell>
          <cell r="H178">
            <v>1764000</v>
          </cell>
          <cell r="I178">
            <v>8280000</v>
          </cell>
          <cell r="J178">
            <v>0</v>
          </cell>
          <cell r="K178">
            <v>684250</v>
          </cell>
          <cell r="L178">
            <v>1125000</v>
          </cell>
          <cell r="M178">
            <v>116750</v>
          </cell>
          <cell r="N178">
            <v>397000</v>
          </cell>
          <cell r="O178">
            <v>588000</v>
          </cell>
          <cell r="P178">
            <v>2911000</v>
          </cell>
        </row>
        <row r="179">
          <cell r="A179">
            <v>11</v>
          </cell>
          <cell r="B179" t="str">
            <v>チューリップ保育園</v>
          </cell>
          <cell r="C179">
            <v>0</v>
          </cell>
          <cell r="D179">
            <v>1887750</v>
          </cell>
          <cell r="E179">
            <v>3087000</v>
          </cell>
          <cell r="F179">
            <v>0</v>
          </cell>
          <cell r="G179">
            <v>807750</v>
          </cell>
          <cell r="H179">
            <v>1764000</v>
          </cell>
          <cell r="I179">
            <v>7546500</v>
          </cell>
          <cell r="J179">
            <v>935000</v>
          </cell>
          <cell r="K179">
            <v>684250</v>
          </cell>
          <cell r="L179">
            <v>1125000</v>
          </cell>
          <cell r="M179">
            <v>467000</v>
          </cell>
          <cell r="N179">
            <v>147250</v>
          </cell>
          <cell r="O179">
            <v>588000</v>
          </cell>
          <cell r="P179">
            <v>3946500</v>
          </cell>
        </row>
        <row r="180">
          <cell r="A180">
            <v>12</v>
          </cell>
          <cell r="B180" t="str">
            <v>幕張海浜保育園</v>
          </cell>
          <cell r="C180">
            <v>0</v>
          </cell>
          <cell r="D180">
            <v>1887750</v>
          </cell>
          <cell r="E180">
            <v>3087000</v>
          </cell>
          <cell r="F180">
            <v>350250</v>
          </cell>
          <cell r="G180">
            <v>1191000</v>
          </cell>
          <cell r="H180">
            <v>0</v>
          </cell>
          <cell r="I180">
            <v>6516000</v>
          </cell>
          <cell r="J180">
            <v>0</v>
          </cell>
          <cell r="K180">
            <v>684250</v>
          </cell>
          <cell r="L180">
            <v>1125000</v>
          </cell>
          <cell r="M180">
            <v>116750</v>
          </cell>
          <cell r="N180">
            <v>397000</v>
          </cell>
          <cell r="O180">
            <v>2352000</v>
          </cell>
          <cell r="P180">
            <v>4675000</v>
          </cell>
        </row>
        <row r="181">
          <cell r="A181">
            <v>13</v>
          </cell>
          <cell r="B181" t="str">
            <v>みつわ台保育園</v>
          </cell>
          <cell r="C181">
            <v>0</v>
          </cell>
          <cell r="D181">
            <v>1887750</v>
          </cell>
          <cell r="E181">
            <v>3087000</v>
          </cell>
          <cell r="F181">
            <v>350250</v>
          </cell>
          <cell r="G181">
            <v>1191000</v>
          </cell>
          <cell r="H181">
            <v>5292000</v>
          </cell>
          <cell r="I181">
            <v>11808000</v>
          </cell>
          <cell r="J181">
            <v>0</v>
          </cell>
          <cell r="K181">
            <v>684250</v>
          </cell>
          <cell r="L181">
            <v>1125000</v>
          </cell>
          <cell r="M181">
            <v>116750</v>
          </cell>
          <cell r="N181">
            <v>397000</v>
          </cell>
          <cell r="O181">
            <v>-588000</v>
          </cell>
          <cell r="P181">
            <v>1735000</v>
          </cell>
        </row>
        <row r="182">
          <cell r="A182">
            <v>14</v>
          </cell>
          <cell r="B182" t="str">
            <v>まどか保育園</v>
          </cell>
          <cell r="C182">
            <v>0</v>
          </cell>
          <cell r="D182">
            <v>1887750</v>
          </cell>
          <cell r="E182">
            <v>3087000</v>
          </cell>
          <cell r="F182">
            <v>350250</v>
          </cell>
          <cell r="G182">
            <v>1191000</v>
          </cell>
          <cell r="H182">
            <v>0</v>
          </cell>
          <cell r="I182">
            <v>6516000</v>
          </cell>
          <cell r="J182">
            <v>935000</v>
          </cell>
          <cell r="K182">
            <v>684250</v>
          </cell>
          <cell r="L182">
            <v>1125000</v>
          </cell>
          <cell r="M182">
            <v>116750</v>
          </cell>
          <cell r="N182">
            <v>265000</v>
          </cell>
          <cell r="O182">
            <v>0</v>
          </cell>
          <cell r="P182">
            <v>3126000</v>
          </cell>
        </row>
        <row r="183">
          <cell r="A183">
            <v>15</v>
          </cell>
          <cell r="B183" t="str">
            <v>わかくさ保育園</v>
          </cell>
          <cell r="C183">
            <v>0</v>
          </cell>
          <cell r="D183">
            <v>1887750</v>
          </cell>
          <cell r="E183">
            <v>3087000</v>
          </cell>
          <cell r="F183">
            <v>350250</v>
          </cell>
          <cell r="G183">
            <v>1191000</v>
          </cell>
          <cell r="H183">
            <v>0</v>
          </cell>
          <cell r="I183">
            <v>6516000</v>
          </cell>
          <cell r="J183">
            <v>0</v>
          </cell>
          <cell r="K183">
            <v>684250</v>
          </cell>
          <cell r="L183">
            <v>423000</v>
          </cell>
          <cell r="M183">
            <v>116750</v>
          </cell>
          <cell r="N183">
            <v>-43000</v>
          </cell>
          <cell r="O183">
            <v>0</v>
          </cell>
          <cell r="P183">
            <v>1181000</v>
          </cell>
        </row>
        <row r="184">
          <cell r="A184">
            <v>16</v>
          </cell>
          <cell r="B184" t="str">
            <v>たいよう保育園</v>
          </cell>
          <cell r="C184">
            <v>0</v>
          </cell>
          <cell r="D184">
            <v>1887750</v>
          </cell>
          <cell r="E184">
            <v>3087000</v>
          </cell>
          <cell r="F184">
            <v>350250</v>
          </cell>
          <cell r="G184">
            <v>1191000</v>
          </cell>
          <cell r="H184">
            <v>0</v>
          </cell>
          <cell r="I184">
            <v>6516000</v>
          </cell>
          <cell r="J184">
            <v>935000</v>
          </cell>
          <cell r="K184">
            <v>684250</v>
          </cell>
          <cell r="L184">
            <v>1125000</v>
          </cell>
          <cell r="M184">
            <v>116750</v>
          </cell>
          <cell r="N184">
            <v>397000</v>
          </cell>
          <cell r="O184">
            <v>0</v>
          </cell>
          <cell r="P184">
            <v>3258000</v>
          </cell>
        </row>
        <row r="185">
          <cell r="A185">
            <v>17</v>
          </cell>
          <cell r="B185" t="str">
            <v>松ケ丘保育園</v>
          </cell>
          <cell r="C185">
            <v>0</v>
          </cell>
          <cell r="D185">
            <v>1887750</v>
          </cell>
          <cell r="E185">
            <v>3087000</v>
          </cell>
          <cell r="F185">
            <v>350250</v>
          </cell>
          <cell r="G185">
            <v>966000</v>
          </cell>
          <cell r="H185">
            <v>1764000</v>
          </cell>
          <cell r="I185">
            <v>8055000</v>
          </cell>
          <cell r="J185">
            <v>0</v>
          </cell>
          <cell r="K185">
            <v>684250</v>
          </cell>
          <cell r="L185">
            <v>1125000</v>
          </cell>
          <cell r="M185">
            <v>116750</v>
          </cell>
          <cell r="N185">
            <v>77000</v>
          </cell>
          <cell r="O185">
            <v>588000</v>
          </cell>
          <cell r="P185">
            <v>2591000</v>
          </cell>
        </row>
        <row r="186">
          <cell r="A186">
            <v>18</v>
          </cell>
          <cell r="B186" t="str">
            <v>作草部保育園</v>
          </cell>
          <cell r="C186">
            <v>0</v>
          </cell>
          <cell r="D186">
            <v>1887750</v>
          </cell>
          <cell r="E186">
            <v>3087000</v>
          </cell>
          <cell r="F186">
            <v>350250</v>
          </cell>
          <cell r="G186">
            <v>1191000</v>
          </cell>
          <cell r="H186">
            <v>1764000</v>
          </cell>
          <cell r="I186">
            <v>8280000</v>
          </cell>
          <cell r="J186">
            <v>0</v>
          </cell>
          <cell r="K186">
            <v>684250</v>
          </cell>
          <cell r="L186">
            <v>1125000</v>
          </cell>
          <cell r="M186">
            <v>116750</v>
          </cell>
          <cell r="N186">
            <v>397000</v>
          </cell>
          <cell r="O186">
            <v>-1764000</v>
          </cell>
          <cell r="P186">
            <v>559000</v>
          </cell>
        </row>
        <row r="187">
          <cell r="A187">
            <v>19</v>
          </cell>
          <cell r="B187" t="str">
            <v>すずらん保育園</v>
          </cell>
          <cell r="C187">
            <v>0</v>
          </cell>
          <cell r="D187">
            <v>1887750</v>
          </cell>
          <cell r="E187">
            <v>3087000</v>
          </cell>
          <cell r="F187">
            <v>350250</v>
          </cell>
          <cell r="G187">
            <v>1191000</v>
          </cell>
          <cell r="H187">
            <v>1764000</v>
          </cell>
          <cell r="I187">
            <v>8280000</v>
          </cell>
          <cell r="J187">
            <v>0</v>
          </cell>
          <cell r="K187">
            <v>684250</v>
          </cell>
          <cell r="L187">
            <v>1125000</v>
          </cell>
          <cell r="M187">
            <v>116750</v>
          </cell>
          <cell r="N187">
            <v>397000</v>
          </cell>
          <cell r="O187">
            <v>588000</v>
          </cell>
          <cell r="P187">
            <v>2911000</v>
          </cell>
        </row>
        <row r="188">
          <cell r="A188">
            <v>20</v>
          </cell>
          <cell r="B188" t="str">
            <v>なぎさ保育園</v>
          </cell>
          <cell r="C188">
            <v>0</v>
          </cell>
          <cell r="D188">
            <v>1887750</v>
          </cell>
          <cell r="E188">
            <v>3087000</v>
          </cell>
          <cell r="F188">
            <v>350250</v>
          </cell>
          <cell r="G188">
            <v>1191000</v>
          </cell>
          <cell r="H188">
            <v>0</v>
          </cell>
          <cell r="I188">
            <v>6516000</v>
          </cell>
          <cell r="J188">
            <v>0</v>
          </cell>
          <cell r="K188">
            <v>684250</v>
          </cell>
          <cell r="L188">
            <v>1125000</v>
          </cell>
          <cell r="M188">
            <v>116750</v>
          </cell>
          <cell r="N188">
            <v>397000</v>
          </cell>
          <cell r="O188">
            <v>0</v>
          </cell>
          <cell r="P188">
            <v>2323000</v>
          </cell>
        </row>
        <row r="189">
          <cell r="A189">
            <v>21</v>
          </cell>
          <cell r="B189" t="str">
            <v>南小中台保育園</v>
          </cell>
          <cell r="C189">
            <v>0</v>
          </cell>
          <cell r="D189">
            <v>1887750</v>
          </cell>
          <cell r="E189">
            <v>3087000</v>
          </cell>
          <cell r="F189">
            <v>350250</v>
          </cell>
          <cell r="G189">
            <v>1191000</v>
          </cell>
          <cell r="H189">
            <v>1764000</v>
          </cell>
          <cell r="I189">
            <v>8280000</v>
          </cell>
          <cell r="J189">
            <v>0</v>
          </cell>
          <cell r="K189">
            <v>684250</v>
          </cell>
          <cell r="L189">
            <v>774000</v>
          </cell>
          <cell r="M189">
            <v>116750</v>
          </cell>
          <cell r="N189">
            <v>397000</v>
          </cell>
          <cell r="O189">
            <v>588000</v>
          </cell>
          <cell r="P189">
            <v>2560000</v>
          </cell>
        </row>
        <row r="190">
          <cell r="A190">
            <v>22</v>
          </cell>
          <cell r="B190" t="str">
            <v>もみじ保育園</v>
          </cell>
          <cell r="C190">
            <v>0</v>
          </cell>
          <cell r="D190">
            <v>1887750</v>
          </cell>
          <cell r="E190">
            <v>3087000</v>
          </cell>
          <cell r="F190">
            <v>0</v>
          </cell>
          <cell r="G190">
            <v>1191000</v>
          </cell>
          <cell r="H190">
            <v>1764000</v>
          </cell>
          <cell r="I190">
            <v>7929750</v>
          </cell>
          <cell r="J190">
            <v>935000</v>
          </cell>
          <cell r="K190">
            <v>684250</v>
          </cell>
          <cell r="L190">
            <v>1125000</v>
          </cell>
          <cell r="M190">
            <v>467000</v>
          </cell>
          <cell r="N190">
            <v>397000</v>
          </cell>
          <cell r="O190">
            <v>588000</v>
          </cell>
          <cell r="P190">
            <v>4196250</v>
          </cell>
        </row>
        <row r="191">
          <cell r="A191">
            <v>23</v>
          </cell>
          <cell r="B191" t="str">
            <v>おゆみ野保育園</v>
          </cell>
          <cell r="C191">
            <v>0</v>
          </cell>
          <cell r="D191">
            <v>1887750</v>
          </cell>
          <cell r="E191">
            <v>3087000</v>
          </cell>
          <cell r="F191">
            <v>350250</v>
          </cell>
          <cell r="G191">
            <v>1191000</v>
          </cell>
          <cell r="H191">
            <v>1764000</v>
          </cell>
          <cell r="I191">
            <v>8280000</v>
          </cell>
          <cell r="J191">
            <v>0</v>
          </cell>
          <cell r="K191">
            <v>684250</v>
          </cell>
          <cell r="L191">
            <v>1125000</v>
          </cell>
          <cell r="M191">
            <v>116750</v>
          </cell>
          <cell r="N191">
            <v>397000</v>
          </cell>
          <cell r="O191">
            <v>588000</v>
          </cell>
          <cell r="P191">
            <v>2911000</v>
          </cell>
        </row>
        <row r="192">
          <cell r="A192">
            <v>24</v>
          </cell>
          <cell r="B192" t="str">
            <v>ナーセリー鏡戸</v>
          </cell>
          <cell r="C192">
            <v>701250</v>
          </cell>
          <cell r="D192">
            <v>1887750</v>
          </cell>
          <cell r="E192">
            <v>3087000</v>
          </cell>
          <cell r="F192">
            <v>350250</v>
          </cell>
          <cell r="G192">
            <v>1191000</v>
          </cell>
          <cell r="H192">
            <v>0</v>
          </cell>
          <cell r="I192">
            <v>7217250</v>
          </cell>
          <cell r="J192">
            <v>-701250</v>
          </cell>
          <cell r="K192">
            <v>684250</v>
          </cell>
          <cell r="L192">
            <v>1125000</v>
          </cell>
          <cell r="M192">
            <v>116750</v>
          </cell>
          <cell r="N192">
            <v>397000</v>
          </cell>
          <cell r="O192">
            <v>0</v>
          </cell>
          <cell r="P192">
            <v>1621750</v>
          </cell>
        </row>
        <row r="193">
          <cell r="A193">
            <v>25</v>
          </cell>
          <cell r="B193" t="str">
            <v>打瀬保育園</v>
          </cell>
          <cell r="C193">
            <v>0</v>
          </cell>
          <cell r="D193">
            <v>1887750</v>
          </cell>
          <cell r="E193">
            <v>3087000</v>
          </cell>
          <cell r="F193">
            <v>350250</v>
          </cell>
          <cell r="G193">
            <v>1191000</v>
          </cell>
          <cell r="H193">
            <v>0</v>
          </cell>
          <cell r="I193">
            <v>6516000</v>
          </cell>
          <cell r="J193">
            <v>0</v>
          </cell>
          <cell r="K193">
            <v>684250</v>
          </cell>
          <cell r="L193">
            <v>1125000</v>
          </cell>
          <cell r="M193">
            <v>116750</v>
          </cell>
          <cell r="N193">
            <v>397000</v>
          </cell>
          <cell r="O193">
            <v>0</v>
          </cell>
          <cell r="P193">
            <v>2323000</v>
          </cell>
        </row>
        <row r="194">
          <cell r="A194">
            <v>26</v>
          </cell>
          <cell r="B194" t="str">
            <v>ふたば保育園</v>
          </cell>
          <cell r="C194">
            <v>0</v>
          </cell>
          <cell r="D194">
            <v>1887750</v>
          </cell>
          <cell r="E194">
            <v>3087000</v>
          </cell>
          <cell r="F194">
            <v>350250</v>
          </cell>
          <cell r="G194">
            <v>1191000</v>
          </cell>
          <cell r="H194">
            <v>3528000</v>
          </cell>
          <cell r="I194">
            <v>10044000</v>
          </cell>
          <cell r="J194">
            <v>0</v>
          </cell>
          <cell r="K194">
            <v>684250</v>
          </cell>
          <cell r="L194">
            <v>1125000</v>
          </cell>
          <cell r="M194">
            <v>116750</v>
          </cell>
          <cell r="N194">
            <v>397000</v>
          </cell>
          <cell r="O194">
            <v>1176000</v>
          </cell>
          <cell r="P194">
            <v>3499000</v>
          </cell>
        </row>
        <row r="195">
          <cell r="A195">
            <v>27</v>
          </cell>
          <cell r="B195" t="str">
            <v>明和輝保育園</v>
          </cell>
          <cell r="C195">
            <v>701250</v>
          </cell>
          <cell r="D195">
            <v>1887750</v>
          </cell>
          <cell r="E195">
            <v>3087000</v>
          </cell>
          <cell r="F195">
            <v>0</v>
          </cell>
          <cell r="G195">
            <v>1191000</v>
          </cell>
          <cell r="H195">
            <v>1764000</v>
          </cell>
          <cell r="I195">
            <v>8631000</v>
          </cell>
          <cell r="J195">
            <v>-701250</v>
          </cell>
          <cell r="K195">
            <v>684250</v>
          </cell>
          <cell r="L195">
            <v>1125000</v>
          </cell>
          <cell r="M195">
            <v>467000</v>
          </cell>
          <cell r="N195">
            <v>397000</v>
          </cell>
          <cell r="O195">
            <v>588000</v>
          </cell>
          <cell r="P195">
            <v>2560000</v>
          </cell>
        </row>
        <row r="196">
          <cell r="A196">
            <v>28</v>
          </cell>
          <cell r="B196" t="str">
            <v>山王保育園</v>
          </cell>
          <cell r="C196">
            <v>0</v>
          </cell>
          <cell r="D196">
            <v>1887750</v>
          </cell>
          <cell r="E196">
            <v>3087000</v>
          </cell>
          <cell r="F196">
            <v>350250</v>
          </cell>
          <cell r="G196">
            <v>1191000</v>
          </cell>
          <cell r="H196">
            <v>0</v>
          </cell>
          <cell r="I196">
            <v>6516000</v>
          </cell>
          <cell r="J196">
            <v>0</v>
          </cell>
          <cell r="K196">
            <v>684250</v>
          </cell>
          <cell r="L196">
            <v>1125000</v>
          </cell>
          <cell r="M196">
            <v>116750</v>
          </cell>
          <cell r="N196">
            <v>397000</v>
          </cell>
          <cell r="O196">
            <v>2352000</v>
          </cell>
          <cell r="P196">
            <v>4675000</v>
          </cell>
        </row>
        <row r="197">
          <cell r="A197">
            <v>29</v>
          </cell>
          <cell r="B197" t="str">
            <v>チャイルド・ガーデン保育園</v>
          </cell>
          <cell r="C197">
            <v>0</v>
          </cell>
          <cell r="D197">
            <v>1887750</v>
          </cell>
          <cell r="E197">
            <v>3087000</v>
          </cell>
          <cell r="F197">
            <v>0</v>
          </cell>
          <cell r="G197">
            <v>1191000</v>
          </cell>
          <cell r="H197">
            <v>0</v>
          </cell>
          <cell r="I197">
            <v>6165750</v>
          </cell>
          <cell r="J197">
            <v>0</v>
          </cell>
          <cell r="K197">
            <v>684250</v>
          </cell>
          <cell r="L197">
            <v>774000</v>
          </cell>
          <cell r="M197">
            <v>467000</v>
          </cell>
          <cell r="N197">
            <v>397000</v>
          </cell>
          <cell r="O197">
            <v>392000</v>
          </cell>
          <cell r="P197">
            <v>2714250</v>
          </cell>
        </row>
        <row r="198">
          <cell r="A198">
            <v>30</v>
          </cell>
          <cell r="B198" t="str">
            <v>明徳土気保育園</v>
          </cell>
          <cell r="C198">
            <v>0</v>
          </cell>
          <cell r="D198">
            <v>1887750</v>
          </cell>
          <cell r="E198">
            <v>3087000</v>
          </cell>
          <cell r="F198">
            <v>350250</v>
          </cell>
          <cell r="G198">
            <v>1191000</v>
          </cell>
          <cell r="H198">
            <v>3528000</v>
          </cell>
          <cell r="I198">
            <v>10044000</v>
          </cell>
          <cell r="J198">
            <v>0</v>
          </cell>
          <cell r="K198">
            <v>684250</v>
          </cell>
          <cell r="L198">
            <v>1125000</v>
          </cell>
          <cell r="M198">
            <v>116750</v>
          </cell>
          <cell r="N198">
            <v>397000</v>
          </cell>
          <cell r="O198">
            <v>1176000</v>
          </cell>
          <cell r="P198">
            <v>3499000</v>
          </cell>
        </row>
        <row r="199">
          <cell r="A199">
            <v>31</v>
          </cell>
          <cell r="B199" t="str">
            <v>グレース保育園</v>
          </cell>
          <cell r="C199">
            <v>0</v>
          </cell>
          <cell r="D199">
            <v>1887750</v>
          </cell>
          <cell r="E199">
            <v>3087000</v>
          </cell>
          <cell r="F199">
            <v>0</v>
          </cell>
          <cell r="G199">
            <v>1191000</v>
          </cell>
          <cell r="H199">
            <v>1764000</v>
          </cell>
          <cell r="I199">
            <v>7929750</v>
          </cell>
          <cell r="J199">
            <v>0</v>
          </cell>
          <cell r="K199">
            <v>684250</v>
          </cell>
          <cell r="L199">
            <v>1125000</v>
          </cell>
          <cell r="M199">
            <v>467000</v>
          </cell>
          <cell r="N199">
            <v>-138000</v>
          </cell>
          <cell r="O199">
            <v>2940000</v>
          </cell>
          <cell r="P199">
            <v>5078250</v>
          </cell>
        </row>
        <row r="200">
          <cell r="A200">
            <v>32</v>
          </cell>
          <cell r="B200" t="str">
            <v>みらい保育園</v>
          </cell>
          <cell r="C200">
            <v>0</v>
          </cell>
          <cell r="D200">
            <v>1887750</v>
          </cell>
          <cell r="E200">
            <v>3087000</v>
          </cell>
          <cell r="F200">
            <v>0</v>
          </cell>
          <cell r="G200">
            <v>1191000</v>
          </cell>
          <cell r="H200">
            <v>1764000</v>
          </cell>
          <cell r="I200">
            <v>7929750</v>
          </cell>
          <cell r="J200">
            <v>0</v>
          </cell>
          <cell r="K200">
            <v>684250</v>
          </cell>
          <cell r="L200">
            <v>1125000</v>
          </cell>
          <cell r="M200">
            <v>467000</v>
          </cell>
          <cell r="N200">
            <v>397000</v>
          </cell>
          <cell r="O200">
            <v>-1764000</v>
          </cell>
          <cell r="P200">
            <v>909250</v>
          </cell>
        </row>
        <row r="201">
          <cell r="A201">
            <v>33</v>
          </cell>
          <cell r="B201" t="str">
            <v>かまとり保育園</v>
          </cell>
          <cell r="C201">
            <v>0</v>
          </cell>
          <cell r="D201">
            <v>1887750</v>
          </cell>
          <cell r="E201">
            <v>3087000</v>
          </cell>
          <cell r="F201">
            <v>0</v>
          </cell>
          <cell r="G201">
            <v>1191000</v>
          </cell>
          <cell r="H201">
            <v>1764000</v>
          </cell>
          <cell r="I201">
            <v>7929750</v>
          </cell>
          <cell r="J201">
            <v>0</v>
          </cell>
          <cell r="K201">
            <v>684250</v>
          </cell>
          <cell r="L201">
            <v>1125000</v>
          </cell>
          <cell r="M201">
            <v>467000</v>
          </cell>
          <cell r="N201">
            <v>397000</v>
          </cell>
          <cell r="O201">
            <v>588000</v>
          </cell>
          <cell r="P201">
            <v>3261250</v>
          </cell>
        </row>
        <row r="202">
          <cell r="A202">
            <v>34</v>
          </cell>
          <cell r="B202" t="str">
            <v>植草弁天保育園</v>
          </cell>
          <cell r="C202">
            <v>701250</v>
          </cell>
          <cell r="D202">
            <v>1887750</v>
          </cell>
          <cell r="E202">
            <v>3087000</v>
          </cell>
          <cell r="F202">
            <v>350250</v>
          </cell>
          <cell r="G202">
            <v>1191000</v>
          </cell>
          <cell r="H202">
            <v>0</v>
          </cell>
          <cell r="I202">
            <v>7217250</v>
          </cell>
          <cell r="J202">
            <v>233750</v>
          </cell>
          <cell r="K202">
            <v>255250</v>
          </cell>
          <cell r="L202">
            <v>-1332000</v>
          </cell>
          <cell r="M202">
            <v>-350250</v>
          </cell>
          <cell r="N202">
            <v>397000</v>
          </cell>
          <cell r="O202">
            <v>0</v>
          </cell>
          <cell r="P202">
            <v>-796250</v>
          </cell>
        </row>
        <row r="203">
          <cell r="A203">
            <v>35</v>
          </cell>
          <cell r="B203" t="str">
            <v>ひなたぼっこ保育園</v>
          </cell>
          <cell r="C203">
            <v>0</v>
          </cell>
          <cell r="D203">
            <v>1887750</v>
          </cell>
          <cell r="E203">
            <v>3087000</v>
          </cell>
          <cell r="F203">
            <v>350250</v>
          </cell>
          <cell r="G203">
            <v>1191000</v>
          </cell>
          <cell r="H203">
            <v>0</v>
          </cell>
          <cell r="I203">
            <v>6516000</v>
          </cell>
          <cell r="J203">
            <v>0</v>
          </cell>
          <cell r="K203">
            <v>684250</v>
          </cell>
          <cell r="L203">
            <v>1125000</v>
          </cell>
          <cell r="M203">
            <v>-39250</v>
          </cell>
          <cell r="N203">
            <v>397000</v>
          </cell>
          <cell r="O203">
            <v>0</v>
          </cell>
          <cell r="P203">
            <v>2167000</v>
          </cell>
        </row>
        <row r="204">
          <cell r="A204">
            <v>36</v>
          </cell>
          <cell r="B204" t="str">
            <v>はまかぜ保育園</v>
          </cell>
          <cell r="C204">
            <v>0</v>
          </cell>
          <cell r="D204">
            <v>1887750</v>
          </cell>
          <cell r="E204">
            <v>3087000</v>
          </cell>
          <cell r="F204">
            <v>350250</v>
          </cell>
          <cell r="G204">
            <v>1191000</v>
          </cell>
          <cell r="H204">
            <v>0</v>
          </cell>
          <cell r="I204">
            <v>6516000</v>
          </cell>
          <cell r="J204">
            <v>935000</v>
          </cell>
          <cell r="K204">
            <v>684250</v>
          </cell>
          <cell r="L204">
            <v>1125000</v>
          </cell>
          <cell r="M204">
            <v>-195250</v>
          </cell>
          <cell r="N204">
            <v>397000</v>
          </cell>
          <cell r="O204">
            <v>0</v>
          </cell>
          <cell r="P204">
            <v>2946000</v>
          </cell>
        </row>
        <row r="205">
          <cell r="A205">
            <v>37</v>
          </cell>
          <cell r="B205" t="str">
            <v>いなほ保育園</v>
          </cell>
          <cell r="C205">
            <v>0</v>
          </cell>
          <cell r="D205">
            <v>1887750</v>
          </cell>
          <cell r="E205">
            <v>3087000</v>
          </cell>
          <cell r="F205">
            <v>350250</v>
          </cell>
          <cell r="G205">
            <v>1191000</v>
          </cell>
          <cell r="H205">
            <v>0</v>
          </cell>
          <cell r="I205">
            <v>6516000</v>
          </cell>
          <cell r="J205">
            <v>0</v>
          </cell>
          <cell r="K205">
            <v>684250</v>
          </cell>
          <cell r="L205">
            <v>1125000</v>
          </cell>
          <cell r="M205">
            <v>-39250</v>
          </cell>
          <cell r="N205">
            <v>-382000</v>
          </cell>
          <cell r="O205">
            <v>0</v>
          </cell>
          <cell r="P205">
            <v>1388000</v>
          </cell>
        </row>
        <row r="206">
          <cell r="A206">
            <v>38</v>
          </cell>
          <cell r="B206" t="str">
            <v>キッズマーム保育園</v>
          </cell>
          <cell r="C206">
            <v>0</v>
          </cell>
          <cell r="D206">
            <v>1887750</v>
          </cell>
          <cell r="E206">
            <v>3087000</v>
          </cell>
          <cell r="F206">
            <v>0</v>
          </cell>
          <cell r="G206">
            <v>1191000</v>
          </cell>
          <cell r="H206">
            <v>1764000</v>
          </cell>
          <cell r="I206">
            <v>7929750</v>
          </cell>
          <cell r="J206">
            <v>0</v>
          </cell>
          <cell r="K206">
            <v>684250</v>
          </cell>
          <cell r="L206">
            <v>1125000</v>
          </cell>
          <cell r="M206">
            <v>0</v>
          </cell>
          <cell r="N206">
            <v>397000</v>
          </cell>
          <cell r="O206">
            <v>0</v>
          </cell>
          <cell r="P206">
            <v>2206250</v>
          </cell>
        </row>
        <row r="207">
          <cell r="A207">
            <v>39</v>
          </cell>
          <cell r="B207" t="str">
            <v>アスク海浜幕張保育園</v>
          </cell>
          <cell r="C207">
            <v>0</v>
          </cell>
          <cell r="D207">
            <v>1887750</v>
          </cell>
          <cell r="E207">
            <v>3087000</v>
          </cell>
          <cell r="F207">
            <v>350250</v>
          </cell>
          <cell r="G207">
            <v>0</v>
          </cell>
          <cell r="H207">
            <v>0</v>
          </cell>
          <cell r="I207">
            <v>5325000</v>
          </cell>
          <cell r="J207">
            <v>935000</v>
          </cell>
          <cell r="K207">
            <v>684250</v>
          </cell>
          <cell r="L207">
            <v>72000</v>
          </cell>
          <cell r="M207">
            <v>-350250</v>
          </cell>
          <cell r="N207">
            <v>0</v>
          </cell>
          <cell r="O207">
            <v>0</v>
          </cell>
          <cell r="P207">
            <v>1341000</v>
          </cell>
        </row>
        <row r="208">
          <cell r="A208">
            <v>40</v>
          </cell>
          <cell r="B208" t="str">
            <v>明徳浜野駅保育園</v>
          </cell>
          <cell r="C208">
            <v>0</v>
          </cell>
          <cell r="D208">
            <v>1887750</v>
          </cell>
          <cell r="E208">
            <v>3087000</v>
          </cell>
          <cell r="F208">
            <v>0</v>
          </cell>
          <cell r="G208">
            <v>1191000</v>
          </cell>
          <cell r="H208">
            <v>0</v>
          </cell>
          <cell r="I208">
            <v>6165750</v>
          </cell>
          <cell r="J208">
            <v>0</v>
          </cell>
          <cell r="K208">
            <v>-1887750</v>
          </cell>
          <cell r="L208">
            <v>-3087000</v>
          </cell>
          <cell r="M208">
            <v>0</v>
          </cell>
          <cell r="N208">
            <v>-1191000</v>
          </cell>
          <cell r="O208">
            <v>0</v>
          </cell>
          <cell r="P208">
            <v>-6165750</v>
          </cell>
        </row>
        <row r="209">
          <cell r="A209">
            <v>41</v>
          </cell>
          <cell r="B209" t="str">
            <v>幕張いもっこ保育園</v>
          </cell>
          <cell r="C209">
            <v>0</v>
          </cell>
          <cell r="D209">
            <v>1887750</v>
          </cell>
          <cell r="E209">
            <v>3087000</v>
          </cell>
          <cell r="F209">
            <v>350250</v>
          </cell>
          <cell r="G209">
            <v>841500</v>
          </cell>
          <cell r="H209">
            <v>0</v>
          </cell>
          <cell r="I209">
            <v>6166500</v>
          </cell>
          <cell r="J209">
            <v>0</v>
          </cell>
          <cell r="K209">
            <v>-1887750</v>
          </cell>
          <cell r="L209">
            <v>-3087000</v>
          </cell>
          <cell r="M209">
            <v>-350250</v>
          </cell>
          <cell r="N209">
            <v>-841500</v>
          </cell>
          <cell r="O209">
            <v>0</v>
          </cell>
          <cell r="P209">
            <v>-6166500</v>
          </cell>
        </row>
        <row r="210">
          <cell r="A210">
            <v>42</v>
          </cell>
          <cell r="B210" t="str">
            <v>稲毛すきっぷ保育園</v>
          </cell>
          <cell r="C210">
            <v>0</v>
          </cell>
          <cell r="D210">
            <v>1887750</v>
          </cell>
          <cell r="E210">
            <v>3087000</v>
          </cell>
          <cell r="F210">
            <v>350250</v>
          </cell>
          <cell r="G210">
            <v>0</v>
          </cell>
          <cell r="H210">
            <v>0</v>
          </cell>
          <cell r="I210">
            <v>5325000</v>
          </cell>
          <cell r="J210">
            <v>0</v>
          </cell>
          <cell r="K210">
            <v>-1887750</v>
          </cell>
          <cell r="L210">
            <v>-3087000</v>
          </cell>
          <cell r="M210">
            <v>-350250</v>
          </cell>
          <cell r="N210">
            <v>0</v>
          </cell>
          <cell r="O210">
            <v>0</v>
          </cell>
          <cell r="P210">
            <v>-5325000</v>
          </cell>
        </row>
        <row r="211">
          <cell r="A211">
            <v>43</v>
          </cell>
          <cell r="B211" t="str">
            <v>千葉聖心保育園</v>
          </cell>
          <cell r="C211">
            <v>701250</v>
          </cell>
          <cell r="D211">
            <v>1887750</v>
          </cell>
          <cell r="E211">
            <v>3087000</v>
          </cell>
          <cell r="F211">
            <v>0</v>
          </cell>
          <cell r="G211">
            <v>0</v>
          </cell>
          <cell r="H211">
            <v>0</v>
          </cell>
          <cell r="I211">
            <v>5676000</v>
          </cell>
          <cell r="J211">
            <v>-701250</v>
          </cell>
          <cell r="K211">
            <v>-1887750</v>
          </cell>
          <cell r="L211">
            <v>-3087000</v>
          </cell>
          <cell r="M211">
            <v>0</v>
          </cell>
          <cell r="N211">
            <v>0</v>
          </cell>
          <cell r="O211">
            <v>0</v>
          </cell>
          <cell r="P211">
            <v>-5676000</v>
          </cell>
        </row>
        <row r="212">
          <cell r="A212">
            <v>44</v>
          </cell>
          <cell r="B212" t="str">
            <v>真生保育園</v>
          </cell>
          <cell r="C212">
            <v>0</v>
          </cell>
          <cell r="D212">
            <v>1887750</v>
          </cell>
          <cell r="E212">
            <v>3087000</v>
          </cell>
          <cell r="F212">
            <v>350250</v>
          </cell>
          <cell r="G212">
            <v>1191000</v>
          </cell>
          <cell r="H212">
            <v>0</v>
          </cell>
          <cell r="I212">
            <v>6516000</v>
          </cell>
          <cell r="J212">
            <v>0</v>
          </cell>
          <cell r="K212">
            <v>-1887750</v>
          </cell>
          <cell r="L212">
            <v>-3087000</v>
          </cell>
          <cell r="M212">
            <v>-350250</v>
          </cell>
          <cell r="N212">
            <v>-1191000</v>
          </cell>
          <cell r="O212">
            <v>0</v>
          </cell>
          <cell r="P212">
            <v>-6516000</v>
          </cell>
        </row>
        <row r="213">
          <cell r="A213">
            <v>45</v>
          </cell>
          <cell r="B213" t="str">
            <v>アップルナースリー検見川浜保育園</v>
          </cell>
          <cell r="C213">
            <v>0</v>
          </cell>
          <cell r="D213">
            <v>1887750</v>
          </cell>
          <cell r="E213">
            <v>3087000</v>
          </cell>
          <cell r="F213">
            <v>350250</v>
          </cell>
          <cell r="G213">
            <v>1191000</v>
          </cell>
          <cell r="H213">
            <v>0</v>
          </cell>
          <cell r="I213">
            <v>6516000</v>
          </cell>
          <cell r="J213">
            <v>0</v>
          </cell>
          <cell r="K213">
            <v>-1887750</v>
          </cell>
          <cell r="L213">
            <v>-3087000</v>
          </cell>
          <cell r="M213">
            <v>-350250</v>
          </cell>
          <cell r="N213">
            <v>-1191000</v>
          </cell>
          <cell r="O213">
            <v>0</v>
          </cell>
          <cell r="P213">
            <v>-6516000</v>
          </cell>
        </row>
        <row r="214">
          <cell r="A214">
            <v>46</v>
          </cell>
        </row>
        <row r="215">
          <cell r="A215">
            <v>47</v>
          </cell>
        </row>
        <row r="216">
          <cell r="A216">
            <v>48</v>
          </cell>
        </row>
        <row r="217">
          <cell r="A217">
            <v>49</v>
          </cell>
        </row>
        <row r="218">
          <cell r="A218">
            <v>50</v>
          </cell>
        </row>
        <row r="219">
          <cell r="B219" t="str">
            <v>この行は使わないこと</v>
          </cell>
        </row>
        <row r="220">
          <cell r="B220" t="str">
            <v>計</v>
          </cell>
          <cell r="C220">
            <v>3506250</v>
          </cell>
          <cell r="D220">
            <v>84948750</v>
          </cell>
          <cell r="E220">
            <v>138915000</v>
          </cell>
          <cell r="F220">
            <v>10857750</v>
          </cell>
          <cell r="G220">
            <v>48996750</v>
          </cell>
          <cell r="H220">
            <v>45864000</v>
          </cell>
          <cell r="I220">
            <v>333088500</v>
          </cell>
          <cell r="J220">
            <v>8648750</v>
          </cell>
          <cell r="K220">
            <v>14715250</v>
          </cell>
          <cell r="L220">
            <v>18684000</v>
          </cell>
          <cell r="M220">
            <v>4396250</v>
          </cell>
          <cell r="N220">
            <v>7589250</v>
          </cell>
          <cell r="O220">
            <v>17444000</v>
          </cell>
          <cell r="P220">
            <v>71477500</v>
          </cell>
        </row>
      </sheetData>
    </sheetDataSet>
  </externalBook>
</externalLink>
</file>

<file path=xl/persons/person.xml><?xml version="1.0" encoding="utf-8"?>
<personList xmlns="http://schemas.microsoft.com/office/spreadsheetml/2018/threadedcomments" xmlns:x="http://schemas.openxmlformats.org/spreadsheetml/2006/main">
  <person displayName="髙木　章友" id="{877F2056-8534-4315-BA8D-99F4AE0FAC82}" userId="S::01097050@chains.city.chiba.jp::dac838fb-e6be-4f88-9d6e-c2795232e879" providerId="AD"/>
</personList>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52" dT="2026-03-16T10:12:26.96" personId="{877F2056-8534-4315-BA8D-99F4AE0FAC82}" id="{B40928C9-D74B-4B89-9A04-D68C5E1F1F06}">
    <text>当初、第二期、実績で参照先を変えること。</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13.bin"/><Relationship Id="rId4" Type="http://schemas.openxmlformats.org/officeDocument/2006/relationships/comments" Target="../comments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22.bin"/><Relationship Id="rId4" Type="http://schemas.openxmlformats.org/officeDocument/2006/relationships/comments" Target="../comments4.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5.xml"/><Relationship Id="rId1" Type="http://schemas.openxmlformats.org/officeDocument/2006/relationships/printerSettings" Target="../printerSettings/printerSettings23.bin"/><Relationship Id="rId4" Type="http://schemas.openxmlformats.org/officeDocument/2006/relationships/comments" Target="../comments5.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6.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7.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1.xml"/><Relationship Id="rId1" Type="http://schemas.openxmlformats.org/officeDocument/2006/relationships/printerSettings" Target="../printerSettings/printerSettings29.bin"/><Relationship Id="rId4" Type="http://schemas.openxmlformats.org/officeDocument/2006/relationships/comments" Target="../comments6.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3.vml"/><Relationship Id="rId1" Type="http://schemas.openxmlformats.org/officeDocument/2006/relationships/printerSettings" Target="../printerSettings/printerSettings32.bin"/><Relationship Id="rId4" Type="http://schemas.microsoft.com/office/2017/10/relationships/threadedComment" Target="../threadedComments/threadedComment1.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185A57-7E92-4980-AAC8-40DE5CB101B6}">
  <sheetPr>
    <tabColor rgb="FF00B050"/>
  </sheetPr>
  <dimension ref="B2:F40"/>
  <sheetViews>
    <sheetView zoomScaleNormal="100" workbookViewId="0">
      <selection activeCell="E34" sqref="E34:F40"/>
    </sheetView>
  </sheetViews>
  <sheetFormatPr defaultRowHeight="15"/>
  <cols>
    <col min="1" max="1" width="8.6640625" style="336"/>
    <col min="2" max="2" width="10" style="336" customWidth="1"/>
    <col min="3" max="3" width="85.9140625" style="336" customWidth="1"/>
    <col min="4" max="4" width="8.6640625" style="336"/>
    <col min="5" max="5" width="8.25" style="336" customWidth="1"/>
    <col min="6" max="6" width="84.58203125" style="336" customWidth="1"/>
    <col min="7" max="16384" width="8.6640625" style="336"/>
  </cols>
  <sheetData>
    <row r="2" spans="2:3">
      <c r="B2" s="336" t="s">
        <v>1305</v>
      </c>
    </row>
    <row r="4" spans="2:3">
      <c r="B4" s="631" t="s">
        <v>319</v>
      </c>
      <c r="C4" s="631"/>
    </row>
    <row r="5" spans="2:3">
      <c r="B5" s="631"/>
      <c r="C5" s="631"/>
    </row>
    <row r="6" spans="2:3">
      <c r="B6" s="632" t="s">
        <v>293</v>
      </c>
      <c r="C6" s="632" t="s">
        <v>294</v>
      </c>
    </row>
    <row r="7" spans="2:3" ht="18" customHeight="1">
      <c r="B7" s="633" t="s">
        <v>338</v>
      </c>
      <c r="C7" s="634" t="s">
        <v>455</v>
      </c>
    </row>
    <row r="8" spans="2:3" ht="18" customHeight="1">
      <c r="B8" s="633" t="s">
        <v>454</v>
      </c>
      <c r="C8" s="634" t="s">
        <v>456</v>
      </c>
    </row>
    <row r="9" spans="2:3" ht="18" customHeight="1">
      <c r="B9" s="633" t="s">
        <v>784</v>
      </c>
      <c r="C9" s="634" t="s">
        <v>830</v>
      </c>
    </row>
    <row r="10" spans="2:3" ht="18" customHeight="1">
      <c r="B10" s="633" t="s">
        <v>785</v>
      </c>
      <c r="C10" s="634" t="s">
        <v>461</v>
      </c>
    </row>
    <row r="11" spans="2:3" ht="46" customHeight="1">
      <c r="B11" s="633" t="s">
        <v>786</v>
      </c>
      <c r="C11" s="634" t="s">
        <v>1681</v>
      </c>
    </row>
    <row r="12" spans="2:3" ht="18" customHeight="1">
      <c r="B12" s="635" t="s">
        <v>457</v>
      </c>
      <c r="C12" s="634" t="s">
        <v>339</v>
      </c>
    </row>
    <row r="13" spans="2:3" ht="18" customHeight="1">
      <c r="B13" s="635" t="s">
        <v>787</v>
      </c>
      <c r="C13" s="634" t="s">
        <v>788</v>
      </c>
    </row>
    <row r="14" spans="2:3" ht="37" customHeight="1">
      <c r="B14" s="635" t="s">
        <v>1683</v>
      </c>
      <c r="C14" s="634" t="s">
        <v>1682</v>
      </c>
    </row>
    <row r="15" spans="2:3" ht="31.5" customHeight="1">
      <c r="B15" s="635" t="s">
        <v>1684</v>
      </c>
      <c r="C15" s="634" t="s">
        <v>341</v>
      </c>
    </row>
    <row r="16" spans="2:3" ht="31.5" customHeight="1">
      <c r="B16" s="635" t="s">
        <v>1685</v>
      </c>
      <c r="C16" s="634" t="s">
        <v>340</v>
      </c>
    </row>
    <row r="17" spans="2:6" ht="31.5" customHeight="1">
      <c r="B17" s="635" t="s">
        <v>1299</v>
      </c>
      <c r="C17" s="634" t="s">
        <v>342</v>
      </c>
    </row>
    <row r="18" spans="2:6" ht="18" customHeight="1">
      <c r="B18" s="635" t="s">
        <v>1300</v>
      </c>
      <c r="C18" s="634" t="s">
        <v>1363</v>
      </c>
    </row>
    <row r="19" spans="2:6" ht="31.5" customHeight="1">
      <c r="B19" s="635" t="s">
        <v>1301</v>
      </c>
      <c r="C19" s="634" t="s">
        <v>1193</v>
      </c>
    </row>
    <row r="20" spans="2:6" ht="18" customHeight="1">
      <c r="B20" s="635" t="s">
        <v>1302</v>
      </c>
      <c r="C20" s="634" t="s">
        <v>1667</v>
      </c>
    </row>
    <row r="21" spans="2:6" ht="18" customHeight="1">
      <c r="B21" s="635" t="s">
        <v>1687</v>
      </c>
      <c r="C21" s="634" t="s">
        <v>1668</v>
      </c>
    </row>
    <row r="22" spans="2:6" ht="18" customHeight="1">
      <c r="B22" s="635" t="s">
        <v>1686</v>
      </c>
      <c r="C22" s="634" t="s">
        <v>1669</v>
      </c>
    </row>
    <row r="24" spans="2:6">
      <c r="E24" s="336" t="s">
        <v>1306</v>
      </c>
    </row>
    <row r="26" spans="2:6" ht="19.5" customHeight="1">
      <c r="E26" s="636" t="s">
        <v>325</v>
      </c>
      <c r="F26" s="637"/>
    </row>
    <row r="27" spans="2:6" ht="19.5" customHeight="1">
      <c r="E27" s="636" t="s">
        <v>326</v>
      </c>
      <c r="F27" s="636"/>
    </row>
    <row r="28" spans="2:6" ht="19.5" customHeight="1">
      <c r="E28" s="636" t="s">
        <v>343</v>
      </c>
      <c r="F28" s="636"/>
    </row>
    <row r="29" spans="2:6" ht="70" customHeight="1">
      <c r="E29" s="638" t="s">
        <v>623</v>
      </c>
      <c r="F29" s="639" t="s">
        <v>1307</v>
      </c>
    </row>
    <row r="30" spans="2:6" ht="51.5" customHeight="1">
      <c r="E30" s="638" t="s">
        <v>794</v>
      </c>
      <c r="F30" s="639" t="s">
        <v>1308</v>
      </c>
    </row>
    <row r="32" spans="2:6">
      <c r="E32" s="336" t="s">
        <v>1309</v>
      </c>
    </row>
    <row r="34" spans="5:6" ht="19.5" customHeight="1">
      <c r="E34" s="636" t="s">
        <v>325</v>
      </c>
      <c r="F34" s="636"/>
    </row>
    <row r="35" spans="5:6" ht="19.5" customHeight="1">
      <c r="E35" s="636" t="s">
        <v>329</v>
      </c>
      <c r="F35" s="636"/>
    </row>
    <row r="36" spans="5:6" ht="19.5" customHeight="1">
      <c r="E36" s="636" t="s">
        <v>343</v>
      </c>
      <c r="F36" s="636"/>
    </row>
    <row r="37" spans="5:6" ht="60">
      <c r="E37" s="638" t="s">
        <v>299</v>
      </c>
      <c r="F37" s="639" t="s">
        <v>1310</v>
      </c>
    </row>
    <row r="38" spans="5:6" ht="45">
      <c r="E38" s="638" t="s">
        <v>331</v>
      </c>
      <c r="F38" s="639" t="s">
        <v>1308</v>
      </c>
    </row>
    <row r="39" spans="5:6" ht="45">
      <c r="E39" s="638" t="s">
        <v>474</v>
      </c>
      <c r="F39" s="639" t="s">
        <v>1311</v>
      </c>
    </row>
    <row r="40" spans="5:6" ht="45">
      <c r="E40" s="638" t="s">
        <v>475</v>
      </c>
      <c r="F40" s="639" t="s">
        <v>1312</v>
      </c>
    </row>
  </sheetData>
  <phoneticPr fontId="1"/>
  <pageMargins left="0.7" right="0.7" top="0.75" bottom="0.75" header="0.3" footer="0.3"/>
  <pageSetup paperSize="9" scale="66" orientation="landscape" r:id="rId1"/>
  <rowBreaks count="1" manualBreakCount="1">
    <brk id="23" max="14" man="1"/>
  </rowBreaks>
  <colBreaks count="1" manualBreakCount="1">
    <brk id="3"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0049C-76C0-4AEC-8C71-EB1F1CCD9A36}">
  <dimension ref="A1:K29"/>
  <sheetViews>
    <sheetView view="pageBreakPreview" zoomScale="85" zoomScaleNormal="85" zoomScaleSheetLayoutView="85" workbookViewId="0">
      <selection activeCell="M10" sqref="M10"/>
    </sheetView>
  </sheetViews>
  <sheetFormatPr defaultRowHeight="16.5"/>
  <cols>
    <col min="1" max="1" width="5.08203125" style="120" customWidth="1"/>
    <col min="2" max="3" width="9" style="120"/>
    <col min="4" max="4" width="5.08203125" style="120" customWidth="1"/>
    <col min="5" max="10" width="9" style="120"/>
    <col min="11" max="11" width="8.25" style="120" customWidth="1"/>
    <col min="12" max="256" width="9" style="120"/>
    <col min="257" max="257" width="5.08203125" style="120" customWidth="1"/>
    <col min="258" max="259" width="9" style="120"/>
    <col min="260" max="260" width="5.08203125" style="120" customWidth="1"/>
    <col min="261" max="266" width="9" style="120"/>
    <col min="267" max="267" width="8.25" style="120" customWidth="1"/>
    <col min="268" max="512" width="9" style="120"/>
    <col min="513" max="513" width="5.08203125" style="120" customWidth="1"/>
    <col min="514" max="515" width="9" style="120"/>
    <col min="516" max="516" width="5.08203125" style="120" customWidth="1"/>
    <col min="517" max="522" width="9" style="120"/>
    <col min="523" max="523" width="8.25" style="120" customWidth="1"/>
    <col min="524" max="768" width="9" style="120"/>
    <col min="769" max="769" width="5.08203125" style="120" customWidth="1"/>
    <col min="770" max="771" width="9" style="120"/>
    <col min="772" max="772" width="5.08203125" style="120" customWidth="1"/>
    <col min="773" max="778" width="9" style="120"/>
    <col min="779" max="779" width="8.25" style="120" customWidth="1"/>
    <col min="780" max="1024" width="9" style="120"/>
    <col min="1025" max="1025" width="5.08203125" style="120" customWidth="1"/>
    <col min="1026" max="1027" width="9" style="120"/>
    <col min="1028" max="1028" width="5.08203125" style="120" customWidth="1"/>
    <col min="1029" max="1034" width="9" style="120"/>
    <col min="1035" max="1035" width="8.25" style="120" customWidth="1"/>
    <col min="1036" max="1280" width="9" style="120"/>
    <col min="1281" max="1281" width="5.08203125" style="120" customWidth="1"/>
    <col min="1282" max="1283" width="9" style="120"/>
    <col min="1284" max="1284" width="5.08203125" style="120" customWidth="1"/>
    <col min="1285" max="1290" width="9" style="120"/>
    <col min="1291" max="1291" width="8.25" style="120" customWidth="1"/>
    <col min="1292" max="1536" width="9" style="120"/>
    <col min="1537" max="1537" width="5.08203125" style="120" customWidth="1"/>
    <col min="1538" max="1539" width="9" style="120"/>
    <col min="1540" max="1540" width="5.08203125" style="120" customWidth="1"/>
    <col min="1541" max="1546" width="9" style="120"/>
    <col min="1547" max="1547" width="8.25" style="120" customWidth="1"/>
    <col min="1548" max="1792" width="9" style="120"/>
    <col min="1793" max="1793" width="5.08203125" style="120" customWidth="1"/>
    <col min="1794" max="1795" width="9" style="120"/>
    <col min="1796" max="1796" width="5.08203125" style="120" customWidth="1"/>
    <col min="1797" max="1802" width="9" style="120"/>
    <col min="1803" max="1803" width="8.25" style="120" customWidth="1"/>
    <col min="1804" max="2048" width="9" style="120"/>
    <col min="2049" max="2049" width="5.08203125" style="120" customWidth="1"/>
    <col min="2050" max="2051" width="9" style="120"/>
    <col min="2052" max="2052" width="5.08203125" style="120" customWidth="1"/>
    <col min="2053" max="2058" width="9" style="120"/>
    <col min="2059" max="2059" width="8.25" style="120" customWidth="1"/>
    <col min="2060" max="2304" width="9" style="120"/>
    <col min="2305" max="2305" width="5.08203125" style="120" customWidth="1"/>
    <col min="2306" max="2307" width="9" style="120"/>
    <col min="2308" max="2308" width="5.08203125" style="120" customWidth="1"/>
    <col min="2309" max="2314" width="9" style="120"/>
    <col min="2315" max="2315" width="8.25" style="120" customWidth="1"/>
    <col min="2316" max="2560" width="9" style="120"/>
    <col min="2561" max="2561" width="5.08203125" style="120" customWidth="1"/>
    <col min="2562" max="2563" width="9" style="120"/>
    <col min="2564" max="2564" width="5.08203125" style="120" customWidth="1"/>
    <col min="2565" max="2570" width="9" style="120"/>
    <col min="2571" max="2571" width="8.25" style="120" customWidth="1"/>
    <col min="2572" max="2816" width="9" style="120"/>
    <col min="2817" max="2817" width="5.08203125" style="120" customWidth="1"/>
    <col min="2818" max="2819" width="9" style="120"/>
    <col min="2820" max="2820" width="5.08203125" style="120" customWidth="1"/>
    <col min="2821" max="2826" width="9" style="120"/>
    <col min="2827" max="2827" width="8.25" style="120" customWidth="1"/>
    <col min="2828" max="3072" width="9" style="120"/>
    <col min="3073" max="3073" width="5.08203125" style="120" customWidth="1"/>
    <col min="3074" max="3075" width="9" style="120"/>
    <col min="3076" max="3076" width="5.08203125" style="120" customWidth="1"/>
    <col min="3077" max="3082" width="9" style="120"/>
    <col min="3083" max="3083" width="8.25" style="120" customWidth="1"/>
    <col min="3084" max="3328" width="9" style="120"/>
    <col min="3329" max="3329" width="5.08203125" style="120" customWidth="1"/>
    <col min="3330" max="3331" width="9" style="120"/>
    <col min="3332" max="3332" width="5.08203125" style="120" customWidth="1"/>
    <col min="3333" max="3338" width="9" style="120"/>
    <col min="3339" max="3339" width="8.25" style="120" customWidth="1"/>
    <col min="3340" max="3584" width="9" style="120"/>
    <col min="3585" max="3585" width="5.08203125" style="120" customWidth="1"/>
    <col min="3586" max="3587" width="9" style="120"/>
    <col min="3588" max="3588" width="5.08203125" style="120" customWidth="1"/>
    <col min="3589" max="3594" width="9" style="120"/>
    <col min="3595" max="3595" width="8.25" style="120" customWidth="1"/>
    <col min="3596" max="3840" width="9" style="120"/>
    <col min="3841" max="3841" width="5.08203125" style="120" customWidth="1"/>
    <col min="3842" max="3843" width="9" style="120"/>
    <col min="3844" max="3844" width="5.08203125" style="120" customWidth="1"/>
    <col min="3845" max="3850" width="9" style="120"/>
    <col min="3851" max="3851" width="8.25" style="120" customWidth="1"/>
    <col min="3852" max="4096" width="9" style="120"/>
    <col min="4097" max="4097" width="5.08203125" style="120" customWidth="1"/>
    <col min="4098" max="4099" width="9" style="120"/>
    <col min="4100" max="4100" width="5.08203125" style="120" customWidth="1"/>
    <col min="4101" max="4106" width="9" style="120"/>
    <col min="4107" max="4107" width="8.25" style="120" customWidth="1"/>
    <col min="4108" max="4352" width="9" style="120"/>
    <col min="4353" max="4353" width="5.08203125" style="120" customWidth="1"/>
    <col min="4354" max="4355" width="9" style="120"/>
    <col min="4356" max="4356" width="5.08203125" style="120" customWidth="1"/>
    <col min="4357" max="4362" width="9" style="120"/>
    <col min="4363" max="4363" width="8.25" style="120" customWidth="1"/>
    <col min="4364" max="4608" width="9" style="120"/>
    <col min="4609" max="4609" width="5.08203125" style="120" customWidth="1"/>
    <col min="4610" max="4611" width="9" style="120"/>
    <col min="4612" max="4612" width="5.08203125" style="120" customWidth="1"/>
    <col min="4613" max="4618" width="9" style="120"/>
    <col min="4619" max="4619" width="8.25" style="120" customWidth="1"/>
    <col min="4620" max="4864" width="9" style="120"/>
    <col min="4865" max="4865" width="5.08203125" style="120" customWidth="1"/>
    <col min="4866" max="4867" width="9" style="120"/>
    <col min="4868" max="4868" width="5.08203125" style="120" customWidth="1"/>
    <col min="4869" max="4874" width="9" style="120"/>
    <col min="4875" max="4875" width="8.25" style="120" customWidth="1"/>
    <col min="4876" max="5120" width="9" style="120"/>
    <col min="5121" max="5121" width="5.08203125" style="120" customWidth="1"/>
    <col min="5122" max="5123" width="9" style="120"/>
    <col min="5124" max="5124" width="5.08203125" style="120" customWidth="1"/>
    <col min="5125" max="5130" width="9" style="120"/>
    <col min="5131" max="5131" width="8.25" style="120" customWidth="1"/>
    <col min="5132" max="5376" width="9" style="120"/>
    <col min="5377" max="5377" width="5.08203125" style="120" customWidth="1"/>
    <col min="5378" max="5379" width="9" style="120"/>
    <col min="5380" max="5380" width="5.08203125" style="120" customWidth="1"/>
    <col min="5381" max="5386" width="9" style="120"/>
    <col min="5387" max="5387" width="8.25" style="120" customWidth="1"/>
    <col min="5388" max="5632" width="9" style="120"/>
    <col min="5633" max="5633" width="5.08203125" style="120" customWidth="1"/>
    <col min="5634" max="5635" width="9" style="120"/>
    <col min="5636" max="5636" width="5.08203125" style="120" customWidth="1"/>
    <col min="5637" max="5642" width="9" style="120"/>
    <col min="5643" max="5643" width="8.25" style="120" customWidth="1"/>
    <col min="5644" max="5888" width="9" style="120"/>
    <col min="5889" max="5889" width="5.08203125" style="120" customWidth="1"/>
    <col min="5890" max="5891" width="9" style="120"/>
    <col min="5892" max="5892" width="5.08203125" style="120" customWidth="1"/>
    <col min="5893" max="5898" width="9" style="120"/>
    <col min="5899" max="5899" width="8.25" style="120" customWidth="1"/>
    <col min="5900" max="6144" width="9" style="120"/>
    <col min="6145" max="6145" width="5.08203125" style="120" customWidth="1"/>
    <col min="6146" max="6147" width="9" style="120"/>
    <col min="6148" max="6148" width="5.08203125" style="120" customWidth="1"/>
    <col min="6149" max="6154" width="9" style="120"/>
    <col min="6155" max="6155" width="8.25" style="120" customWidth="1"/>
    <col min="6156" max="6400" width="9" style="120"/>
    <col min="6401" max="6401" width="5.08203125" style="120" customWidth="1"/>
    <col min="6402" max="6403" width="9" style="120"/>
    <col min="6404" max="6404" width="5.08203125" style="120" customWidth="1"/>
    <col min="6405" max="6410" width="9" style="120"/>
    <col min="6411" max="6411" width="8.25" style="120" customWidth="1"/>
    <col min="6412" max="6656" width="9" style="120"/>
    <col min="6657" max="6657" width="5.08203125" style="120" customWidth="1"/>
    <col min="6658" max="6659" width="9" style="120"/>
    <col min="6660" max="6660" width="5.08203125" style="120" customWidth="1"/>
    <col min="6661" max="6666" width="9" style="120"/>
    <col min="6667" max="6667" width="8.25" style="120" customWidth="1"/>
    <col min="6668" max="6912" width="9" style="120"/>
    <col min="6913" max="6913" width="5.08203125" style="120" customWidth="1"/>
    <col min="6914" max="6915" width="9" style="120"/>
    <col min="6916" max="6916" width="5.08203125" style="120" customWidth="1"/>
    <col min="6917" max="6922" width="9" style="120"/>
    <col min="6923" max="6923" width="8.25" style="120" customWidth="1"/>
    <col min="6924" max="7168" width="9" style="120"/>
    <col min="7169" max="7169" width="5.08203125" style="120" customWidth="1"/>
    <col min="7170" max="7171" width="9" style="120"/>
    <col min="7172" max="7172" width="5.08203125" style="120" customWidth="1"/>
    <col min="7173" max="7178" width="9" style="120"/>
    <col min="7179" max="7179" width="8.25" style="120" customWidth="1"/>
    <col min="7180" max="7424" width="9" style="120"/>
    <col min="7425" max="7425" width="5.08203125" style="120" customWidth="1"/>
    <col min="7426" max="7427" width="9" style="120"/>
    <col min="7428" max="7428" width="5.08203125" style="120" customWidth="1"/>
    <col min="7429" max="7434" width="9" style="120"/>
    <col min="7435" max="7435" width="8.25" style="120" customWidth="1"/>
    <col min="7436" max="7680" width="9" style="120"/>
    <col min="7681" max="7681" width="5.08203125" style="120" customWidth="1"/>
    <col min="7682" max="7683" width="9" style="120"/>
    <col min="7684" max="7684" width="5.08203125" style="120" customWidth="1"/>
    <col min="7685" max="7690" width="9" style="120"/>
    <col min="7691" max="7691" width="8.25" style="120" customWidth="1"/>
    <col min="7692" max="7936" width="9" style="120"/>
    <col min="7937" max="7937" width="5.08203125" style="120" customWidth="1"/>
    <col min="7938" max="7939" width="9" style="120"/>
    <col min="7940" max="7940" width="5.08203125" style="120" customWidth="1"/>
    <col min="7941" max="7946" width="9" style="120"/>
    <col min="7947" max="7947" width="8.25" style="120" customWidth="1"/>
    <col min="7948" max="8192" width="9" style="120"/>
    <col min="8193" max="8193" width="5.08203125" style="120" customWidth="1"/>
    <col min="8194" max="8195" width="9" style="120"/>
    <col min="8196" max="8196" width="5.08203125" style="120" customWidth="1"/>
    <col min="8197" max="8202" width="9" style="120"/>
    <col min="8203" max="8203" width="8.25" style="120" customWidth="1"/>
    <col min="8204" max="8448" width="9" style="120"/>
    <col min="8449" max="8449" width="5.08203125" style="120" customWidth="1"/>
    <col min="8450" max="8451" width="9" style="120"/>
    <col min="8452" max="8452" width="5.08203125" style="120" customWidth="1"/>
    <col min="8453" max="8458" width="9" style="120"/>
    <col min="8459" max="8459" width="8.25" style="120" customWidth="1"/>
    <col min="8460" max="8704" width="9" style="120"/>
    <col min="8705" max="8705" width="5.08203125" style="120" customWidth="1"/>
    <col min="8706" max="8707" width="9" style="120"/>
    <col min="8708" max="8708" width="5.08203125" style="120" customWidth="1"/>
    <col min="8709" max="8714" width="9" style="120"/>
    <col min="8715" max="8715" width="8.25" style="120" customWidth="1"/>
    <col min="8716" max="8960" width="9" style="120"/>
    <col min="8961" max="8961" width="5.08203125" style="120" customWidth="1"/>
    <col min="8962" max="8963" width="9" style="120"/>
    <col min="8964" max="8964" width="5.08203125" style="120" customWidth="1"/>
    <col min="8965" max="8970" width="9" style="120"/>
    <col min="8971" max="8971" width="8.25" style="120" customWidth="1"/>
    <col min="8972" max="9216" width="9" style="120"/>
    <col min="9217" max="9217" width="5.08203125" style="120" customWidth="1"/>
    <col min="9218" max="9219" width="9" style="120"/>
    <col min="9220" max="9220" width="5.08203125" style="120" customWidth="1"/>
    <col min="9221" max="9226" width="9" style="120"/>
    <col min="9227" max="9227" width="8.25" style="120" customWidth="1"/>
    <col min="9228" max="9472" width="9" style="120"/>
    <col min="9473" max="9473" width="5.08203125" style="120" customWidth="1"/>
    <col min="9474" max="9475" width="9" style="120"/>
    <col min="9476" max="9476" width="5.08203125" style="120" customWidth="1"/>
    <col min="9477" max="9482" width="9" style="120"/>
    <col min="9483" max="9483" width="8.25" style="120" customWidth="1"/>
    <col min="9484" max="9728" width="9" style="120"/>
    <col min="9729" max="9729" width="5.08203125" style="120" customWidth="1"/>
    <col min="9730" max="9731" width="9" style="120"/>
    <col min="9732" max="9732" width="5.08203125" style="120" customWidth="1"/>
    <col min="9733" max="9738" width="9" style="120"/>
    <col min="9739" max="9739" width="8.25" style="120" customWidth="1"/>
    <col min="9740" max="9984" width="9" style="120"/>
    <col min="9985" max="9985" width="5.08203125" style="120" customWidth="1"/>
    <col min="9986" max="9987" width="9" style="120"/>
    <col min="9988" max="9988" width="5.08203125" style="120" customWidth="1"/>
    <col min="9989" max="9994" width="9" style="120"/>
    <col min="9995" max="9995" width="8.25" style="120" customWidth="1"/>
    <col min="9996" max="10240" width="9" style="120"/>
    <col min="10241" max="10241" width="5.08203125" style="120" customWidth="1"/>
    <col min="10242" max="10243" width="9" style="120"/>
    <col min="10244" max="10244" width="5.08203125" style="120" customWidth="1"/>
    <col min="10245" max="10250" width="9" style="120"/>
    <col min="10251" max="10251" width="8.25" style="120" customWidth="1"/>
    <col min="10252" max="10496" width="9" style="120"/>
    <col min="10497" max="10497" width="5.08203125" style="120" customWidth="1"/>
    <col min="10498" max="10499" width="9" style="120"/>
    <col min="10500" max="10500" width="5.08203125" style="120" customWidth="1"/>
    <col min="10501" max="10506" width="9" style="120"/>
    <col min="10507" max="10507" width="8.25" style="120" customWidth="1"/>
    <col min="10508" max="10752" width="9" style="120"/>
    <col min="10753" max="10753" width="5.08203125" style="120" customWidth="1"/>
    <col min="10754" max="10755" width="9" style="120"/>
    <col min="10756" max="10756" width="5.08203125" style="120" customWidth="1"/>
    <col min="10757" max="10762" width="9" style="120"/>
    <col min="10763" max="10763" width="8.25" style="120" customWidth="1"/>
    <col min="10764" max="11008" width="9" style="120"/>
    <col min="11009" max="11009" width="5.08203125" style="120" customWidth="1"/>
    <col min="11010" max="11011" width="9" style="120"/>
    <col min="11012" max="11012" width="5.08203125" style="120" customWidth="1"/>
    <col min="11013" max="11018" width="9" style="120"/>
    <col min="11019" max="11019" width="8.25" style="120" customWidth="1"/>
    <col min="11020" max="11264" width="9" style="120"/>
    <col min="11265" max="11265" width="5.08203125" style="120" customWidth="1"/>
    <col min="11266" max="11267" width="9" style="120"/>
    <col min="11268" max="11268" width="5.08203125" style="120" customWidth="1"/>
    <col min="11269" max="11274" width="9" style="120"/>
    <col min="11275" max="11275" width="8.25" style="120" customWidth="1"/>
    <col min="11276" max="11520" width="9" style="120"/>
    <col min="11521" max="11521" width="5.08203125" style="120" customWidth="1"/>
    <col min="11522" max="11523" width="9" style="120"/>
    <col min="11524" max="11524" width="5.08203125" style="120" customWidth="1"/>
    <col min="11525" max="11530" width="9" style="120"/>
    <col min="11531" max="11531" width="8.25" style="120" customWidth="1"/>
    <col min="11532" max="11776" width="9" style="120"/>
    <col min="11777" max="11777" width="5.08203125" style="120" customWidth="1"/>
    <col min="11778" max="11779" width="9" style="120"/>
    <col min="11780" max="11780" width="5.08203125" style="120" customWidth="1"/>
    <col min="11781" max="11786" width="9" style="120"/>
    <col min="11787" max="11787" width="8.25" style="120" customWidth="1"/>
    <col min="11788" max="12032" width="9" style="120"/>
    <col min="12033" max="12033" width="5.08203125" style="120" customWidth="1"/>
    <col min="12034" max="12035" width="9" style="120"/>
    <col min="12036" max="12036" width="5.08203125" style="120" customWidth="1"/>
    <col min="12037" max="12042" width="9" style="120"/>
    <col min="12043" max="12043" width="8.25" style="120" customWidth="1"/>
    <col min="12044" max="12288" width="9" style="120"/>
    <col min="12289" max="12289" width="5.08203125" style="120" customWidth="1"/>
    <col min="12290" max="12291" width="9" style="120"/>
    <col min="12292" max="12292" width="5.08203125" style="120" customWidth="1"/>
    <col min="12293" max="12298" width="9" style="120"/>
    <col min="12299" max="12299" width="8.25" style="120" customWidth="1"/>
    <col min="12300" max="12544" width="9" style="120"/>
    <col min="12545" max="12545" width="5.08203125" style="120" customWidth="1"/>
    <col min="12546" max="12547" width="9" style="120"/>
    <col min="12548" max="12548" width="5.08203125" style="120" customWidth="1"/>
    <col min="12549" max="12554" width="9" style="120"/>
    <col min="12555" max="12555" width="8.25" style="120" customWidth="1"/>
    <col min="12556" max="12800" width="9" style="120"/>
    <col min="12801" max="12801" width="5.08203125" style="120" customWidth="1"/>
    <col min="12802" max="12803" width="9" style="120"/>
    <col min="12804" max="12804" width="5.08203125" style="120" customWidth="1"/>
    <col min="12805" max="12810" width="9" style="120"/>
    <col min="12811" max="12811" width="8.25" style="120" customWidth="1"/>
    <col min="12812" max="13056" width="9" style="120"/>
    <col min="13057" max="13057" width="5.08203125" style="120" customWidth="1"/>
    <col min="13058" max="13059" width="9" style="120"/>
    <col min="13060" max="13060" width="5.08203125" style="120" customWidth="1"/>
    <col min="13061" max="13066" width="9" style="120"/>
    <col min="13067" max="13067" width="8.25" style="120" customWidth="1"/>
    <col min="13068" max="13312" width="9" style="120"/>
    <col min="13313" max="13313" width="5.08203125" style="120" customWidth="1"/>
    <col min="13314" max="13315" width="9" style="120"/>
    <col min="13316" max="13316" width="5.08203125" style="120" customWidth="1"/>
    <col min="13317" max="13322" width="9" style="120"/>
    <col min="13323" max="13323" width="8.25" style="120" customWidth="1"/>
    <col min="13324" max="13568" width="9" style="120"/>
    <col min="13569" max="13569" width="5.08203125" style="120" customWidth="1"/>
    <col min="13570" max="13571" width="9" style="120"/>
    <col min="13572" max="13572" width="5.08203125" style="120" customWidth="1"/>
    <col min="13573" max="13578" width="9" style="120"/>
    <col min="13579" max="13579" width="8.25" style="120" customWidth="1"/>
    <col min="13580" max="13824" width="9" style="120"/>
    <col min="13825" max="13825" width="5.08203125" style="120" customWidth="1"/>
    <col min="13826" max="13827" width="9" style="120"/>
    <col min="13828" max="13828" width="5.08203125" style="120" customWidth="1"/>
    <col min="13829" max="13834" width="9" style="120"/>
    <col min="13835" max="13835" width="8.25" style="120" customWidth="1"/>
    <col min="13836" max="14080" width="9" style="120"/>
    <col min="14081" max="14081" width="5.08203125" style="120" customWidth="1"/>
    <col min="14082" max="14083" width="9" style="120"/>
    <col min="14084" max="14084" width="5.08203125" style="120" customWidth="1"/>
    <col min="14085" max="14090" width="9" style="120"/>
    <col min="14091" max="14091" width="8.25" style="120" customWidth="1"/>
    <col min="14092" max="14336" width="9" style="120"/>
    <col min="14337" max="14337" width="5.08203125" style="120" customWidth="1"/>
    <col min="14338" max="14339" width="9" style="120"/>
    <col min="14340" max="14340" width="5.08203125" style="120" customWidth="1"/>
    <col min="14341" max="14346" width="9" style="120"/>
    <col min="14347" max="14347" width="8.25" style="120" customWidth="1"/>
    <col min="14348" max="14592" width="9" style="120"/>
    <col min="14593" max="14593" width="5.08203125" style="120" customWidth="1"/>
    <col min="14594" max="14595" width="9" style="120"/>
    <col min="14596" max="14596" width="5.08203125" style="120" customWidth="1"/>
    <col min="14597" max="14602" width="9" style="120"/>
    <col min="14603" max="14603" width="8.25" style="120" customWidth="1"/>
    <col min="14604" max="14848" width="9" style="120"/>
    <col min="14849" max="14849" width="5.08203125" style="120" customWidth="1"/>
    <col min="14850" max="14851" width="9" style="120"/>
    <col min="14852" max="14852" width="5.08203125" style="120" customWidth="1"/>
    <col min="14853" max="14858" width="9" style="120"/>
    <col min="14859" max="14859" width="8.25" style="120" customWidth="1"/>
    <col min="14860" max="15104" width="9" style="120"/>
    <col min="15105" max="15105" width="5.08203125" style="120" customWidth="1"/>
    <col min="15106" max="15107" width="9" style="120"/>
    <col min="15108" max="15108" width="5.08203125" style="120" customWidth="1"/>
    <col min="15109" max="15114" width="9" style="120"/>
    <col min="15115" max="15115" width="8.25" style="120" customWidth="1"/>
    <col min="15116" max="15360" width="9" style="120"/>
    <col min="15361" max="15361" width="5.08203125" style="120" customWidth="1"/>
    <col min="15362" max="15363" width="9" style="120"/>
    <col min="15364" max="15364" width="5.08203125" style="120" customWidth="1"/>
    <col min="15365" max="15370" width="9" style="120"/>
    <col min="15371" max="15371" width="8.25" style="120" customWidth="1"/>
    <col min="15372" max="15616" width="9" style="120"/>
    <col min="15617" max="15617" width="5.08203125" style="120" customWidth="1"/>
    <col min="15618" max="15619" width="9" style="120"/>
    <col min="15620" max="15620" width="5.08203125" style="120" customWidth="1"/>
    <col min="15621" max="15626" width="9" style="120"/>
    <col min="15627" max="15627" width="8.25" style="120" customWidth="1"/>
    <col min="15628" max="15872" width="9" style="120"/>
    <col min="15873" max="15873" width="5.08203125" style="120" customWidth="1"/>
    <col min="15874" max="15875" width="9" style="120"/>
    <col min="15876" max="15876" width="5.08203125" style="120" customWidth="1"/>
    <col min="15877" max="15882" width="9" style="120"/>
    <col min="15883" max="15883" width="8.25" style="120" customWidth="1"/>
    <col min="15884" max="16128" width="9" style="120"/>
    <col min="16129" max="16129" width="5.08203125" style="120" customWidth="1"/>
    <col min="16130" max="16131" width="9" style="120"/>
    <col min="16132" max="16132" width="5.08203125" style="120" customWidth="1"/>
    <col min="16133" max="16138" width="9" style="120"/>
    <col min="16139" max="16139" width="8.25" style="120" customWidth="1"/>
    <col min="16140" max="16384" width="9" style="120"/>
  </cols>
  <sheetData>
    <row r="1" spans="1:11" ht="20.149999999999999" customHeight="1">
      <c r="A1" s="325"/>
      <c r="B1" s="325"/>
      <c r="C1" s="325"/>
      <c r="D1" s="325"/>
      <c r="E1" s="325"/>
      <c r="F1" s="325"/>
      <c r="G1" s="325"/>
      <c r="H1" s="325"/>
      <c r="I1" s="728"/>
      <c r="J1" s="728"/>
      <c r="K1" s="728"/>
    </row>
    <row r="2" spans="1:11" ht="5.15" customHeight="1">
      <c r="A2" s="325"/>
      <c r="B2" s="325"/>
      <c r="C2" s="325"/>
      <c r="D2" s="325"/>
      <c r="E2" s="325"/>
      <c r="F2" s="325"/>
      <c r="G2" s="325"/>
      <c r="H2" s="325"/>
      <c r="I2" s="326"/>
      <c r="J2" s="326"/>
      <c r="K2" s="326"/>
    </row>
    <row r="3" spans="1:11" ht="39.75" customHeight="1">
      <c r="A3" s="729" t="s">
        <v>946</v>
      </c>
      <c r="B3" s="729"/>
      <c r="C3" s="729"/>
      <c r="D3" s="729"/>
      <c r="E3" s="729"/>
      <c r="F3" s="729"/>
      <c r="G3" s="729"/>
      <c r="H3" s="729"/>
      <c r="I3" s="729"/>
      <c r="J3" s="729"/>
      <c r="K3" s="729"/>
    </row>
    <row r="4" spans="1:11" ht="20.149999999999999" customHeight="1">
      <c r="A4" s="121"/>
      <c r="B4" s="121"/>
      <c r="C4" s="121"/>
      <c r="D4" s="121"/>
      <c r="E4" s="121"/>
      <c r="F4" s="121"/>
      <c r="G4" s="121"/>
      <c r="H4" s="327"/>
      <c r="I4" s="730" t="s">
        <v>1406</v>
      </c>
      <c r="J4" s="730"/>
      <c r="K4" s="730"/>
    </row>
    <row r="5" spans="1:11" ht="5.25" customHeight="1">
      <c r="A5" s="731"/>
      <c r="B5" s="731"/>
      <c r="C5" s="731"/>
      <c r="D5" s="731"/>
      <c r="E5" s="731"/>
      <c r="F5" s="731"/>
      <c r="G5" s="731"/>
      <c r="H5" s="731"/>
      <c r="I5" s="731"/>
      <c r="J5" s="731"/>
      <c r="K5" s="731"/>
    </row>
    <row r="6" spans="1:11" ht="33.75" customHeight="1">
      <c r="A6" s="707" t="s">
        <v>344</v>
      </c>
      <c r="B6" s="707"/>
      <c r="C6" s="707"/>
      <c r="D6" s="707"/>
      <c r="E6" s="707"/>
      <c r="F6" s="707"/>
      <c r="G6" s="121"/>
      <c r="H6" s="121"/>
      <c r="I6" s="121"/>
      <c r="J6" s="121"/>
      <c r="K6" s="121"/>
    </row>
    <row r="7" spans="1:11" ht="5.15" customHeight="1">
      <c r="A7" s="121"/>
      <c r="B7" s="121"/>
      <c r="C7" s="121"/>
      <c r="D7" s="121"/>
      <c r="E7" s="121"/>
      <c r="F7" s="121"/>
      <c r="G7" s="121"/>
      <c r="H7" s="121"/>
      <c r="I7" s="121"/>
      <c r="J7" s="121"/>
      <c r="K7" s="121"/>
    </row>
    <row r="8" spans="1:11" ht="18" customHeight="1">
      <c r="A8" s="732"/>
      <c r="B8" s="733"/>
      <c r="C8" s="736" t="s">
        <v>1003</v>
      </c>
      <c r="D8" s="736"/>
      <c r="E8" s="736"/>
      <c r="F8" s="736"/>
      <c r="G8" s="736"/>
      <c r="H8" s="736"/>
      <c r="I8" s="736"/>
      <c r="J8" s="736"/>
      <c r="K8" s="736"/>
    </row>
    <row r="9" spans="1:11" ht="18" customHeight="1">
      <c r="A9" s="734"/>
      <c r="B9" s="735"/>
      <c r="C9" s="736"/>
      <c r="D9" s="736"/>
      <c r="E9" s="736"/>
      <c r="F9" s="736"/>
      <c r="G9" s="736"/>
      <c r="H9" s="736"/>
      <c r="I9" s="736"/>
      <c r="J9" s="736"/>
      <c r="K9" s="736"/>
    </row>
    <row r="10" spans="1:11" ht="26.25" customHeight="1">
      <c r="A10" s="737" t="s">
        <v>1004</v>
      </c>
      <c r="B10" s="737"/>
      <c r="C10" s="737"/>
      <c r="D10" s="737"/>
      <c r="E10" s="737"/>
      <c r="F10" s="737"/>
      <c r="G10" s="737"/>
      <c r="H10" s="737"/>
      <c r="I10" s="737"/>
      <c r="J10" s="737"/>
      <c r="K10" s="121"/>
    </row>
    <row r="11" spans="1:11" ht="12.75" customHeight="1">
      <c r="A11" s="121"/>
      <c r="B11" s="121"/>
      <c r="C11" s="121"/>
      <c r="D11" s="121"/>
      <c r="E11" s="121"/>
      <c r="F11" s="121"/>
      <c r="G11" s="121"/>
      <c r="H11" s="121"/>
      <c r="I11" s="121"/>
      <c r="J11" s="121"/>
      <c r="K11" s="121"/>
    </row>
    <row r="12" spans="1:11" ht="5.15" customHeight="1">
      <c r="A12" s="121"/>
      <c r="B12" s="121"/>
      <c r="C12" s="121"/>
      <c r="D12" s="121"/>
      <c r="E12" s="121"/>
      <c r="F12" s="121"/>
      <c r="G12" s="121"/>
      <c r="H12" s="121"/>
      <c r="I12" s="121"/>
      <c r="J12" s="121"/>
      <c r="K12" s="121"/>
    </row>
    <row r="13" spans="1:11" ht="20.149999999999999" customHeight="1">
      <c r="A13" s="121"/>
      <c r="B13" s="121"/>
      <c r="C13" s="121"/>
      <c r="D13" s="121"/>
      <c r="E13" s="121"/>
      <c r="F13" s="121"/>
      <c r="G13" s="121"/>
      <c r="H13" s="121"/>
      <c r="I13" s="121"/>
      <c r="J13" s="121"/>
      <c r="K13" s="121"/>
    </row>
    <row r="14" spans="1:11" ht="33.75" customHeight="1">
      <c r="A14" s="707" t="s">
        <v>1005</v>
      </c>
      <c r="B14" s="707"/>
      <c r="C14" s="707"/>
      <c r="D14" s="707"/>
      <c r="E14" s="707"/>
      <c r="F14" s="707"/>
      <c r="G14" s="121"/>
      <c r="H14" s="121"/>
      <c r="I14" s="121"/>
      <c r="J14" s="121"/>
      <c r="K14" s="121"/>
    </row>
    <row r="15" spans="1:11" ht="23.25" customHeight="1">
      <c r="A15" s="703" t="s">
        <v>345</v>
      </c>
      <c r="B15" s="703"/>
      <c r="C15" s="703"/>
      <c r="D15" s="703"/>
      <c r="E15" s="703"/>
      <c r="F15" s="703"/>
      <c r="G15" s="703"/>
      <c r="H15" s="703"/>
      <c r="I15" s="703"/>
      <c r="J15" s="703"/>
      <c r="K15" s="121"/>
    </row>
    <row r="16" spans="1:11" ht="20.149999999999999" customHeight="1">
      <c r="A16" s="712" t="s">
        <v>1407</v>
      </c>
      <c r="B16" s="712"/>
      <c r="C16" s="712"/>
      <c r="D16" s="712"/>
      <c r="E16" s="712"/>
      <c r="F16" s="712"/>
      <c r="G16" s="322" t="s">
        <v>346</v>
      </c>
      <c r="H16" s="713" t="s">
        <v>348</v>
      </c>
      <c r="I16" s="714"/>
      <c r="J16" s="714"/>
      <c r="K16" s="714"/>
    </row>
    <row r="17" spans="1:11" ht="8.25" customHeight="1">
      <c r="A17" s="121"/>
      <c r="B17" s="121"/>
      <c r="C17" s="121"/>
      <c r="D17" s="121"/>
      <c r="E17" s="121"/>
      <c r="F17" s="121"/>
      <c r="G17" s="121"/>
      <c r="H17" s="121"/>
      <c r="I17" s="121"/>
      <c r="J17" s="121"/>
      <c r="K17" s="121"/>
    </row>
    <row r="18" spans="1:11" ht="19.5" customHeight="1">
      <c r="A18" s="716" t="s">
        <v>1191</v>
      </c>
      <c r="B18" s="716"/>
      <c r="C18" s="716"/>
      <c r="D18" s="716"/>
      <c r="E18" s="716"/>
      <c r="F18" s="716"/>
      <c r="G18" s="716"/>
      <c r="H18" s="716"/>
      <c r="I18" s="716"/>
      <c r="J18" s="716"/>
      <c r="K18" s="716"/>
    </row>
    <row r="19" spans="1:11" ht="20.149999999999999" customHeight="1">
      <c r="A19" s="708"/>
      <c r="B19" s="708"/>
      <c r="C19" s="708"/>
      <c r="D19" s="708"/>
      <c r="E19" s="708"/>
      <c r="F19" s="708"/>
      <c r="G19" s="708"/>
      <c r="H19" s="708"/>
      <c r="I19" s="708"/>
      <c r="J19" s="708"/>
      <c r="K19" s="708"/>
    </row>
    <row r="20" spans="1:11" ht="21.75" customHeight="1">
      <c r="A20" s="121"/>
      <c r="B20" s="121"/>
      <c r="C20" s="703" t="s">
        <v>1361</v>
      </c>
      <c r="D20" s="703"/>
      <c r="E20" s="703"/>
      <c r="F20" s="703"/>
      <c r="G20" s="703"/>
      <c r="H20" s="703"/>
      <c r="I20" s="703"/>
      <c r="J20" s="703"/>
      <c r="K20" s="703"/>
    </row>
    <row r="21" spans="1:11" ht="21.75" customHeight="1">
      <c r="A21" s="121"/>
      <c r="B21" s="121"/>
      <c r="C21" s="703" t="s">
        <v>1192</v>
      </c>
      <c r="D21" s="703"/>
      <c r="E21" s="703"/>
      <c r="F21" s="703"/>
      <c r="G21" s="703"/>
      <c r="H21" s="703"/>
      <c r="I21" s="703"/>
      <c r="J21" s="703"/>
      <c r="K21" s="703"/>
    </row>
    <row r="22" spans="1:11" ht="21.75" customHeight="1">
      <c r="A22" s="121"/>
      <c r="B22" s="121"/>
      <c r="C22" s="703" t="s">
        <v>347</v>
      </c>
      <c r="D22" s="703"/>
      <c r="E22" s="703"/>
      <c r="F22" s="703"/>
      <c r="G22" s="703"/>
      <c r="H22" s="703"/>
      <c r="I22" s="703"/>
      <c r="J22" s="703"/>
      <c r="K22" s="703"/>
    </row>
    <row r="23" spans="1:11" ht="21.75" customHeight="1">
      <c r="A23" s="121"/>
      <c r="B23" s="121"/>
      <c r="C23" s="122" t="s">
        <v>349</v>
      </c>
      <c r="D23" s="704" t="s">
        <v>348</v>
      </c>
      <c r="E23" s="704"/>
      <c r="F23" s="704"/>
      <c r="G23" s="704"/>
      <c r="H23" s="704"/>
      <c r="I23" s="704"/>
      <c r="J23" s="704"/>
      <c r="K23" s="704"/>
    </row>
    <row r="24" spans="1:11" ht="21.75" customHeight="1">
      <c r="A24" s="121"/>
      <c r="B24" s="121"/>
      <c r="C24" s="122"/>
      <c r="D24" s="704"/>
      <c r="E24" s="704"/>
      <c r="F24" s="704"/>
      <c r="G24" s="704"/>
      <c r="H24" s="704"/>
      <c r="I24" s="704"/>
      <c r="J24" s="704"/>
      <c r="K24" s="704"/>
    </row>
    <row r="25" spans="1:11" ht="21.75" customHeight="1"/>
    <row r="26" spans="1:11" ht="20.149999999999999" customHeight="1"/>
    <row r="27" spans="1:11" ht="20.149999999999999" customHeight="1"/>
    <row r="28" spans="1:11" ht="20.149999999999999" customHeight="1"/>
    <row r="29" spans="1:11" ht="20.149999999999999" customHeight="1"/>
  </sheetData>
  <sheetProtection algorithmName="SHA-512" hashValue="cYGatannnETddz991sOe6K2r1AbH5W5zT7YXZM7mi1KYIb8d9Q50nIyx/oZgFAVhLT5e/s3BbLTJjD0HLnoqCA==" saltValue="0OJh5yn3UfojdyzxKlD7zw==" spinCount="100000" sheet="1" objects="1" scenarios="1"/>
  <mergeCells count="19">
    <mergeCell ref="A18:K18"/>
    <mergeCell ref="I1:K1"/>
    <mergeCell ref="A3:K3"/>
    <mergeCell ref="I4:K4"/>
    <mergeCell ref="A5:K5"/>
    <mergeCell ref="A6:F6"/>
    <mergeCell ref="A8:B9"/>
    <mergeCell ref="C8:K9"/>
    <mergeCell ref="A10:J10"/>
    <mergeCell ref="A14:F14"/>
    <mergeCell ref="A15:J15"/>
    <mergeCell ref="A16:F16"/>
    <mergeCell ref="H16:K16"/>
    <mergeCell ref="C22:K22"/>
    <mergeCell ref="D24:K24"/>
    <mergeCell ref="A19:K19"/>
    <mergeCell ref="C20:K20"/>
    <mergeCell ref="C21:K21"/>
    <mergeCell ref="D23:K23"/>
  </mergeCells>
  <phoneticPr fontId="1"/>
  <hyperlinks>
    <hyperlink ref="H16" r:id="rId1" xr:uid="{2B23761D-8361-4426-899F-5817E2B22CFE}"/>
    <hyperlink ref="D23" r:id="rId2" xr:uid="{87669D42-D212-4EDA-B2E5-4BBE45C9C6FD}"/>
  </hyperlinks>
  <printOptions horizontalCentered="1"/>
  <pageMargins left="0.59055118110236227" right="0.59055118110236227" top="0.98425196850393704" bottom="0.98425196850393704" header="0.51181102362204722" footer="0.51181102362204722"/>
  <pageSetup paperSize="9" scale="91" orientation="portrait" r:id="rId3"/>
  <headerFooter alignWithMargins="0"/>
  <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83B44-F82C-4B2E-8AB6-695C11129D2F}">
  <sheetPr codeName="Sheet5">
    <tabColor rgb="FF00B050"/>
    <pageSetUpPr fitToPage="1"/>
  </sheetPr>
  <dimension ref="A1:AI48"/>
  <sheetViews>
    <sheetView showGridLines="0" zoomScaleNormal="100" zoomScaleSheetLayoutView="100" workbookViewId="0">
      <selection activeCell="D3" sqref="D3:I3"/>
    </sheetView>
  </sheetViews>
  <sheetFormatPr defaultColWidth="9" defaultRowHeight="15"/>
  <cols>
    <col min="1" max="1" width="3.08203125" style="336" customWidth="1"/>
    <col min="2" max="2" width="3.58203125" style="336" customWidth="1"/>
    <col min="3" max="3" width="10.08203125" style="336" customWidth="1"/>
    <col min="4" max="4" width="9" style="336" customWidth="1"/>
    <col min="5" max="5" width="10.25" style="336" customWidth="1"/>
    <col min="6" max="18" width="6.83203125" style="336" customWidth="1"/>
    <col min="19" max="29" width="9" style="336" hidden="1" customWidth="1"/>
    <col min="30" max="30" width="15.1640625" style="336" hidden="1" customWidth="1"/>
    <col min="31" max="35" width="9" style="336" hidden="1" customWidth="1"/>
    <col min="36" max="36" width="9" style="336" customWidth="1"/>
    <col min="37" max="37" width="10" style="336" customWidth="1"/>
    <col min="38" max="16384" width="9" style="336"/>
  </cols>
  <sheetData>
    <row r="1" spans="1:35" ht="22.5" customHeight="1">
      <c r="B1" s="369" t="s">
        <v>0</v>
      </c>
      <c r="AF1" s="336" t="s">
        <v>1</v>
      </c>
    </row>
    <row r="2" spans="1:35" ht="53.25" customHeight="1"/>
    <row r="3" spans="1:35" ht="15" customHeight="1">
      <c r="C3" s="453" t="s">
        <v>366</v>
      </c>
      <c r="D3" s="746"/>
      <c r="E3" s="746"/>
      <c r="F3" s="746"/>
      <c r="G3" s="746"/>
      <c r="H3" s="746"/>
      <c r="I3" s="746"/>
      <c r="M3" s="747" t="s">
        <v>782</v>
      </c>
      <c r="N3" s="747"/>
      <c r="O3" s="747"/>
    </row>
    <row r="4" spans="1:35" ht="15" customHeight="1">
      <c r="C4" s="453" t="s">
        <v>367</v>
      </c>
      <c r="D4" s="746"/>
      <c r="E4" s="746"/>
      <c r="F4" s="746"/>
      <c r="G4" s="746"/>
      <c r="H4" s="746"/>
      <c r="I4" s="746"/>
      <c r="M4" s="742"/>
      <c r="N4" s="742"/>
      <c r="O4" s="742"/>
      <c r="T4" s="336" t="s">
        <v>1331</v>
      </c>
      <c r="U4" s="336" t="s">
        <v>368</v>
      </c>
      <c r="V4" s="336" t="s">
        <v>1332</v>
      </c>
      <c r="W4" s="336" t="s">
        <v>1333</v>
      </c>
    </row>
    <row r="5" spans="1:35" ht="15" customHeight="1">
      <c r="C5" s="453" t="s">
        <v>781</v>
      </c>
      <c r="D5" s="746"/>
      <c r="E5" s="746"/>
      <c r="F5" s="746"/>
      <c r="G5" s="746"/>
      <c r="H5" s="746"/>
      <c r="I5" s="746"/>
      <c r="J5" s="336" t="e">
        <f>"（分園"&amp;S8&amp;")"</f>
        <v>#N/A</v>
      </c>
      <c r="M5" s="743" t="e">
        <f>IF(EXACT(VLOOKUP(D5,補助金用基本データ!C5:D64,2,FALSE),ASC(M4))=TRUE,"OK","パスワードが違います")</f>
        <v>#N/A</v>
      </c>
      <c r="N5" s="743"/>
      <c r="O5" s="743"/>
      <c r="Q5" s="336" t="e">
        <f>IF(M5="OK",INDEX(補助金用基本データ!B5:B64,MATCH(D5,補助金用基本データ!C5:C64,0)))</f>
        <v>#N/A</v>
      </c>
      <c r="S5" s="336" t="str">
        <f>LEFT(D5,4)</f>
        <v/>
      </c>
      <c r="AF5" s="743" t="s">
        <v>2</v>
      </c>
      <c r="AG5" s="743"/>
      <c r="AH5" s="342" t="s">
        <v>3</v>
      </c>
      <c r="AI5" s="342">
        <f>VLOOKUP(E8,AG7:AH41,2,0)</f>
        <v>2026</v>
      </c>
    </row>
    <row r="6" spans="1:35" ht="15" customHeight="1">
      <c r="C6" s="453"/>
      <c r="D6" s="738">
        <f>IF(S5="（仮称）","ここに認可園名を記載してください。",D5)</f>
        <v>0</v>
      </c>
      <c r="E6" s="738"/>
      <c r="F6" s="738"/>
      <c r="G6" s="738"/>
      <c r="H6" s="738"/>
      <c r="I6" s="738"/>
      <c r="M6" s="455"/>
      <c r="N6" s="455"/>
      <c r="O6" s="455"/>
      <c r="Q6" s="336" t="e">
        <f>VLOOKUP(①基本情報!Q5,個別データ!$C$5:$IA$64,233,0)</f>
        <v>#N/A</v>
      </c>
      <c r="AF6" s="454"/>
      <c r="AG6" s="454"/>
      <c r="AH6" s="342"/>
    </row>
    <row r="7" spans="1:35" ht="15" customHeight="1">
      <c r="AF7" s="342" t="s">
        <v>4</v>
      </c>
      <c r="AG7" s="342">
        <v>2</v>
      </c>
      <c r="AH7" s="342">
        <f>AH42+1</f>
        <v>2020</v>
      </c>
    </row>
    <row r="8" spans="1:35" ht="15" customHeight="1">
      <c r="D8" s="453" t="s">
        <v>4</v>
      </c>
      <c r="E8" s="456">
        <v>8</v>
      </c>
      <c r="F8" s="336" t="s">
        <v>8</v>
      </c>
      <c r="J8" s="453" t="s">
        <v>6</v>
      </c>
      <c r="K8" s="336" t="s">
        <v>7</v>
      </c>
      <c r="L8" s="744"/>
      <c r="M8" s="744"/>
      <c r="N8" s="744"/>
      <c r="O8" s="744"/>
      <c r="P8" s="744"/>
      <c r="Q8" s="745"/>
      <c r="S8" s="336" t="e">
        <f>VLOOKUP($Q$5,個別データ!$C$5:$IA$64,3,0)</f>
        <v>#N/A</v>
      </c>
      <c r="AF8" s="342"/>
      <c r="AG8" s="342">
        <f>AG7+1</f>
        <v>3</v>
      </c>
      <c r="AH8" s="342">
        <f t="shared" ref="AH8:AH41" si="0">AH7+1</f>
        <v>2021</v>
      </c>
    </row>
    <row r="9" spans="1:35" ht="15" customHeight="1">
      <c r="D9" s="453" t="s">
        <v>5</v>
      </c>
      <c r="E9" s="454" t="s">
        <v>679</v>
      </c>
      <c r="F9" s="454" t="s">
        <v>676</v>
      </c>
      <c r="G9" s="454" t="s">
        <v>677</v>
      </c>
      <c r="H9" s="454" t="s">
        <v>678</v>
      </c>
      <c r="K9" s="336" t="s">
        <v>9</v>
      </c>
      <c r="L9" s="744"/>
      <c r="M9" s="744"/>
      <c r="N9" s="744"/>
      <c r="O9" s="744"/>
      <c r="P9" s="744"/>
      <c r="Q9" s="745"/>
      <c r="AF9" s="342"/>
      <c r="AG9" s="342">
        <f>AG8+1</f>
        <v>4</v>
      </c>
      <c r="AH9" s="342">
        <f>AH8+1</f>
        <v>2022</v>
      </c>
    </row>
    <row r="10" spans="1:35" ht="15" customHeight="1">
      <c r="D10" s="453" t="s">
        <v>674</v>
      </c>
      <c r="E10" s="542" t="e">
        <f>SUM(F10:H10)</f>
        <v>#N/A</v>
      </c>
      <c r="F10" s="540" t="e">
        <f>VLOOKUP($Q$5,個別データ!$C$5:$IA$64,個別データ!G1,0)</f>
        <v>#N/A</v>
      </c>
      <c r="G10" s="540" t="e">
        <f>VLOOKUP($Q$5,個別データ!$C$5:$IA$64,個別データ!H1,0)</f>
        <v>#N/A</v>
      </c>
      <c r="H10" s="540" t="e">
        <f>VLOOKUP($Q$5,個別データ!$C$5:$IA$64,個別データ!I1,0)</f>
        <v>#N/A</v>
      </c>
      <c r="AF10" s="342"/>
      <c r="AG10" s="342">
        <f t="shared" ref="AG10:AG33" si="1">AG9+1</f>
        <v>5</v>
      </c>
      <c r="AH10" s="342">
        <f t="shared" ref="AH10:AH33" si="2">AH9+1</f>
        <v>2023</v>
      </c>
    </row>
    <row r="11" spans="1:35" ht="15" customHeight="1">
      <c r="D11" s="453" t="s">
        <v>675</v>
      </c>
      <c r="E11" s="542" t="e">
        <f>SUM(F11:H11)</f>
        <v>#N/A</v>
      </c>
      <c r="F11" s="540" t="e">
        <f>VLOOKUP($Q$5,個別データ!$C$5:$IA$64,個別データ!K1,0)</f>
        <v>#N/A</v>
      </c>
      <c r="G11" s="540" t="e">
        <f>VLOOKUP($Q$5,個別データ!$C$5:$IA$64,個別データ!L1,0)</f>
        <v>#N/A</v>
      </c>
      <c r="H11" s="540" t="e">
        <f>VLOOKUP($Q$5,個別データ!$C$5:$IA$64,個別データ!M1,0)</f>
        <v>#N/A</v>
      </c>
      <c r="AF11" s="342"/>
      <c r="AG11" s="342">
        <f t="shared" si="1"/>
        <v>6</v>
      </c>
      <c r="AH11" s="342">
        <f t="shared" si="2"/>
        <v>2024</v>
      </c>
    </row>
    <row r="12" spans="1:35" ht="15" customHeight="1">
      <c r="D12" s="453"/>
      <c r="AF12" s="342"/>
      <c r="AG12" s="342">
        <f t="shared" si="1"/>
        <v>7</v>
      </c>
      <c r="AH12" s="342">
        <f t="shared" si="2"/>
        <v>2025</v>
      </c>
    </row>
    <row r="13" spans="1:35" ht="15" customHeight="1">
      <c r="A13" s="336" t="s">
        <v>619</v>
      </c>
      <c r="S13" s="455"/>
      <c r="T13" s="453"/>
      <c r="AF13" s="342"/>
      <c r="AG13" s="342">
        <f t="shared" si="1"/>
        <v>8</v>
      </c>
      <c r="AH13" s="342">
        <f t="shared" si="2"/>
        <v>2026</v>
      </c>
    </row>
    <row r="14" spans="1:35" ht="15" customHeight="1">
      <c r="B14" s="457" t="s">
        <v>1665</v>
      </c>
      <c r="C14" s="355"/>
      <c r="D14" s="355"/>
      <c r="E14" s="355"/>
      <c r="F14" s="355"/>
      <c r="G14" s="355"/>
      <c r="H14" s="355"/>
      <c r="I14" s="355"/>
      <c r="J14" s="355"/>
      <c r="K14" s="355"/>
      <c r="L14" s="355"/>
      <c r="M14" s="355"/>
      <c r="N14" s="365"/>
      <c r="S14" s="455"/>
      <c r="T14" s="346" t="s">
        <v>620</v>
      </c>
      <c r="AF14" s="342"/>
      <c r="AG14" s="342">
        <f t="shared" si="1"/>
        <v>9</v>
      </c>
      <c r="AH14" s="342">
        <f t="shared" si="2"/>
        <v>2027</v>
      </c>
    </row>
    <row r="15" spans="1:35" ht="15" customHeight="1">
      <c r="B15" s="458" t="s">
        <v>618</v>
      </c>
      <c r="N15" s="356"/>
      <c r="S15" s="455"/>
      <c r="T15" s="346" t="s">
        <v>798</v>
      </c>
      <c r="AF15" s="342"/>
      <c r="AG15" s="342">
        <f t="shared" si="1"/>
        <v>10</v>
      </c>
      <c r="AH15" s="342">
        <f t="shared" si="2"/>
        <v>2028</v>
      </c>
    </row>
    <row r="16" spans="1:35" ht="15" customHeight="1">
      <c r="B16" s="459" t="s">
        <v>622</v>
      </c>
      <c r="C16" s="363"/>
      <c r="D16" s="363"/>
      <c r="E16" s="363"/>
      <c r="F16" s="363"/>
      <c r="G16" s="363"/>
      <c r="H16" s="363"/>
      <c r="I16" s="363"/>
      <c r="J16" s="363"/>
      <c r="K16" s="363"/>
      <c r="L16" s="363"/>
      <c r="M16" s="363"/>
      <c r="N16" s="367"/>
      <c r="S16" s="455"/>
      <c r="T16" s="453"/>
      <c r="AF16" s="342"/>
      <c r="AG16" s="342">
        <f t="shared" si="1"/>
        <v>11</v>
      </c>
      <c r="AH16" s="342">
        <f t="shared" si="2"/>
        <v>2029</v>
      </c>
    </row>
    <row r="17" spans="1:34" ht="15" customHeight="1" thickBot="1">
      <c r="R17" s="346"/>
      <c r="S17" s="455">
        <f>IF(L18=T14,1,IF(L18=T15,2,""))</f>
        <v>1</v>
      </c>
      <c r="T17" s="453"/>
      <c r="AF17" s="342"/>
      <c r="AG17" s="342">
        <f t="shared" si="1"/>
        <v>12</v>
      </c>
      <c r="AH17" s="342">
        <f t="shared" si="2"/>
        <v>2030</v>
      </c>
    </row>
    <row r="18" spans="1:34" ht="15" customHeight="1" thickBot="1">
      <c r="B18" s="336" t="s">
        <v>1666</v>
      </c>
      <c r="L18" s="739" t="s">
        <v>620</v>
      </c>
      <c r="M18" s="740"/>
      <c r="N18" s="740"/>
      <c r="O18" s="740"/>
      <c r="P18" s="740"/>
      <c r="Q18" s="741"/>
      <c r="R18" s="346"/>
      <c r="S18" s="455"/>
      <c r="T18" s="453"/>
      <c r="AF18" s="342"/>
      <c r="AG18" s="342">
        <f t="shared" si="1"/>
        <v>13</v>
      </c>
      <c r="AH18" s="342">
        <f t="shared" si="2"/>
        <v>2031</v>
      </c>
    </row>
    <row r="19" spans="1:34" ht="15" customHeight="1">
      <c r="L19" s="346"/>
      <c r="M19" s="346"/>
      <c r="N19" s="346"/>
      <c r="O19" s="346"/>
      <c r="P19" s="346"/>
      <c r="Q19" s="346"/>
      <c r="R19" s="346"/>
      <c r="S19" s="455"/>
      <c r="T19" s="453"/>
      <c r="AF19" s="342"/>
      <c r="AG19" s="342">
        <f t="shared" si="1"/>
        <v>14</v>
      </c>
      <c r="AH19" s="342">
        <f t="shared" si="2"/>
        <v>2032</v>
      </c>
    </row>
    <row r="20" spans="1:34" ht="15" customHeight="1">
      <c r="F20" s="460">
        <v>4</v>
      </c>
      <c r="G20" s="460">
        <v>5</v>
      </c>
      <c r="H20" s="460">
        <v>6</v>
      </c>
      <c r="I20" s="460">
        <v>7</v>
      </c>
      <c r="J20" s="460">
        <v>8</v>
      </c>
      <c r="K20" s="460">
        <v>9</v>
      </c>
      <c r="L20" s="460">
        <v>10</v>
      </c>
      <c r="M20" s="460">
        <v>11</v>
      </c>
      <c r="N20" s="460">
        <v>12</v>
      </c>
      <c r="O20" s="460">
        <v>1</v>
      </c>
      <c r="P20" s="460">
        <v>2</v>
      </c>
      <c r="Q20" s="460">
        <v>3</v>
      </c>
      <c r="R20" s="536"/>
      <c r="S20" s="455"/>
      <c r="T20" s="455" t="s">
        <v>11</v>
      </c>
      <c r="U20" s="455" t="s">
        <v>12</v>
      </c>
      <c r="V20" s="455" t="s">
        <v>449</v>
      </c>
      <c r="W20" s="336" t="s">
        <v>17</v>
      </c>
      <c r="X20" s="455"/>
      <c r="Y20" s="455"/>
      <c r="Z20" s="455"/>
      <c r="AA20" s="455"/>
      <c r="AB20" s="455"/>
      <c r="AC20" s="455"/>
      <c r="AD20" s="455"/>
      <c r="AE20" s="455"/>
      <c r="AF20" s="342"/>
      <c r="AG20" s="342">
        <f t="shared" si="1"/>
        <v>15</v>
      </c>
      <c r="AH20" s="342">
        <f t="shared" si="2"/>
        <v>2033</v>
      </c>
    </row>
    <row r="21" spans="1:34" ht="15" customHeight="1">
      <c r="A21" s="461" t="s">
        <v>15</v>
      </c>
      <c r="B21" s="462"/>
      <c r="C21" s="462"/>
      <c r="D21" s="462"/>
      <c r="E21" s="463"/>
      <c r="F21" s="456" t="s">
        <v>816</v>
      </c>
      <c r="G21" s="464" t="str">
        <f>IF(F21="","",F21)</f>
        <v>有</v>
      </c>
      <c r="H21" s="464" t="str">
        <f t="shared" ref="H21:P21" si="3">IF(G21="","",G21)</f>
        <v>有</v>
      </c>
      <c r="I21" s="464" t="str">
        <f t="shared" si="3"/>
        <v>有</v>
      </c>
      <c r="J21" s="464" t="str">
        <f t="shared" si="3"/>
        <v>有</v>
      </c>
      <c r="K21" s="464" t="str">
        <f t="shared" si="3"/>
        <v>有</v>
      </c>
      <c r="L21" s="464" t="str">
        <f t="shared" si="3"/>
        <v>有</v>
      </c>
      <c r="M21" s="464" t="str">
        <f t="shared" si="3"/>
        <v>有</v>
      </c>
      <c r="N21" s="464" t="str">
        <f t="shared" si="3"/>
        <v>有</v>
      </c>
      <c r="O21" s="464" t="str">
        <f t="shared" si="3"/>
        <v>有</v>
      </c>
      <c r="P21" s="464" t="str">
        <f t="shared" si="3"/>
        <v>有</v>
      </c>
      <c r="Q21" s="464" t="str">
        <f>IF(P21="","",P21)</f>
        <v>有</v>
      </c>
      <c r="R21" s="455"/>
      <c r="S21" s="455"/>
      <c r="T21" s="455" t="s">
        <v>13</v>
      </c>
      <c r="U21" s="336" t="s">
        <v>14</v>
      </c>
      <c r="V21" s="455" t="s">
        <v>450</v>
      </c>
      <c r="W21" s="336" t="s">
        <v>19</v>
      </c>
      <c r="AF21" s="342"/>
      <c r="AG21" s="342">
        <f t="shared" si="1"/>
        <v>16</v>
      </c>
      <c r="AH21" s="342">
        <f t="shared" si="2"/>
        <v>2034</v>
      </c>
    </row>
    <row r="22" spans="1:34" ht="15" customHeight="1">
      <c r="A22" s="458" t="s">
        <v>16</v>
      </c>
      <c r="E22" s="356"/>
      <c r="F22" s="465"/>
      <c r="G22" s="465"/>
      <c r="H22" s="465"/>
      <c r="I22" s="465"/>
      <c r="J22" s="465"/>
      <c r="K22" s="465"/>
      <c r="L22" s="465"/>
      <c r="M22" s="465"/>
      <c r="N22" s="465"/>
      <c r="O22" s="465"/>
      <c r="P22" s="465"/>
      <c r="Q22" s="465"/>
      <c r="R22" s="455"/>
      <c r="S22" s="455"/>
      <c r="T22" s="466" t="s">
        <v>255</v>
      </c>
      <c r="U22" s="466" t="s">
        <v>335</v>
      </c>
      <c r="V22" s="455" t="s">
        <v>451</v>
      </c>
      <c r="W22" s="336" t="s">
        <v>335</v>
      </c>
      <c r="AF22" s="342"/>
      <c r="AG22" s="342">
        <f t="shared" si="1"/>
        <v>17</v>
      </c>
      <c r="AH22" s="342">
        <f t="shared" si="2"/>
        <v>2035</v>
      </c>
    </row>
    <row r="23" spans="1:34" ht="15" customHeight="1">
      <c r="A23" s="458"/>
      <c r="B23" s="461" t="s">
        <v>18</v>
      </c>
      <c r="C23" s="462"/>
      <c r="D23" s="462"/>
      <c r="E23" s="463"/>
      <c r="F23" s="542" t="e">
        <f t="shared" ref="F23:Q23" si="4">IF(OR(F24=$U$20,F24=$U$21),$T$20,$T$21)</f>
        <v>#N/A</v>
      </c>
      <c r="G23" s="542" t="e">
        <f t="shared" si="4"/>
        <v>#N/A</v>
      </c>
      <c r="H23" s="542" t="e">
        <f t="shared" si="4"/>
        <v>#N/A</v>
      </c>
      <c r="I23" s="542" t="e">
        <f t="shared" si="4"/>
        <v>#N/A</v>
      </c>
      <c r="J23" s="542" t="e">
        <f t="shared" si="4"/>
        <v>#N/A</v>
      </c>
      <c r="K23" s="542" t="e">
        <f t="shared" si="4"/>
        <v>#N/A</v>
      </c>
      <c r="L23" s="542" t="e">
        <f t="shared" si="4"/>
        <v>#N/A</v>
      </c>
      <c r="M23" s="542" t="e">
        <f t="shared" si="4"/>
        <v>#N/A</v>
      </c>
      <c r="N23" s="542" t="e">
        <f t="shared" si="4"/>
        <v>#N/A</v>
      </c>
      <c r="O23" s="542" t="e">
        <f t="shared" si="4"/>
        <v>#N/A</v>
      </c>
      <c r="P23" s="542" t="e">
        <f t="shared" si="4"/>
        <v>#N/A</v>
      </c>
      <c r="Q23" s="542" t="e">
        <f t="shared" si="4"/>
        <v>#N/A</v>
      </c>
      <c r="R23" s="455"/>
      <c r="V23" s="455" t="s">
        <v>255</v>
      </c>
      <c r="AF23" s="342"/>
      <c r="AG23" s="342">
        <f t="shared" si="1"/>
        <v>18</v>
      </c>
      <c r="AH23" s="342">
        <f t="shared" si="2"/>
        <v>2036</v>
      </c>
    </row>
    <row r="24" spans="1:34" ht="15" customHeight="1">
      <c r="A24" s="458"/>
      <c r="B24" s="461" t="s">
        <v>20</v>
      </c>
      <c r="C24" s="462"/>
      <c r="D24" s="462"/>
      <c r="E24" s="463"/>
      <c r="F24" s="540" t="e">
        <f>VLOOKUP($Q$5,個別データ!$C$5:$IA$64,個別データ!AR1,0)</f>
        <v>#N/A</v>
      </c>
      <c r="G24" s="540" t="e">
        <f>VLOOKUP($Q$5,個別データ!$C$5:$IA$64,個別データ!AS1,0)</f>
        <v>#N/A</v>
      </c>
      <c r="H24" s="540" t="e">
        <f>VLOOKUP($Q$5,個別データ!$C$5:$IA$64,個別データ!AT1,0)</f>
        <v>#N/A</v>
      </c>
      <c r="I24" s="540" t="e">
        <f>VLOOKUP($Q$5,個別データ!$C$5:$IA$64,個別データ!AU1,0)</f>
        <v>#N/A</v>
      </c>
      <c r="J24" s="540" t="e">
        <f>VLOOKUP($Q$5,個別データ!$C$5:$IA$64,個別データ!AV1,0)</f>
        <v>#N/A</v>
      </c>
      <c r="K24" s="540" t="e">
        <f>VLOOKUP($Q$5,個別データ!$C$5:$IA$64,個別データ!AW1,0)</f>
        <v>#N/A</v>
      </c>
      <c r="L24" s="540" t="e">
        <f>VLOOKUP($Q$5,個別データ!$C$5:$IA$64,個別データ!AX1,0)</f>
        <v>#N/A</v>
      </c>
      <c r="M24" s="540" t="e">
        <f>VLOOKUP($Q$5,個別データ!$C$5:$IA$64,個別データ!AY1,0)</f>
        <v>#N/A</v>
      </c>
      <c r="N24" s="540" t="e">
        <f>VLOOKUP($Q$5,個別データ!$C$5:$IA$64,個別データ!AZ1,0)</f>
        <v>#N/A</v>
      </c>
      <c r="O24" s="540" t="e">
        <f>VLOOKUP($Q$5,個別データ!$C$5:$IA$64,個別データ!BA1,0)</f>
        <v>#N/A</v>
      </c>
      <c r="P24" s="540" t="e">
        <f>VLOOKUP($Q$5,個別データ!$C$5:$IA$64,個別データ!BB1,0)</f>
        <v>#N/A</v>
      </c>
      <c r="Q24" s="540" t="e">
        <f>VLOOKUP($Q$5,個別データ!$C$5:$IA$64,個別データ!BC1,0)</f>
        <v>#N/A</v>
      </c>
      <c r="R24" s="455"/>
      <c r="AF24" s="342"/>
      <c r="AG24" s="342">
        <f t="shared" si="1"/>
        <v>19</v>
      </c>
      <c r="AH24" s="342">
        <f t="shared" si="2"/>
        <v>2037</v>
      </c>
    </row>
    <row r="25" spans="1:34" ht="15" customHeight="1">
      <c r="A25" s="459"/>
      <c r="B25" s="461" t="s">
        <v>21</v>
      </c>
      <c r="C25" s="462"/>
      <c r="D25" s="462"/>
      <c r="E25" s="463"/>
      <c r="F25" s="540" t="e">
        <f>VLOOKUP($Q$5,個別データ!$C$5:$IA$64,個別データ!BD1,0)</f>
        <v>#N/A</v>
      </c>
      <c r="G25" s="540" t="e">
        <f>VLOOKUP($Q$5,個別データ!$C$5:$IA$64,個別データ!BE1,0)</f>
        <v>#N/A</v>
      </c>
      <c r="H25" s="540" t="e">
        <f>VLOOKUP($Q$5,個別データ!$C$5:$IA$64,個別データ!BF1,0)</f>
        <v>#N/A</v>
      </c>
      <c r="I25" s="540" t="e">
        <f>VLOOKUP($Q$5,個別データ!$C$5:$IA$64,個別データ!BG1,0)</f>
        <v>#N/A</v>
      </c>
      <c r="J25" s="540" t="e">
        <f>VLOOKUP($Q$5,個別データ!$C$5:$IA$64,個別データ!BH1,0)</f>
        <v>#N/A</v>
      </c>
      <c r="K25" s="540" t="e">
        <f>VLOOKUP($Q$5,個別データ!$C$5:$IA$64,個別データ!BI1,0)</f>
        <v>#N/A</v>
      </c>
      <c r="L25" s="540" t="e">
        <f>VLOOKUP($Q$5,個別データ!$C$5:$IA$64,個別データ!BJ1,0)</f>
        <v>#N/A</v>
      </c>
      <c r="M25" s="540" t="e">
        <f>VLOOKUP($Q$5,個別データ!$C$5:$IA$64,個別データ!BK1,0)</f>
        <v>#N/A</v>
      </c>
      <c r="N25" s="540" t="e">
        <f>VLOOKUP($Q$5,個別データ!$C$5:$IA$64,個別データ!BL1,0)</f>
        <v>#N/A</v>
      </c>
      <c r="O25" s="540" t="e">
        <f>VLOOKUP($Q$5,個別データ!$C$5:$IA$64,個別データ!BM1,0)</f>
        <v>#N/A</v>
      </c>
      <c r="P25" s="540" t="e">
        <f>VLOOKUP($Q$5,個別データ!$C$5:$IA$64,個別データ!BN1,0)</f>
        <v>#N/A</v>
      </c>
      <c r="Q25" s="540" t="e">
        <f>VLOOKUP($Q$5,個別データ!$C$5:$IA$64,個別データ!BO1,0)</f>
        <v>#N/A</v>
      </c>
      <c r="R25" s="455"/>
      <c r="AF25" s="342"/>
      <c r="AG25" s="342">
        <f t="shared" si="1"/>
        <v>20</v>
      </c>
      <c r="AH25" s="342">
        <f t="shared" si="2"/>
        <v>2038</v>
      </c>
    </row>
    <row r="26" spans="1:34" ht="15" customHeight="1">
      <c r="A26" s="457" t="s">
        <v>22</v>
      </c>
      <c r="B26" s="355"/>
      <c r="C26" s="355"/>
      <c r="D26" s="355"/>
      <c r="E26" s="365"/>
      <c r="F26" s="465"/>
      <c r="G26" s="465"/>
      <c r="H26" s="465"/>
      <c r="I26" s="465"/>
      <c r="J26" s="465"/>
      <c r="K26" s="465"/>
      <c r="L26" s="465"/>
      <c r="M26" s="465"/>
      <c r="N26" s="465"/>
      <c r="O26" s="465"/>
      <c r="P26" s="465"/>
      <c r="Q26" s="465"/>
      <c r="R26" s="455"/>
      <c r="AF26" s="342"/>
      <c r="AG26" s="342">
        <f t="shared" si="1"/>
        <v>21</v>
      </c>
      <c r="AH26" s="342">
        <f t="shared" si="2"/>
        <v>2039</v>
      </c>
    </row>
    <row r="27" spans="1:34" ht="15" customHeight="1">
      <c r="A27" s="458"/>
      <c r="B27" s="457" t="s">
        <v>23</v>
      </c>
      <c r="C27" s="355"/>
      <c r="D27" s="355"/>
      <c r="E27" s="365"/>
      <c r="F27" s="467">
        <f t="shared" ref="F27:Q27" si="5">SUM(F28:F29)</f>
        <v>0</v>
      </c>
      <c r="G27" s="467">
        <f t="shared" si="5"/>
        <v>0</v>
      </c>
      <c r="H27" s="467">
        <f t="shared" si="5"/>
        <v>0</v>
      </c>
      <c r="I27" s="467">
        <f t="shared" si="5"/>
        <v>0</v>
      </c>
      <c r="J27" s="467">
        <f t="shared" si="5"/>
        <v>0</v>
      </c>
      <c r="K27" s="467">
        <f t="shared" si="5"/>
        <v>0</v>
      </c>
      <c r="L27" s="467">
        <f t="shared" si="5"/>
        <v>0</v>
      </c>
      <c r="M27" s="467">
        <f t="shared" si="5"/>
        <v>0</v>
      </c>
      <c r="N27" s="467">
        <f t="shared" si="5"/>
        <v>0</v>
      </c>
      <c r="O27" s="467">
        <f t="shared" si="5"/>
        <v>0</v>
      </c>
      <c r="P27" s="467">
        <f t="shared" si="5"/>
        <v>0</v>
      </c>
      <c r="Q27" s="467">
        <f t="shared" si="5"/>
        <v>0</v>
      </c>
      <c r="R27" s="537"/>
      <c r="AF27" s="342"/>
      <c r="AG27" s="342">
        <f t="shared" si="1"/>
        <v>22</v>
      </c>
      <c r="AH27" s="342">
        <f t="shared" si="2"/>
        <v>2040</v>
      </c>
    </row>
    <row r="28" spans="1:34" ht="15" customHeight="1">
      <c r="A28" s="458"/>
      <c r="B28" s="458"/>
      <c r="C28" s="461" t="s">
        <v>24</v>
      </c>
      <c r="D28" s="462"/>
      <c r="E28" s="463"/>
      <c r="F28" s="540"/>
      <c r="G28" s="540">
        <f>F28</f>
        <v>0</v>
      </c>
      <c r="H28" s="540">
        <f t="shared" ref="H28:Q28" si="6">G28</f>
        <v>0</v>
      </c>
      <c r="I28" s="540">
        <f t="shared" si="6"/>
        <v>0</v>
      </c>
      <c r="J28" s="540">
        <f t="shared" si="6"/>
        <v>0</v>
      </c>
      <c r="K28" s="540">
        <f t="shared" si="6"/>
        <v>0</v>
      </c>
      <c r="L28" s="540">
        <f t="shared" si="6"/>
        <v>0</v>
      </c>
      <c r="M28" s="540">
        <f t="shared" si="6"/>
        <v>0</v>
      </c>
      <c r="N28" s="540">
        <f t="shared" si="6"/>
        <v>0</v>
      </c>
      <c r="O28" s="540">
        <f t="shared" si="6"/>
        <v>0</v>
      </c>
      <c r="P28" s="540">
        <f t="shared" si="6"/>
        <v>0</v>
      </c>
      <c r="Q28" s="540">
        <f t="shared" si="6"/>
        <v>0</v>
      </c>
      <c r="R28" s="537"/>
      <c r="AF28" s="342"/>
      <c r="AG28" s="342">
        <f t="shared" si="1"/>
        <v>23</v>
      </c>
      <c r="AH28" s="342">
        <f t="shared" si="2"/>
        <v>2041</v>
      </c>
    </row>
    <row r="29" spans="1:34" ht="15" customHeight="1">
      <c r="A29" s="458"/>
      <c r="B29" s="459"/>
      <c r="C29" s="461" t="s">
        <v>25</v>
      </c>
      <c r="D29" s="462"/>
      <c r="E29" s="463"/>
      <c r="F29" s="540"/>
      <c r="G29" s="540">
        <f t="shared" ref="G29:Q30" si="7">F29</f>
        <v>0</v>
      </c>
      <c r="H29" s="540">
        <f t="shared" si="7"/>
        <v>0</v>
      </c>
      <c r="I29" s="540">
        <f t="shared" si="7"/>
        <v>0</v>
      </c>
      <c r="J29" s="540">
        <f t="shared" si="7"/>
        <v>0</v>
      </c>
      <c r="K29" s="540">
        <f t="shared" si="7"/>
        <v>0</v>
      </c>
      <c r="L29" s="540">
        <f t="shared" si="7"/>
        <v>0</v>
      </c>
      <c r="M29" s="540">
        <f t="shared" si="7"/>
        <v>0</v>
      </c>
      <c r="N29" s="540">
        <f t="shared" si="7"/>
        <v>0</v>
      </c>
      <c r="O29" s="540">
        <f t="shared" si="7"/>
        <v>0</v>
      </c>
      <c r="P29" s="540">
        <f t="shared" si="7"/>
        <v>0</v>
      </c>
      <c r="Q29" s="540">
        <f t="shared" si="7"/>
        <v>0</v>
      </c>
      <c r="R29" s="537"/>
      <c r="AF29" s="342"/>
      <c r="AG29" s="342">
        <f t="shared" si="1"/>
        <v>24</v>
      </c>
      <c r="AH29" s="342">
        <f t="shared" si="2"/>
        <v>2042</v>
      </c>
    </row>
    <row r="30" spans="1:34" ht="15" customHeight="1">
      <c r="A30" s="461" t="s">
        <v>26</v>
      </c>
      <c r="B30" s="363"/>
      <c r="C30" s="363"/>
      <c r="D30" s="363"/>
      <c r="E30" s="367"/>
      <c r="F30" s="540"/>
      <c r="G30" s="540">
        <f t="shared" si="7"/>
        <v>0</v>
      </c>
      <c r="H30" s="540">
        <f t="shared" si="7"/>
        <v>0</v>
      </c>
      <c r="I30" s="540">
        <f t="shared" si="7"/>
        <v>0</v>
      </c>
      <c r="J30" s="540">
        <f t="shared" si="7"/>
        <v>0</v>
      </c>
      <c r="K30" s="540">
        <f t="shared" si="7"/>
        <v>0</v>
      </c>
      <c r="L30" s="540">
        <f t="shared" si="7"/>
        <v>0</v>
      </c>
      <c r="M30" s="540">
        <f t="shared" si="7"/>
        <v>0</v>
      </c>
      <c r="N30" s="540">
        <f t="shared" si="7"/>
        <v>0</v>
      </c>
      <c r="O30" s="540">
        <f t="shared" si="7"/>
        <v>0</v>
      </c>
      <c r="P30" s="540">
        <f t="shared" si="7"/>
        <v>0</v>
      </c>
      <c r="Q30" s="540">
        <f t="shared" si="7"/>
        <v>0</v>
      </c>
      <c r="R30" s="537"/>
      <c r="AF30" s="342"/>
      <c r="AG30" s="342">
        <f t="shared" si="1"/>
        <v>25</v>
      </c>
      <c r="AH30" s="342">
        <f t="shared" si="2"/>
        <v>2043</v>
      </c>
    </row>
    <row r="31" spans="1:34" ht="15" customHeight="1">
      <c r="A31" s="461" t="s">
        <v>27</v>
      </c>
      <c r="B31" s="462"/>
      <c r="C31" s="462"/>
      <c r="D31" s="462"/>
      <c r="E31" s="463"/>
      <c r="F31" s="540" t="e">
        <f>VLOOKUP($Q$5,個別データ!$C$5:$IA$253,個別データ!CZ1,0)</f>
        <v>#N/A</v>
      </c>
      <c r="G31" s="540" t="e">
        <f>F31</f>
        <v>#N/A</v>
      </c>
      <c r="H31" s="540" t="e">
        <f t="shared" ref="H31:Q31" si="8">G31</f>
        <v>#N/A</v>
      </c>
      <c r="I31" s="540" t="e">
        <f t="shared" si="8"/>
        <v>#N/A</v>
      </c>
      <c r="J31" s="540" t="e">
        <f t="shared" si="8"/>
        <v>#N/A</v>
      </c>
      <c r="K31" s="540" t="e">
        <f t="shared" si="8"/>
        <v>#N/A</v>
      </c>
      <c r="L31" s="540" t="e">
        <f t="shared" si="8"/>
        <v>#N/A</v>
      </c>
      <c r="M31" s="540" t="e">
        <f t="shared" si="8"/>
        <v>#N/A</v>
      </c>
      <c r="N31" s="540" t="e">
        <f t="shared" si="8"/>
        <v>#N/A</v>
      </c>
      <c r="O31" s="540" t="e">
        <f t="shared" si="8"/>
        <v>#N/A</v>
      </c>
      <c r="P31" s="540" t="e">
        <f t="shared" si="8"/>
        <v>#N/A</v>
      </c>
      <c r="Q31" s="540" t="e">
        <f t="shared" si="8"/>
        <v>#N/A</v>
      </c>
      <c r="R31" s="455"/>
      <c r="AF31" s="342"/>
      <c r="AG31" s="342">
        <f t="shared" si="1"/>
        <v>26</v>
      </c>
      <c r="AH31" s="342">
        <f t="shared" si="2"/>
        <v>2044</v>
      </c>
    </row>
    <row r="32" spans="1:34" ht="15" customHeight="1">
      <c r="A32" s="461" t="s">
        <v>906</v>
      </c>
      <c r="B32" s="462"/>
      <c r="C32" s="462"/>
      <c r="D32" s="462"/>
      <c r="E32" s="463"/>
      <c r="F32" s="540"/>
      <c r="G32" s="541">
        <f t="shared" ref="G32:Q32" si="9">F32</f>
        <v>0</v>
      </c>
      <c r="H32" s="541">
        <f t="shared" si="9"/>
        <v>0</v>
      </c>
      <c r="I32" s="541">
        <f t="shared" si="9"/>
        <v>0</v>
      </c>
      <c r="J32" s="541">
        <f t="shared" si="9"/>
        <v>0</v>
      </c>
      <c r="K32" s="541">
        <f t="shared" si="9"/>
        <v>0</v>
      </c>
      <c r="L32" s="541">
        <f t="shared" si="9"/>
        <v>0</v>
      </c>
      <c r="M32" s="541">
        <f t="shared" si="9"/>
        <v>0</v>
      </c>
      <c r="N32" s="541">
        <f t="shared" si="9"/>
        <v>0</v>
      </c>
      <c r="O32" s="541">
        <f t="shared" si="9"/>
        <v>0</v>
      </c>
      <c r="P32" s="541">
        <f t="shared" si="9"/>
        <v>0</v>
      </c>
      <c r="Q32" s="541">
        <f t="shared" si="9"/>
        <v>0</v>
      </c>
      <c r="R32" s="537"/>
      <c r="AF32" s="342"/>
      <c r="AG32" s="342">
        <f t="shared" si="1"/>
        <v>27</v>
      </c>
      <c r="AH32" s="342">
        <f t="shared" si="2"/>
        <v>2045</v>
      </c>
    </row>
    <row r="33" spans="1:34" ht="15" customHeight="1">
      <c r="A33" s="459" t="s">
        <v>28</v>
      </c>
      <c r="B33" s="363"/>
      <c r="C33" s="363"/>
      <c r="D33" s="363"/>
      <c r="E33" s="367"/>
      <c r="F33" s="540" t="s">
        <v>11</v>
      </c>
      <c r="G33" s="540" t="s">
        <v>11</v>
      </c>
      <c r="H33" s="540" t="s">
        <v>11</v>
      </c>
      <c r="I33" s="540" t="s">
        <v>11</v>
      </c>
      <c r="J33" s="540" t="s">
        <v>11</v>
      </c>
      <c r="K33" s="540" t="s">
        <v>11</v>
      </c>
      <c r="L33" s="540" t="s">
        <v>11</v>
      </c>
      <c r="M33" s="540" t="s">
        <v>11</v>
      </c>
      <c r="N33" s="540" t="s">
        <v>11</v>
      </c>
      <c r="O33" s="540" t="s">
        <v>11</v>
      </c>
      <c r="P33" s="540" t="s">
        <v>11</v>
      </c>
      <c r="Q33" s="540" t="s">
        <v>11</v>
      </c>
      <c r="R33" s="455"/>
      <c r="AF33" s="342"/>
      <c r="AG33" s="342">
        <f t="shared" si="1"/>
        <v>28</v>
      </c>
      <c r="AH33" s="342">
        <f t="shared" si="2"/>
        <v>2046</v>
      </c>
    </row>
    <row r="34" spans="1:34" ht="15" customHeight="1">
      <c r="A34" s="461" t="s">
        <v>1233</v>
      </c>
      <c r="E34" s="356"/>
      <c r="F34" s="540"/>
      <c r="G34" s="540">
        <f>F34</f>
        <v>0</v>
      </c>
      <c r="H34" s="540">
        <f t="shared" ref="H34:Q34" si="10">G34</f>
        <v>0</v>
      </c>
      <c r="I34" s="540">
        <f t="shared" si="10"/>
        <v>0</v>
      </c>
      <c r="J34" s="540">
        <f t="shared" si="10"/>
        <v>0</v>
      </c>
      <c r="K34" s="540">
        <f t="shared" si="10"/>
        <v>0</v>
      </c>
      <c r="L34" s="540">
        <f t="shared" si="10"/>
        <v>0</v>
      </c>
      <c r="M34" s="540">
        <f t="shared" si="10"/>
        <v>0</v>
      </c>
      <c r="N34" s="540">
        <f t="shared" si="10"/>
        <v>0</v>
      </c>
      <c r="O34" s="540">
        <f t="shared" si="10"/>
        <v>0</v>
      </c>
      <c r="P34" s="540">
        <f t="shared" si="10"/>
        <v>0</v>
      </c>
      <c r="Q34" s="540">
        <f t="shared" si="10"/>
        <v>0</v>
      </c>
      <c r="R34" s="455"/>
      <c r="AF34" s="342"/>
      <c r="AG34" s="342"/>
      <c r="AH34" s="342"/>
    </row>
    <row r="35" spans="1:34" ht="15" customHeight="1">
      <c r="A35" s="461" t="s">
        <v>1362</v>
      </c>
      <c r="B35" s="462"/>
      <c r="C35" s="462"/>
      <c r="D35" s="462"/>
      <c r="E35" s="463"/>
      <c r="F35" s="540"/>
      <c r="G35" s="540">
        <f>F35</f>
        <v>0</v>
      </c>
      <c r="H35" s="540">
        <f t="shared" ref="H35:Q35" si="11">G35</f>
        <v>0</v>
      </c>
      <c r="I35" s="540">
        <f t="shared" si="11"/>
        <v>0</v>
      </c>
      <c r="J35" s="540">
        <f t="shared" si="11"/>
        <v>0</v>
      </c>
      <c r="K35" s="540">
        <f t="shared" si="11"/>
        <v>0</v>
      </c>
      <c r="L35" s="540">
        <f t="shared" si="11"/>
        <v>0</v>
      </c>
      <c r="M35" s="540">
        <f t="shared" si="11"/>
        <v>0</v>
      </c>
      <c r="N35" s="540">
        <f t="shared" si="11"/>
        <v>0</v>
      </c>
      <c r="O35" s="540">
        <f t="shared" si="11"/>
        <v>0</v>
      </c>
      <c r="P35" s="540">
        <f t="shared" si="11"/>
        <v>0</v>
      </c>
      <c r="Q35" s="540">
        <f t="shared" si="11"/>
        <v>0</v>
      </c>
      <c r="R35" s="455"/>
      <c r="AF35" s="342"/>
      <c r="AG35" s="342"/>
      <c r="AH35" s="342"/>
    </row>
    <row r="36" spans="1:34" ht="15" customHeight="1">
      <c r="A36" s="457" t="s">
        <v>452</v>
      </c>
      <c r="B36" s="355"/>
      <c r="C36" s="355"/>
      <c r="D36" s="355"/>
      <c r="E36" s="365"/>
      <c r="F36" s="542" t="str">
        <f t="shared" ref="F36:Q36" si="12">IF(OR(F37=$T$40,F37=$T$41,F37=$T$42),"有","無")</f>
        <v>無</v>
      </c>
      <c r="G36" s="542" t="str">
        <f t="shared" si="12"/>
        <v>無</v>
      </c>
      <c r="H36" s="542" t="str">
        <f t="shared" si="12"/>
        <v>無</v>
      </c>
      <c r="I36" s="542" t="str">
        <f t="shared" si="12"/>
        <v>無</v>
      </c>
      <c r="J36" s="542" t="str">
        <f t="shared" si="12"/>
        <v>無</v>
      </c>
      <c r="K36" s="542" t="str">
        <f t="shared" si="12"/>
        <v>無</v>
      </c>
      <c r="L36" s="542" t="str">
        <f t="shared" si="12"/>
        <v>無</v>
      </c>
      <c r="M36" s="542" t="str">
        <f t="shared" si="12"/>
        <v>無</v>
      </c>
      <c r="N36" s="542" t="str">
        <f t="shared" si="12"/>
        <v>無</v>
      </c>
      <c r="O36" s="542" t="str">
        <f t="shared" si="12"/>
        <v>無</v>
      </c>
      <c r="P36" s="542" t="str">
        <f t="shared" si="12"/>
        <v>無</v>
      </c>
      <c r="Q36" s="542" t="str">
        <f t="shared" si="12"/>
        <v>無</v>
      </c>
      <c r="R36" s="538"/>
      <c r="AF36" s="342"/>
      <c r="AG36" s="342">
        <f>AG33+1</f>
        <v>29</v>
      </c>
      <c r="AH36" s="342">
        <f>AH33+1</f>
        <v>2047</v>
      </c>
    </row>
    <row r="37" spans="1:34" ht="15" customHeight="1">
      <c r="A37" s="459"/>
      <c r="B37" s="461" t="s">
        <v>453</v>
      </c>
      <c r="C37" s="462"/>
      <c r="D37" s="462"/>
      <c r="E37" s="463"/>
      <c r="F37" s="540"/>
      <c r="G37" s="540">
        <f>F37</f>
        <v>0</v>
      </c>
      <c r="H37" s="540">
        <f t="shared" ref="H37:Q37" si="13">G37</f>
        <v>0</v>
      </c>
      <c r="I37" s="540">
        <f t="shared" si="13"/>
        <v>0</v>
      </c>
      <c r="J37" s="540">
        <f t="shared" si="13"/>
        <v>0</v>
      </c>
      <c r="K37" s="540">
        <f t="shared" si="13"/>
        <v>0</v>
      </c>
      <c r="L37" s="540">
        <f t="shared" si="13"/>
        <v>0</v>
      </c>
      <c r="M37" s="540">
        <f t="shared" si="13"/>
        <v>0</v>
      </c>
      <c r="N37" s="540">
        <f t="shared" si="13"/>
        <v>0</v>
      </c>
      <c r="O37" s="540">
        <f t="shared" si="13"/>
        <v>0</v>
      </c>
      <c r="P37" s="540">
        <f t="shared" si="13"/>
        <v>0</v>
      </c>
      <c r="Q37" s="540">
        <f t="shared" si="13"/>
        <v>0</v>
      </c>
      <c r="R37" s="538"/>
      <c r="AF37" s="342"/>
      <c r="AG37" s="342">
        <f t="shared" ref="AG37:AH38" si="14">AG36+1</f>
        <v>30</v>
      </c>
      <c r="AH37" s="342">
        <f t="shared" si="14"/>
        <v>2048</v>
      </c>
    </row>
    <row r="38" spans="1:34" ht="15" hidden="1" customHeight="1">
      <c r="A38" s="459"/>
      <c r="B38" s="459"/>
      <c r="C38" s="459" t="s">
        <v>476</v>
      </c>
      <c r="D38" s="363"/>
      <c r="E38" s="367"/>
      <c r="F38" s="468">
        <f>IF(F37="配置",個別データ!$HO$3,0)</f>
        <v>0</v>
      </c>
      <c r="G38" s="468">
        <f>IF(G37="配置",個別データ!$HO$3,0)</f>
        <v>0</v>
      </c>
      <c r="H38" s="468">
        <f>IF(H37="配置",個別データ!$HO$3,0)</f>
        <v>0</v>
      </c>
      <c r="I38" s="468">
        <f>IF(I37="配置",個別データ!$HO$3,0)</f>
        <v>0</v>
      </c>
      <c r="J38" s="468">
        <f>IF(J37="配置",個別データ!$HO$3,0)</f>
        <v>0</v>
      </c>
      <c r="K38" s="468">
        <f>IF(K37="配置",個別データ!$HO$3,0)</f>
        <v>0</v>
      </c>
      <c r="L38" s="468">
        <f>IF(L37="配置",個別データ!$HO$3,0)</f>
        <v>0</v>
      </c>
      <c r="M38" s="468">
        <f>IF(M37="配置",個別データ!$HO$3,0)</f>
        <v>0</v>
      </c>
      <c r="N38" s="468">
        <f>IF(N37="配置",個別データ!$HO$3,0)</f>
        <v>0</v>
      </c>
      <c r="O38" s="468">
        <f>IF(O37="配置",個別データ!$HO$3,0)</f>
        <v>0</v>
      </c>
      <c r="P38" s="468">
        <f>IF(P37="配置",個別データ!$HO$3,0)</f>
        <v>0</v>
      </c>
      <c r="Q38" s="468">
        <f>IF(Q37="配置",個別データ!$HO$3,0)</f>
        <v>0</v>
      </c>
      <c r="R38" s="539"/>
      <c r="AF38" s="342"/>
      <c r="AG38" s="342">
        <f t="shared" si="14"/>
        <v>31</v>
      </c>
      <c r="AH38" s="342">
        <f t="shared" si="0"/>
        <v>2049</v>
      </c>
    </row>
    <row r="39" spans="1:34" ht="14" customHeight="1">
      <c r="AF39" s="342"/>
      <c r="AG39" s="342">
        <f t="shared" ref="AG39" si="15">AG38+1</f>
        <v>32</v>
      </c>
      <c r="AH39" s="342">
        <f t="shared" si="0"/>
        <v>2050</v>
      </c>
    </row>
    <row r="40" spans="1:34" ht="15" customHeight="1">
      <c r="T40" s="336" t="s">
        <v>449</v>
      </c>
      <c r="U40" s="336">
        <v>76960</v>
      </c>
      <c r="AF40" s="342"/>
      <c r="AG40" s="342">
        <f t="shared" ref="AG40" si="16">AG39+1</f>
        <v>33</v>
      </c>
      <c r="AH40" s="342">
        <f t="shared" si="0"/>
        <v>2051</v>
      </c>
    </row>
    <row r="41" spans="1:34" ht="15" customHeight="1">
      <c r="T41" s="336" t="s">
        <v>450</v>
      </c>
      <c r="U41" s="336">
        <v>50000</v>
      </c>
      <c r="AF41" s="342"/>
      <c r="AG41" s="342">
        <f t="shared" ref="AG41" si="17">AG40+1</f>
        <v>34</v>
      </c>
      <c r="AH41" s="342">
        <f t="shared" si="0"/>
        <v>2052</v>
      </c>
    </row>
    <row r="42" spans="1:34" ht="15" customHeight="1">
      <c r="T42" s="336" t="s">
        <v>451</v>
      </c>
      <c r="U42" s="336">
        <v>10000</v>
      </c>
      <c r="AF42" s="342" t="s">
        <v>29</v>
      </c>
      <c r="AG42" s="342">
        <v>31</v>
      </c>
      <c r="AH42" s="342">
        <v>2019</v>
      </c>
    </row>
    <row r="43" spans="1:34" ht="15" customHeight="1"/>
    <row r="44" spans="1:34" ht="15" customHeight="1"/>
    <row r="45" spans="1:34" ht="15" customHeight="1"/>
    <row r="46" spans="1:34" ht="15" customHeight="1"/>
    <row r="47" spans="1:34" ht="15" customHeight="1"/>
    <row r="48" spans="1:34" ht="19.5" customHeight="1"/>
  </sheetData>
  <sheetProtection algorithmName="SHA-512" hashValue="Ct5177fIElVjltr0hBLzZSBlhvl2ktFCRHcSSp192i3wBoHYbkgrKKft2C3VE0WU/Tl6Tz3Jmq0aycmGdiR2SQ==" saltValue="QyQ7h/CPVMm5V4wx/u6abw==" spinCount="100000" sheet="1" formatCells="0" selectLockedCells="1"/>
  <dataConsolidate/>
  <mergeCells count="11">
    <mergeCell ref="AF5:AG5"/>
    <mergeCell ref="D5:I5"/>
    <mergeCell ref="D3:I3"/>
    <mergeCell ref="D4:I4"/>
    <mergeCell ref="M3:O3"/>
    <mergeCell ref="D6:I6"/>
    <mergeCell ref="L18:Q18"/>
    <mergeCell ref="M4:O4"/>
    <mergeCell ref="M5:O5"/>
    <mergeCell ref="L8:Q8"/>
    <mergeCell ref="L9:Q9"/>
  </mergeCells>
  <phoneticPr fontId="1"/>
  <conditionalFormatting sqref="D6:H6">
    <cfRule type="containsText" dxfId="86" priority="40" operator="containsText" text="ここに認可園名を記載してください。">
      <formula>NOT(ISERROR(SEARCH("ここに認可園名を記載してください。",D6)))</formula>
    </cfRule>
  </conditionalFormatting>
  <conditionalFormatting sqref="D3:I5">
    <cfRule type="containsBlanks" dxfId="85" priority="70">
      <formula>LEN(TRIM(D3))=0</formula>
    </cfRule>
  </conditionalFormatting>
  <conditionalFormatting sqref="D5:I5">
    <cfRule type="duplicateValues" dxfId="84" priority="23"/>
  </conditionalFormatting>
  <conditionalFormatting sqref="D6:I6">
    <cfRule type="cellIs" dxfId="83" priority="39" operator="equal">
      <formula>$D$5</formula>
    </cfRule>
  </conditionalFormatting>
  <conditionalFormatting sqref="E8 L8:P9 E10:H11">
    <cfRule type="containsBlanks" dxfId="82" priority="75">
      <formula>LEN(TRIM(E8))=0</formula>
    </cfRule>
  </conditionalFormatting>
  <conditionalFormatting sqref="F21:Q21">
    <cfRule type="containsBlanks" dxfId="81" priority="47">
      <formula>LEN(TRIM(F21))=0</formula>
    </cfRule>
  </conditionalFormatting>
  <conditionalFormatting sqref="F23:Q25">
    <cfRule type="containsBlanks" dxfId="80" priority="49">
      <formula>LEN(TRIM(F23))=0</formula>
    </cfRule>
  </conditionalFormatting>
  <conditionalFormatting sqref="F28:Q38">
    <cfRule type="containsBlanks" dxfId="79" priority="1">
      <formula>LEN(TRIM(F28))=0</formula>
    </cfRule>
  </conditionalFormatting>
  <conditionalFormatting sqref="F33:Q33 F36:Q36">
    <cfRule type="containsText" dxfId="78" priority="26" operator="containsText" text="要入力">
      <formula>NOT(ISERROR(SEARCH("要入力",F33)))</formula>
    </cfRule>
  </conditionalFormatting>
  <conditionalFormatting sqref="F38:Q38">
    <cfRule type="containsText" dxfId="77" priority="28" operator="containsText" text="要入力">
      <formula>NOT(ISERROR(SEARCH("要入力",F38)))</formula>
    </cfRule>
  </conditionalFormatting>
  <conditionalFormatting sqref="M4">
    <cfRule type="containsBlanks" dxfId="76" priority="6">
      <formula>LEN(TRIM(M4))=0</formula>
    </cfRule>
  </conditionalFormatting>
  <dataValidations count="9">
    <dataValidation type="list" allowBlank="1" showInputMessage="1" showErrorMessage="1" sqref="G21:Q21 F31:Q31 F33:F35 G33:Q33" xr:uid="{8A613A1D-6FB0-43A8-859C-BCF1F74FABC7}">
      <formula1>$T$20:$T$21</formula1>
    </dataValidation>
    <dataValidation type="list" allowBlank="1" showInputMessage="1" showErrorMessage="1" sqref="D3:I3" xr:uid="{4DF6469E-EF9B-4FA6-98BF-4A83ABA581A5}">
      <formula1>"中央区,花見川区,稲毛区,若葉区,緑区,美浜区"</formula1>
    </dataValidation>
    <dataValidation type="list" allowBlank="1" showInputMessage="1" showErrorMessage="1" sqref="D4:I4" xr:uid="{9AE91C2E-B53B-4502-92E1-01E73D00C046}">
      <formula1>$T$4:$W$4</formula1>
    </dataValidation>
    <dataValidation type="list" allowBlank="1" showInputMessage="1" showErrorMessage="1" sqref="D5:I5" xr:uid="{BA695FBC-3BF9-49FD-AE56-F846EDF269A3}">
      <formula1>INDIRECT(TEXT($D3&amp;$D4,"@"))</formula1>
    </dataValidation>
    <dataValidation type="whole" operator="greaterThanOrEqual" allowBlank="1" showInputMessage="1" showErrorMessage="1" sqref="F38:R38" xr:uid="{2EEC5067-C9AB-4045-B6A8-930C92086E17}">
      <formula1>0</formula1>
    </dataValidation>
    <dataValidation type="list" allowBlank="1" showInputMessage="1" showErrorMessage="1" sqref="L18:Q18" xr:uid="{65A486F8-0026-4CAC-87C5-AA2C6C0E573F}">
      <formula1>$T$14:$T$15</formula1>
    </dataValidation>
    <dataValidation type="list" allowBlank="1" showInputMessage="1" showErrorMessage="1" sqref="F24:Q24" xr:uid="{0AE34C7D-CC9D-458A-80FF-57D1C7DA9839}">
      <formula1>$U$20:$U$22</formula1>
    </dataValidation>
    <dataValidation type="list" allowBlank="1" showInputMessage="1" showErrorMessage="1" sqref="F25:Q25" xr:uid="{A921CB46-E2CB-4F6F-AE09-0C245E10F0A5}">
      <formula1>$T$20:$T$22</formula1>
    </dataValidation>
    <dataValidation type="list" allowBlank="1" showInputMessage="1" showErrorMessage="1" sqref="F37" xr:uid="{9CF2C1CC-F1C1-4F3D-AF8E-9662EC236976}">
      <formula1>$V$20:$V$23</formula1>
    </dataValidation>
  </dataValidations>
  <printOptions horizontalCentered="1"/>
  <pageMargins left="0.59055118110236227" right="0.59055118110236227" top="0.98425196850393704" bottom="0.98425196850393704" header="0.51181102362204722" footer="0.51181102362204722"/>
  <pageSetup paperSize="9" scale="70" orientation="portrait" r:id="rId1"/>
  <headerFooter alignWithMargins="0"/>
  <rowBreaks count="1" manualBreakCount="1">
    <brk id="10" max="16383"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AE25D-3FB3-446C-97B6-51C8D1BAF10A}">
  <sheetPr codeName="Sheet6">
    <tabColor rgb="FF00B050"/>
  </sheetPr>
  <dimension ref="A1:CV164"/>
  <sheetViews>
    <sheetView showZeros="0" view="pageBreakPreview" zoomScale="85" zoomScaleNormal="85" zoomScaleSheetLayoutView="85" workbookViewId="0">
      <pane ySplit="6" topLeftCell="A7" activePane="bottomLeft" state="frozen"/>
      <selection activeCell="L9" sqref="L9:Q9"/>
      <selection pane="bottomLeft" activeCell="B7" sqref="B7"/>
    </sheetView>
  </sheetViews>
  <sheetFormatPr defaultColWidth="8" defaultRowHeight="18"/>
  <cols>
    <col min="1" max="1" width="3.33203125" customWidth="1"/>
    <col min="2" max="2" width="8.33203125" customWidth="1"/>
    <col min="3" max="3" width="7" customWidth="1"/>
    <col min="4" max="4" width="5" customWidth="1"/>
    <col min="5" max="5" width="12.83203125" customWidth="1"/>
    <col min="6" max="6" width="3.5" hidden="1" customWidth="1"/>
    <col min="7" max="7" width="3.33203125" customWidth="1"/>
    <col min="8" max="8" width="3.08203125" customWidth="1"/>
    <col min="9" max="9" width="3.08203125" hidden="1" customWidth="1"/>
    <col min="10" max="16" width="3.08203125" customWidth="1"/>
    <col min="17" max="17" width="7.5" customWidth="1"/>
    <col min="18" max="18" width="9" customWidth="1"/>
    <col min="19" max="22" width="9.5" customWidth="1"/>
    <col min="23" max="23" width="10.5" customWidth="1"/>
    <col min="24" max="24" width="8.75" customWidth="1"/>
    <col min="25" max="25" width="10.83203125" style="77" bestFit="1" customWidth="1"/>
    <col min="61" max="61" width="9.5" bestFit="1" customWidth="1"/>
    <col min="63" max="63" width="11.33203125" customWidth="1"/>
    <col min="64" max="64" width="86" customWidth="1"/>
  </cols>
  <sheetData>
    <row r="1" spans="1:100" s="72" customFormat="1" ht="24.75" customHeight="1">
      <c r="A1" s="768" t="s">
        <v>30</v>
      </c>
      <c r="B1" s="768"/>
      <c r="C1" s="768"/>
      <c r="D1" s="768"/>
      <c r="E1" s="768"/>
      <c r="F1" s="768"/>
      <c r="G1" s="768"/>
      <c r="H1" s="768"/>
      <c r="I1" s="768"/>
      <c r="J1" s="768"/>
      <c r="K1" s="768"/>
      <c r="L1" s="768"/>
      <c r="M1" s="768"/>
      <c r="N1" s="768"/>
      <c r="O1" s="768"/>
      <c r="P1" s="768"/>
      <c r="Q1" s="768"/>
      <c r="R1" s="768"/>
      <c r="S1" s="768"/>
      <c r="T1" s="768"/>
      <c r="U1" s="768"/>
      <c r="V1" s="768"/>
      <c r="W1" s="768"/>
      <c r="X1" s="768"/>
      <c r="Y1" s="71"/>
    </row>
    <row r="2" spans="1:100" ht="18" customHeight="1">
      <c r="A2" s="73" t="str">
        <f>CONCATENATE("（1）R",①基本情報!E8,"年度職員在籍名簿")</f>
        <v>（1）R8年度職員在籍名簿</v>
      </c>
      <c r="B2" s="73"/>
      <c r="C2" s="73"/>
      <c r="D2" s="73"/>
      <c r="E2" s="74"/>
      <c r="F2" s="75"/>
      <c r="G2" s="75"/>
      <c r="H2" s="74"/>
      <c r="I2" s="75"/>
      <c r="J2" s="75"/>
      <c r="K2" s="75"/>
      <c r="L2" s="75"/>
      <c r="M2" s="75"/>
      <c r="N2" s="75"/>
      <c r="O2" s="75"/>
      <c r="P2" s="74"/>
      <c r="Q2" s="74"/>
      <c r="R2" s="74"/>
      <c r="S2" s="76"/>
      <c r="T2" s="76"/>
      <c r="U2" s="76"/>
      <c r="V2" s="76"/>
      <c r="W2" s="76"/>
      <c r="X2" s="76"/>
      <c r="BO2" s="336" t="s">
        <v>1497</v>
      </c>
      <c r="CS2" s="336" t="s">
        <v>1498</v>
      </c>
      <c r="CT2" s="336"/>
      <c r="CU2" s="336"/>
      <c r="CV2" s="336"/>
    </row>
    <row r="3" spans="1:100" ht="18" customHeight="1">
      <c r="A3" s="73"/>
      <c r="C3" s="73"/>
      <c r="D3" s="73"/>
      <c r="E3" s="74"/>
      <c r="F3" s="75"/>
      <c r="G3" s="74"/>
      <c r="H3" s="74"/>
      <c r="I3" s="74"/>
      <c r="J3" s="74"/>
      <c r="K3" s="74"/>
      <c r="L3" s="74"/>
      <c r="M3" s="74"/>
      <c r="N3" s="74"/>
      <c r="O3" s="74"/>
      <c r="P3" s="74"/>
      <c r="Q3" s="74"/>
      <c r="R3" s="74"/>
      <c r="T3" s="78" t="s">
        <v>31</v>
      </c>
      <c r="U3" s="769">
        <f>①基本情報!D6</f>
        <v>0</v>
      </c>
      <c r="V3" s="769"/>
      <c r="W3" s="769"/>
      <c r="X3" s="770"/>
      <c r="BO3" s="119" t="str">
        <f>IF(COUNTIF(BO7:BO106,"×")&gt;0,"×","〇")</f>
        <v>〇</v>
      </c>
      <c r="BP3" s="119" t="str">
        <f t="shared" ref="BP3:CQ3" si="0">IF(COUNTIF(BP7:BP106,"×")&gt;0,"×","〇")</f>
        <v>〇</v>
      </c>
      <c r="BQ3" s="119" t="str">
        <f t="shared" si="0"/>
        <v>〇</v>
      </c>
      <c r="BR3" s="119" t="str">
        <f t="shared" si="0"/>
        <v>〇</v>
      </c>
      <c r="BS3" s="119" t="str">
        <f t="shared" si="0"/>
        <v>〇</v>
      </c>
      <c r="BT3" s="119" t="str">
        <f t="shared" si="0"/>
        <v>〇</v>
      </c>
      <c r="BU3" s="119" t="str">
        <f t="shared" si="0"/>
        <v>〇</v>
      </c>
      <c r="BV3" s="119" t="str">
        <f t="shared" si="0"/>
        <v>〇</v>
      </c>
      <c r="BW3" s="119" t="str">
        <f t="shared" si="0"/>
        <v>〇</v>
      </c>
      <c r="BX3" s="119" t="str">
        <f t="shared" si="0"/>
        <v>〇</v>
      </c>
      <c r="BY3" s="119" t="str">
        <f t="shared" si="0"/>
        <v>〇</v>
      </c>
      <c r="BZ3" s="119" t="str">
        <f t="shared" si="0"/>
        <v>〇</v>
      </c>
      <c r="CA3" s="119" t="str">
        <f t="shared" si="0"/>
        <v>〇</v>
      </c>
      <c r="CB3" s="119" t="str">
        <f t="shared" si="0"/>
        <v>〇</v>
      </c>
      <c r="CC3" s="119" t="str">
        <f t="shared" si="0"/>
        <v>〇</v>
      </c>
      <c r="CD3" s="119" t="str">
        <f t="shared" si="0"/>
        <v>〇</v>
      </c>
      <c r="CE3" s="119" t="str">
        <f t="shared" si="0"/>
        <v>〇</v>
      </c>
      <c r="CF3" s="119" t="str">
        <f t="shared" si="0"/>
        <v>〇</v>
      </c>
      <c r="CG3" s="119" t="str">
        <f t="shared" si="0"/>
        <v>〇</v>
      </c>
      <c r="CH3" s="119" t="str">
        <f t="shared" si="0"/>
        <v>〇</v>
      </c>
      <c r="CI3" s="119" t="str">
        <f t="shared" si="0"/>
        <v>〇</v>
      </c>
      <c r="CJ3" s="119" t="str">
        <f t="shared" si="0"/>
        <v>〇</v>
      </c>
      <c r="CK3" s="119" t="str">
        <f t="shared" si="0"/>
        <v>〇</v>
      </c>
      <c r="CL3" s="119" t="str">
        <f t="shared" si="0"/>
        <v>〇</v>
      </c>
      <c r="CM3" s="119" t="str">
        <f t="shared" si="0"/>
        <v>〇</v>
      </c>
      <c r="CN3" s="119" t="str">
        <f t="shared" si="0"/>
        <v>〇</v>
      </c>
      <c r="CO3" s="119" t="str">
        <f t="shared" si="0"/>
        <v>〇</v>
      </c>
      <c r="CP3" s="119" t="str">
        <f t="shared" si="0"/>
        <v>〇</v>
      </c>
      <c r="CQ3" s="119" t="str">
        <f t="shared" si="0"/>
        <v>〇</v>
      </c>
      <c r="CS3" s="336"/>
      <c r="CT3" s="336"/>
      <c r="CU3" s="336"/>
      <c r="CV3" s="336"/>
    </row>
    <row r="4" spans="1:100" ht="7.5" customHeight="1" thickBot="1">
      <c r="A4" s="73"/>
      <c r="B4" s="73"/>
      <c r="C4" s="73"/>
      <c r="D4" s="73"/>
      <c r="E4" s="74"/>
      <c r="F4" s="75"/>
      <c r="G4" s="74"/>
      <c r="H4" s="74"/>
      <c r="I4" s="74"/>
      <c r="J4" s="74"/>
      <c r="K4" s="74"/>
      <c r="L4" s="74"/>
      <c r="M4" s="74"/>
      <c r="N4" s="74"/>
      <c r="O4" s="74"/>
      <c r="P4" s="74"/>
      <c r="Q4" s="74"/>
      <c r="R4" s="74"/>
      <c r="S4" s="74"/>
      <c r="T4" s="74"/>
      <c r="U4" s="74"/>
      <c r="V4" s="74"/>
      <c r="W4" s="74"/>
      <c r="X4" s="74"/>
      <c r="BO4" s="336"/>
      <c r="BP4" s="336"/>
      <c r="BQ4" s="336"/>
      <c r="BR4" s="336"/>
      <c r="BS4" s="336"/>
      <c r="BT4" s="336"/>
      <c r="BU4" s="336"/>
      <c r="BV4" s="336"/>
      <c r="BW4" s="336"/>
      <c r="BX4" s="336"/>
      <c r="BY4" s="336"/>
      <c r="BZ4" s="336"/>
      <c r="CA4" s="336"/>
      <c r="CB4" s="336"/>
      <c r="CC4" s="336"/>
      <c r="CS4" s="336"/>
      <c r="CT4" s="336"/>
      <c r="CU4" s="336"/>
      <c r="CV4" s="336"/>
    </row>
    <row r="5" spans="1:100" s="79" customFormat="1" ht="20.25" customHeight="1">
      <c r="A5" s="771"/>
      <c r="B5" s="759" t="s">
        <v>843</v>
      </c>
      <c r="C5" s="759" t="s">
        <v>844</v>
      </c>
      <c r="D5" s="759"/>
      <c r="E5" s="759" t="s">
        <v>845</v>
      </c>
      <c r="F5" s="773"/>
      <c r="G5" s="773" t="s">
        <v>33</v>
      </c>
      <c r="H5" s="775" t="s">
        <v>34</v>
      </c>
      <c r="I5" s="776"/>
      <c r="J5" s="776"/>
      <c r="K5" s="776"/>
      <c r="L5" s="776"/>
      <c r="M5" s="776"/>
      <c r="N5" s="776"/>
      <c r="O5" s="776"/>
      <c r="P5" s="776"/>
      <c r="Q5" s="777"/>
      <c r="R5" s="778" t="s">
        <v>847</v>
      </c>
      <c r="S5" s="764" t="s">
        <v>35</v>
      </c>
      <c r="T5" s="765"/>
      <c r="U5" s="764" t="s">
        <v>36</v>
      </c>
      <c r="V5" s="765"/>
      <c r="W5" s="759" t="s">
        <v>37</v>
      </c>
      <c r="X5" s="766" t="s">
        <v>848</v>
      </c>
      <c r="Y5" s="759" t="s">
        <v>32</v>
      </c>
      <c r="BE5" s="761" t="s">
        <v>38</v>
      </c>
      <c r="BF5" s="758" t="s">
        <v>39</v>
      </c>
      <c r="BG5" s="758"/>
      <c r="BH5" s="758"/>
      <c r="BI5" s="80">
        <v>43922</v>
      </c>
      <c r="BO5" s="752" t="s">
        <v>843</v>
      </c>
      <c r="BP5" s="752" t="s">
        <v>844</v>
      </c>
      <c r="BQ5" s="752"/>
      <c r="BR5" s="752" t="s">
        <v>845</v>
      </c>
      <c r="BS5" s="753" t="s">
        <v>34</v>
      </c>
      <c r="BT5" s="754"/>
      <c r="BU5" s="754"/>
      <c r="BV5" s="754"/>
      <c r="BW5" s="754"/>
      <c r="BX5" s="755" t="s">
        <v>1499</v>
      </c>
      <c r="BY5" s="750" t="s">
        <v>35</v>
      </c>
      <c r="BZ5" s="751"/>
      <c r="CA5" s="750" t="s">
        <v>36</v>
      </c>
      <c r="CB5" s="751"/>
      <c r="CC5" s="752" t="s">
        <v>1500</v>
      </c>
      <c r="CD5" s="752" t="s">
        <v>1501</v>
      </c>
      <c r="CE5" s="752" t="s">
        <v>1513</v>
      </c>
      <c r="CF5" s="752" t="s">
        <v>1514</v>
      </c>
      <c r="CG5" s="752" t="s">
        <v>1515</v>
      </c>
      <c r="CH5" s="748" t="s">
        <v>1502</v>
      </c>
      <c r="CI5" s="749" t="s">
        <v>34</v>
      </c>
      <c r="CJ5" s="749"/>
      <c r="CK5" s="749"/>
      <c r="CL5" s="749"/>
      <c r="CM5" s="749"/>
      <c r="CN5" s="749"/>
      <c r="CO5" s="748" t="s">
        <v>1503</v>
      </c>
      <c r="CP5" s="748" t="s">
        <v>1504</v>
      </c>
      <c r="CQ5" s="748" t="s">
        <v>1505</v>
      </c>
      <c r="CS5" s="471"/>
      <c r="CT5" s="471"/>
      <c r="CU5" s="471"/>
      <c r="CV5" s="471"/>
    </row>
    <row r="6" spans="1:100" s="79" customFormat="1" ht="67.5" customHeight="1">
      <c r="A6" s="772"/>
      <c r="B6" s="760"/>
      <c r="C6" s="760"/>
      <c r="D6" s="760"/>
      <c r="E6" s="760"/>
      <c r="F6" s="774"/>
      <c r="G6" s="774"/>
      <c r="H6" s="81" t="s">
        <v>802</v>
      </c>
      <c r="I6" s="82" t="s">
        <v>40</v>
      </c>
      <c r="J6" s="82" t="s">
        <v>41</v>
      </c>
      <c r="K6" s="82" t="s">
        <v>42</v>
      </c>
      <c r="L6" s="81" t="s">
        <v>43</v>
      </c>
      <c r="M6" s="81" t="s">
        <v>44</v>
      </c>
      <c r="N6" s="82" t="s">
        <v>45</v>
      </c>
      <c r="O6" s="82" t="s">
        <v>46</v>
      </c>
      <c r="P6" s="83" t="s">
        <v>47</v>
      </c>
      <c r="Q6" s="235" t="s">
        <v>846</v>
      </c>
      <c r="R6" s="779"/>
      <c r="S6" s="84" t="s">
        <v>48</v>
      </c>
      <c r="T6" s="84" t="s">
        <v>49</v>
      </c>
      <c r="U6" s="84" t="s">
        <v>48</v>
      </c>
      <c r="V6" s="84" t="s">
        <v>49</v>
      </c>
      <c r="W6" s="760"/>
      <c r="X6" s="767"/>
      <c r="Y6" s="760"/>
      <c r="AC6" s="1">
        <f>DATE(①基本情報!$AI$5,4,1)</f>
        <v>46113</v>
      </c>
      <c r="AD6" s="1">
        <f>DATE(①基本情報!$AI$5,5,1)</f>
        <v>46143</v>
      </c>
      <c r="AE6" s="1">
        <f>DATE(①基本情報!$AI$5,6,1)</f>
        <v>46174</v>
      </c>
      <c r="AF6" s="1">
        <f>DATE(①基本情報!$AI$5,7,1)</f>
        <v>46204</v>
      </c>
      <c r="AG6" s="1">
        <f>DATE(①基本情報!$AI$5,8,1)</f>
        <v>46235</v>
      </c>
      <c r="AH6" s="1">
        <f>DATE(①基本情報!$AI$5,9,1)</f>
        <v>46266</v>
      </c>
      <c r="AI6" s="1">
        <f>DATE(①基本情報!$AI$5,10,1)</f>
        <v>46296</v>
      </c>
      <c r="AJ6" s="1">
        <f>DATE(①基本情報!$AI$5,11,1)</f>
        <v>46327</v>
      </c>
      <c r="AK6" s="1">
        <f>DATE(①基本情報!$AI$5,12,1)</f>
        <v>46357</v>
      </c>
      <c r="AL6" s="1">
        <f>DATE(①基本情報!$AI$5+1,1,1)</f>
        <v>46388</v>
      </c>
      <c r="AM6" s="1">
        <f>DATE(①基本情報!$AI$5+1,2,1)</f>
        <v>46419</v>
      </c>
      <c r="AN6" s="1">
        <f>DATE(①基本情報!$AI$5+1,3,1)</f>
        <v>46447</v>
      </c>
      <c r="AP6" s="1">
        <f>DATE(①基本情報!$AI$5,4,1)</f>
        <v>46113</v>
      </c>
      <c r="AQ6" s="1">
        <f>DATE(①基本情報!$AI$5,5,1)</f>
        <v>46143</v>
      </c>
      <c r="AR6" s="1">
        <f>DATE(①基本情報!$AI$5,6,1)</f>
        <v>46174</v>
      </c>
      <c r="AS6" s="1">
        <f>DATE(①基本情報!$AI$5,7,1)</f>
        <v>46204</v>
      </c>
      <c r="AT6" s="1">
        <f>DATE(①基本情報!$AI$5,8,1)</f>
        <v>46235</v>
      </c>
      <c r="AU6" s="1">
        <f>DATE(①基本情報!$AI$5,9,1)</f>
        <v>46266</v>
      </c>
      <c r="AV6" s="1">
        <f>DATE(①基本情報!$AI$5,10,1)</f>
        <v>46296</v>
      </c>
      <c r="AW6" s="1">
        <f>DATE(①基本情報!$AI$5,11,1)</f>
        <v>46327</v>
      </c>
      <c r="AX6" s="1">
        <f>DATE(①基本情報!$AI$5,12,1)</f>
        <v>46357</v>
      </c>
      <c r="AY6" s="1">
        <f>DATE(①基本情報!$AI$5+1,1,1)</f>
        <v>46388</v>
      </c>
      <c r="AZ6" s="1">
        <f>DATE(①基本情報!$AI$5+1,2,1)</f>
        <v>46419</v>
      </c>
      <c r="BA6" s="1">
        <f>DATE(①基本情報!$AI$5+1,3,1)</f>
        <v>46447</v>
      </c>
      <c r="BE6" s="761"/>
      <c r="BF6" s="85" t="s">
        <v>50</v>
      </c>
      <c r="BG6" s="85" t="s">
        <v>51</v>
      </c>
      <c r="BH6" s="85" t="s">
        <v>52</v>
      </c>
      <c r="BI6" s="85" t="s">
        <v>53</v>
      </c>
      <c r="BO6" s="748"/>
      <c r="BP6" s="748"/>
      <c r="BQ6" s="748"/>
      <c r="BR6" s="748"/>
      <c r="BS6" s="472" t="s">
        <v>667</v>
      </c>
      <c r="BT6" s="472" t="s">
        <v>43</v>
      </c>
      <c r="BU6" s="472" t="s">
        <v>44</v>
      </c>
      <c r="BV6" s="473" t="s">
        <v>45</v>
      </c>
      <c r="BW6" s="473" t="s">
        <v>46</v>
      </c>
      <c r="BX6" s="756"/>
      <c r="BY6" s="469" t="s">
        <v>48</v>
      </c>
      <c r="BZ6" s="469" t="s">
        <v>49</v>
      </c>
      <c r="CA6" s="469" t="s">
        <v>48</v>
      </c>
      <c r="CB6" s="469" t="s">
        <v>49</v>
      </c>
      <c r="CC6" s="748"/>
      <c r="CD6" s="748"/>
      <c r="CE6" s="748"/>
      <c r="CF6" s="748"/>
      <c r="CG6" s="748"/>
      <c r="CH6" s="748"/>
      <c r="CI6" s="472" t="s">
        <v>1516</v>
      </c>
      <c r="CJ6" s="472" t="s">
        <v>43</v>
      </c>
      <c r="CK6" s="472" t="s">
        <v>44</v>
      </c>
      <c r="CL6" s="473" t="s">
        <v>45</v>
      </c>
      <c r="CM6" s="473" t="s">
        <v>46</v>
      </c>
      <c r="CN6" s="473" t="s">
        <v>47</v>
      </c>
      <c r="CO6" s="748"/>
      <c r="CP6" s="748"/>
      <c r="CQ6" s="748"/>
      <c r="CS6" s="470" t="s">
        <v>1506</v>
      </c>
      <c r="CT6" s="470" t="s">
        <v>1507</v>
      </c>
      <c r="CU6" s="470" t="s">
        <v>1508</v>
      </c>
      <c r="CV6" s="470" t="s">
        <v>1509</v>
      </c>
    </row>
    <row r="7" spans="1:100" s="90" customFormat="1" ht="23.15" customHeight="1">
      <c r="A7" s="2">
        <v>1</v>
      </c>
      <c r="B7" s="3"/>
      <c r="C7" s="4"/>
      <c r="D7" s="5"/>
      <c r="E7" s="3"/>
      <c r="F7" s="6"/>
      <c r="G7" s="7"/>
      <c r="H7" s="8"/>
      <c r="I7" s="8"/>
      <c r="J7" s="8"/>
      <c r="K7" s="8"/>
      <c r="L7" s="8"/>
      <c r="M7" s="8"/>
      <c r="N7" s="8"/>
      <c r="O7" s="8"/>
      <c r="P7" s="8"/>
      <c r="Q7" s="9"/>
      <c r="R7" s="10"/>
      <c r="S7" s="10"/>
      <c r="T7" s="12"/>
      <c r="U7" s="11"/>
      <c r="V7" s="9"/>
      <c r="W7" s="12"/>
      <c r="X7" s="13"/>
      <c r="Y7" s="89" t="str">
        <f>IF(E7="","",CONCATENATE(E7,Z7," (",AA7,")"))</f>
        <v/>
      </c>
      <c r="Z7" s="87">
        <f>IF(COUNTIF($E$7:E7,E7)=1,"",COUNTIF($E$7:E7,E7))</f>
        <v>0</v>
      </c>
      <c r="AA7" s="87" t="str">
        <f t="shared" ref="AA7:AA38" si="1">IFERROR(IF(OR(W7=$S$119,W7=$S$122),W7,INDEX($B$144:$C$149,MATCH(BB7,$B$144:$B$149,0),2)),"")</f>
        <v/>
      </c>
      <c r="AC7" s="87" t="str">
        <f>IF(OR($W7=$S$137,$W7=$S$130,$W7=$S$134,$W7=$S$135,$W7=$S$136,$W7=$S$138),"",IF($S7="","",IF($U7="",IF($R7="",IF($S7&lt;=AC$6,"○",""),IF(AND($R7&lt;=AC$6,$S7&lt;=AC$6),"●",IF($S7&lt;=AC$6,"○",""))),IF($U7&gt;=AC$6,IF($R7="",IF($S7&lt;=AC$6,"○",""),IF(AND($R7&lt;=AC$6,$S7&lt;=AC$6),"●",IF($S7&lt;=AC$6,"○",""))),""))))</f>
        <v/>
      </c>
      <c r="AD7" s="87" t="str">
        <f t="shared" ref="AD7:AN22" si="2">IF(OR($W7=$S$137,$W7=$S$130,$W7=$S$134,$W7=$S$135,$W7=$S$136,$W7=$S$138),"",IF($S7="","",IF($U7="",IF($R7="",IF($S7&lt;=AD$6,"○",""),IF(AND($R7&lt;=AD$6,$S7&lt;=AD$6),"●",IF($S7&lt;=AD$6,"○",""))),IF($U7&gt;=AD$6,IF($R7="",IF($S7&lt;=AD$6,"○",""),IF(AND($R7&lt;=AD$6,$S7&lt;=AD$6),"●",IF($S7&lt;=AD$6,"○",""))),""))))</f>
        <v/>
      </c>
      <c r="AE7" s="87" t="str">
        <f t="shared" si="2"/>
        <v/>
      </c>
      <c r="AF7" s="87" t="str">
        <f t="shared" si="2"/>
        <v/>
      </c>
      <c r="AG7" s="87" t="str">
        <f t="shared" si="2"/>
        <v/>
      </c>
      <c r="AH7" s="87" t="str">
        <f t="shared" si="2"/>
        <v/>
      </c>
      <c r="AI7" s="87" t="str">
        <f t="shared" si="2"/>
        <v/>
      </c>
      <c r="AJ7" s="87" t="str">
        <f t="shared" si="2"/>
        <v/>
      </c>
      <c r="AK7" s="87" t="str">
        <f t="shared" si="2"/>
        <v/>
      </c>
      <c r="AL7" s="87" t="str">
        <f t="shared" si="2"/>
        <v/>
      </c>
      <c r="AM7" s="87" t="str">
        <f t="shared" si="2"/>
        <v/>
      </c>
      <c r="AN7" s="87" t="str">
        <f t="shared" si="2"/>
        <v/>
      </c>
      <c r="AP7" s="87" t="str">
        <f t="shared" ref="AP7:AP38" si="3">IF(AND($H7="有",AC7="○"),"A",IF(AC7="●","B",IF(AND(AC7="○",OR($L7="有",$M7="有",$N7="有")),"C",IF(AND(AC7="○",$O7="有"),"D",IF(OR(AND(AC7="○",$P7="有"),AND(AC7="○",$W7=$S$129,$O7="")),"E",IF(AND(AC7="○",OR($W7=$S$132,$W7=$S$133,$W7=$S$131,$W7=$S$139)),"F",""))))))</f>
        <v/>
      </c>
      <c r="AQ7" s="87" t="str">
        <f t="shared" ref="AQ7:AQ38" si="4">IF(AND($H7="有",AD7="○"),"A",IF(AD7="●","B",IF(AND(AD7="○",OR($L7="有",$M7="有",$N7="有")),"C",IF(AND(AD7="○",$O7="有"),"D",IF(OR(AND(AD7="○",$P7="有"),AND(AD7="○",$W7=$S$129,$O7="")),"E",IF(AND(AD7="○",OR($W7=$S$132,$W7=$S$133,$W7=$S$131,$W7=$S$139)),"F",""))))))</f>
        <v/>
      </c>
      <c r="AR7" s="87" t="str">
        <f t="shared" ref="AR7:AR38" si="5">IF(AND($H7="有",AE7="○"),"A",IF(AE7="●","B",IF(AND(AE7="○",OR($L7="有",$M7="有",$N7="有")),"C",IF(AND(AE7="○",$O7="有"),"D",IF(OR(AND(AE7="○",$P7="有"),AND(AE7="○",$W7=$S$129,$O7="")),"E",IF(AND(AE7="○",OR($W7=$S$132,$W7=$S$133,$W7=$S$131,$W7=$S$139)),"F",""))))))</f>
        <v/>
      </c>
      <c r="AS7" s="87" t="str">
        <f t="shared" ref="AS7:AS38" si="6">IF(AND($H7="有",AF7="○"),"A",IF(AF7="●","B",IF(AND(AF7="○",OR($L7="有",$M7="有",$N7="有")),"C",IF(AND(AF7="○",$O7="有"),"D",IF(OR(AND(AF7="○",$P7="有"),AND(AF7="○",$W7=$S$129,$O7="")),"E",IF(AND(AF7="○",OR($W7=$S$132,$W7=$S$133,$W7=$S$131,$W7=$S$139)),"F",""))))))</f>
        <v/>
      </c>
      <c r="AT7" s="87" t="str">
        <f t="shared" ref="AT7:AT38" si="7">IF(AND($H7="有",AG7="○"),"A",IF(AG7="●","B",IF(AND(AG7="○",OR($L7="有",$M7="有",$N7="有")),"C",IF(AND(AG7="○",$O7="有"),"D",IF(OR(AND(AG7="○",$P7="有"),AND(AG7="○",$W7=$S$129,$O7="")),"E",IF(AND(AG7="○",OR($W7=$S$132,$W7=$S$133,$W7=$S$131,$W7=$S$139)),"F",""))))))</f>
        <v/>
      </c>
      <c r="AU7" s="87" t="str">
        <f t="shared" ref="AU7:AU38" si="8">IF(AND($H7="有",AH7="○"),"A",IF(AH7="●","B",IF(AND(AH7="○",OR($L7="有",$M7="有",$N7="有")),"C",IF(AND(AH7="○",$O7="有"),"D",IF(OR(AND(AH7="○",$P7="有"),AND(AH7="○",$W7=$S$129,$O7="")),"E",IF(AND(AH7="○",OR($W7=$S$132,$W7=$S$133,$W7=$S$131,$W7=$S$139)),"F",""))))))</f>
        <v/>
      </c>
      <c r="AV7" s="87" t="str">
        <f t="shared" ref="AV7:AV38" si="9">IF(AND($H7="有",AI7="○"),"A",IF(AI7="●","B",IF(AND(AI7="○",OR($L7="有",$M7="有",$N7="有")),"C",IF(AND(AI7="○",$O7="有"),"D",IF(OR(AND(AI7="○",$P7="有"),AND(AI7="○",$W7=$S$129,$O7="")),"E",IF(AND(AI7="○",OR($W7=$S$132,$W7=$S$133,$W7=$S$131,$W7=$S$139)),"F",""))))))</f>
        <v/>
      </c>
      <c r="AW7" s="87" t="str">
        <f t="shared" ref="AW7:AW38" si="10">IF(AND($H7="有",AJ7="○"),"A",IF(AJ7="●","B",IF(AND(AJ7="○",OR($L7="有",$M7="有",$N7="有")),"C",IF(AND(AJ7="○",$O7="有"),"D",IF(OR(AND(AJ7="○",$P7="有"),AND(AJ7="○",$W7=$S$129,$O7="")),"E",IF(AND(AJ7="○",OR($W7=$S$132,$W7=$S$133,$W7=$S$131,$W7=$S$139)),"F",""))))))</f>
        <v/>
      </c>
      <c r="AX7" s="87" t="str">
        <f t="shared" ref="AX7:AX38" si="11">IF(AND($H7="有",AK7="○"),"A",IF(AK7="●","B",IF(AND(AK7="○",OR($L7="有",$M7="有",$N7="有")),"C",IF(AND(AK7="○",$O7="有"),"D",IF(OR(AND(AK7="○",$P7="有"),AND(AK7="○",$W7=$S$129,$O7="")),"E",IF(AND(AK7="○",OR($W7=$S$132,$W7=$S$133,$W7=$S$131,$W7=$S$139)),"F",""))))))</f>
        <v/>
      </c>
      <c r="AY7" s="87" t="str">
        <f t="shared" ref="AY7:AY38" si="12">IF(AND($H7="有",AL7="○"),"A",IF(AL7="●","B",IF(AND(AL7="○",OR($L7="有",$M7="有",$N7="有")),"C",IF(AND(AL7="○",$O7="有"),"D",IF(OR(AND(AL7="○",$P7="有"),AND(AL7="○",$W7=$S$129,$O7="")),"E",IF(AND(AL7="○",OR($W7=$S$132,$W7=$S$133,$W7=$S$131,$W7=$S$139)),"F",""))))))</f>
        <v/>
      </c>
      <c r="AZ7" s="87" t="str">
        <f t="shared" ref="AZ7:AZ38" si="13">IF(AND($H7="有",AM7="○"),"A",IF(AM7="●","B",IF(AND(AM7="○",OR($L7="有",$M7="有",$N7="有")),"C",IF(AND(AM7="○",$O7="有"),"D",IF(OR(AND(AM7="○",$P7="有"),AND(AM7="○",$W7=$S$129,$O7="")),"E",IF(AND(AM7="○",OR($W7=$S$132,$W7=$S$133,$W7=$S$131,$W7=$S$139)),"F",""))))))</f>
        <v/>
      </c>
      <c r="BA7" s="87" t="str">
        <f t="shared" ref="BA7:BA38" si="14">IF(AND($H7="有",AN7="○"),"A",IF(AN7="●","B",IF(AND(AN7="○",OR($L7="有",$M7="有",$N7="有")),"C",IF(AND(AN7="○",$O7="有"),"D",IF(OR(AND(AN7="○",$P7="有"),AND(AN7="○",$W7=$S$129,$O7="")),"E",IF(AND(AN7="○",OR($W7=$S$132,$W7=$S$133,$W7=$S$131,$W7=$S$139)),"F",""))))))</f>
        <v/>
      </c>
      <c r="BB7" s="90" t="str">
        <f>IF(BA7="",IF(AZ7="",IF(AY7="",IF(AX7="",IF(AW7="",IF(AV7="",IF(AU7="",IF(AT7="",IF(AS7="",IF(AR7="",IF(AQ7="",AP7,AQ7),AR7),AS7),AT7),AU7),AV7),AW7),AX7),AY7),AZ7),BA7)</f>
        <v/>
      </c>
      <c r="BE7" s="87" t="str">
        <f>IF(B7="園長","園長",IF(C7="正","正規職員",IF(AND(C7="パート",D7="常"),"常勤的非常勤",IF(AND(C7="パート",D7="非"),"短時間非常勤",IF(AND(C7="嘱託等",D7="常"),"嘱託常勤",IF(AND(C7="嘱託等",D7="非"),"嘱託非常勤",""))))))</f>
        <v/>
      </c>
      <c r="BF7" s="91" t="str">
        <f t="shared" ref="BF7:BF38" si="15">IF(AND(OR(I7="有",J7="有",K7="有"),R7&lt;&gt;""),"○","")</f>
        <v/>
      </c>
      <c r="BG7" s="91" t="str">
        <f t="shared" ref="BG7:BG38" si="16">IF(AND(BF7="",R7&lt;&gt;""),"○","")</f>
        <v/>
      </c>
      <c r="BH7" s="87" t="str">
        <f>IF(OR(BF7="○",BG7="○"),"○","")</f>
        <v/>
      </c>
      <c r="BI7" s="87" t="str">
        <f t="shared" ref="BI7:BI38" si="17">IF($S7="","",IF($R7&lt;&gt;"",IF($S7&gt;=$BI$5,"○",""),""))</f>
        <v/>
      </c>
      <c r="BO7" s="87" t="str">
        <f>IF(AND(LEN(E7)&gt;0, LEN(B7)=0), "×", "〇")</f>
        <v>〇</v>
      </c>
      <c r="BP7" s="87" t="str">
        <f>IF(AND(LEN(E7)&gt;0, LEN(C7)=0), "×", "〇")</f>
        <v>〇</v>
      </c>
      <c r="BQ7" s="87" t="str">
        <f>IF(AND(LEN(E7)&gt;0, LEN(D7)=0), "×", "〇")</f>
        <v>〇</v>
      </c>
      <c r="BR7" s="87" t="str">
        <f>IF(AND(LEN(B7)&gt;0, LEN(E7)=0), "×", "〇")</f>
        <v>〇</v>
      </c>
      <c r="BS7" s="87" t="str">
        <f>IF(AND(OR(B7="主幹保育教諭等",B7="指導保育教諭等",B7="保育教諭等"), H7&lt;&gt;"有"), "×", "〇")</f>
        <v>〇</v>
      </c>
      <c r="BT7" s="87" t="str">
        <f>IF(AND(B7="保健師",L7&lt;&gt;"有"), "×", "〇")</f>
        <v>〇</v>
      </c>
      <c r="BU7" s="87" t="str">
        <f>IF(AND(B7="看護師",M7&lt;&gt;"有"), "×", "〇")</f>
        <v>〇</v>
      </c>
      <c r="BV7" s="87" t="str">
        <f>IF(AND(B7="准看護師",N7&lt;&gt;"有"), "×", "〇")</f>
        <v>〇</v>
      </c>
      <c r="BW7" s="87" t="str">
        <f>IF(AND(B7="栄養士", O7&lt;&gt;"有"), "×", "〇")</f>
        <v>〇</v>
      </c>
      <c r="BX7" s="87" t="str">
        <f>IF(AND(B7="要件緩和対象",R7=""), "×", "〇")</f>
        <v>〇</v>
      </c>
      <c r="BY7" s="87" t="str">
        <f>IF(AND(LEN(E7)&gt;0, LEN(S7)=0), "×", "〇")</f>
        <v>〇</v>
      </c>
      <c r="BZ7" s="87" t="str">
        <f>IF(AND(LEN(E7)&gt;0, LEN(T7)=0), "×", "〇")</f>
        <v>〇</v>
      </c>
      <c r="CA7" s="87" t="str">
        <f>IF(AND(LEN(V7)&gt;0, LEN(U7)=0), "×", "〇")</f>
        <v>〇</v>
      </c>
      <c r="CB7" s="87" t="str">
        <f>IF(AND(LEN(U7)&gt;0, LEN(V7)=0), "×", "〇")</f>
        <v>〇</v>
      </c>
      <c r="CC7" s="87" t="str">
        <f>IF(AND(LEN(E7)&gt;0, LEN(W7)=0), "×", "〇")</f>
        <v>〇</v>
      </c>
      <c r="CD7" s="87" t="str">
        <f>IF(AND(B7="園長", W7&lt;&gt;"園長"), "×", "〇")</f>
        <v>〇</v>
      </c>
      <c r="CE7" s="87" t="str">
        <f>IF(AND(B7="副園長", W7&lt;&gt;"副園長"), "×", "〇")</f>
        <v>〇</v>
      </c>
      <c r="CF7" s="87" t="str">
        <f>IF(AND(B7="教頭", W7&lt;&gt;"教頭"), "×", "〇")</f>
        <v>〇</v>
      </c>
      <c r="CG7" s="87" t="str">
        <f>IF(AND(OR(B7="主幹保育教諭等",B7="指導保育教諭等"),W7&lt;&gt;"主幹・指導教諭"),"×", "〇")</f>
        <v>〇</v>
      </c>
      <c r="CH7" s="87" t="str">
        <f>IF(U7="","〇",IF(U7&lt;S7,"×","〇"))</f>
        <v>〇</v>
      </c>
      <c r="CI7" s="87" t="str">
        <f>IF(AND(H7="有", NOT(OR(B7="園長",B7="副園長",B7="教頭",B7="主幹保育教諭等",B7="指導保育教諭等",B7="保育教諭等"))), "×", "〇")</f>
        <v>〇</v>
      </c>
      <c r="CJ7" s="87" t="str">
        <f>IF(AND(L7="有", NOT(B7="保健師")), "×", "〇")</f>
        <v>〇</v>
      </c>
      <c r="CK7" s="87" t="str">
        <f>IF(AND(M7="有", NOT(B7="看護師")), "×", "〇")</f>
        <v>〇</v>
      </c>
      <c r="CL7" s="87" t="str">
        <f>IF(AND(N7="有", NOT(B7="准看護師")), "×", "〇")</f>
        <v>〇</v>
      </c>
      <c r="CM7" s="87" t="str">
        <f>IF(AND(O7="有", NOT(B7="栄養士")), "×", "〇")</f>
        <v>〇</v>
      </c>
      <c r="CN7" s="87" t="str">
        <f>IF(AND(P7="有", NOT(B7="調理員")), "×", "〇")</f>
        <v>〇</v>
      </c>
      <c r="CO7" s="87" t="str">
        <f>IF(AND(B7="その他",X7=""), "×", "〇")</f>
        <v>〇</v>
      </c>
      <c r="CP7" s="87" t="str">
        <f>IF(S7&gt;=EDATE($AN$6,1),"×","〇")</f>
        <v>〇</v>
      </c>
      <c r="CQ7" s="87" t="str">
        <f>IF(U7&gt;=EDATE($AN$6,1),"×","〇")</f>
        <v>〇</v>
      </c>
      <c r="CS7" s="470" t="str">
        <f>IF(COUNTIF(①基本情報!F24:Q24,"一般型")&gt;0,IF(COUNTIF('②-1職員名簿'!W7:W106,"一時預かり")=0,"×","〇"),"〇")</f>
        <v>〇</v>
      </c>
      <c r="CT7" s="474" t="str">
        <f>IF(COUNTIF(①基本情報!F31:Q31,"有")&gt;0,IF(COUNTIF('②-1職員名簿'!W7:W106,"支援センター")=0,"×","〇"),"〇")</f>
        <v>〇</v>
      </c>
      <c r="CU7" s="474" t="str">
        <f>IF(COUNTIF(①基本情報!F32:Q32,"&gt;0")&gt;0,IF(COUNTIF('②-1職員名簿'!W7:W106,"高齢者等活躍促進加算")=0,"×","〇"),"〇")</f>
        <v>〇</v>
      </c>
      <c r="CV7" s="474" t="str">
        <f>IF(COUNTIF(①基本情報!F37:Q37,"配置")&gt;0,IF(COUNTIF('②-1職員名簿'!O7:O106,"有")=0,"×","〇"),"〇")</f>
        <v>〇</v>
      </c>
    </row>
    <row r="8" spans="1:100" s="90" customFormat="1" ht="23.15" customHeight="1">
      <c r="A8" s="2">
        <v>2</v>
      </c>
      <c r="B8" s="14"/>
      <c r="C8" s="4"/>
      <c r="D8" s="5"/>
      <c r="E8" s="3"/>
      <c r="F8" s="6"/>
      <c r="G8" s="7"/>
      <c r="H8" s="8"/>
      <c r="I8" s="8"/>
      <c r="J8" s="8"/>
      <c r="K8" s="8"/>
      <c r="L8" s="8"/>
      <c r="M8" s="8"/>
      <c r="N8" s="8"/>
      <c r="O8" s="8"/>
      <c r="P8" s="8"/>
      <c r="Q8" s="9"/>
      <c r="R8" s="10"/>
      <c r="S8" s="10"/>
      <c r="T8" s="12"/>
      <c r="U8" s="11"/>
      <c r="V8" s="9"/>
      <c r="W8" s="12"/>
      <c r="X8" s="13"/>
      <c r="Y8" s="89" t="str">
        <f t="shared" ref="Y8:Y71" si="18">IF(E8="","",CONCATENATE(E8,Z8," (",AA8,")"))</f>
        <v/>
      </c>
      <c r="Z8" s="87">
        <f>IF(COUNTIF($E$7:E8,E8)=1,"",COUNTIF($E$7:E8,E8))</f>
        <v>0</v>
      </c>
      <c r="AA8" s="87" t="str">
        <f t="shared" si="1"/>
        <v/>
      </c>
      <c r="AC8" s="87" t="str">
        <f t="shared" ref="AC8:AN39" si="19">IF(OR($W8=$S$137,$W8=$S$130,$W8=$S$134,$W8=$S$135,$W8=$S$136,$W8=$S$138),"",IF($S8="","",IF($U8="",IF($R8="",IF($S8&lt;=AC$6,"○",""),IF(AND($R8&lt;=AC$6,$S8&lt;=AC$6),"●",IF($S8&lt;=AC$6,"○",""))),IF($U8&gt;=AC$6,IF($R8="",IF($S8&lt;=AC$6,"○",""),IF(AND($R8&lt;=AC$6,$S8&lt;=AC$6),"●",IF($S8&lt;=AC$6,"○",""))),""))))</f>
        <v/>
      </c>
      <c r="AD8" s="87" t="str">
        <f t="shared" si="2"/>
        <v/>
      </c>
      <c r="AE8" s="87" t="str">
        <f t="shared" si="2"/>
        <v/>
      </c>
      <c r="AF8" s="87" t="str">
        <f t="shared" si="2"/>
        <v/>
      </c>
      <c r="AG8" s="87" t="str">
        <f t="shared" si="2"/>
        <v/>
      </c>
      <c r="AH8" s="87" t="str">
        <f t="shared" si="2"/>
        <v/>
      </c>
      <c r="AI8" s="87" t="str">
        <f t="shared" si="2"/>
        <v/>
      </c>
      <c r="AJ8" s="87" t="str">
        <f t="shared" si="2"/>
        <v/>
      </c>
      <c r="AK8" s="87" t="str">
        <f t="shared" si="2"/>
        <v/>
      </c>
      <c r="AL8" s="87" t="str">
        <f t="shared" si="2"/>
        <v/>
      </c>
      <c r="AM8" s="87" t="str">
        <f t="shared" si="2"/>
        <v/>
      </c>
      <c r="AN8" s="87" t="str">
        <f t="shared" si="2"/>
        <v/>
      </c>
      <c r="AP8" s="87" t="str">
        <f t="shared" si="3"/>
        <v/>
      </c>
      <c r="AQ8" s="87" t="str">
        <f t="shared" si="4"/>
        <v/>
      </c>
      <c r="AR8" s="87" t="str">
        <f t="shared" si="5"/>
        <v/>
      </c>
      <c r="AS8" s="87" t="str">
        <f t="shared" si="6"/>
        <v/>
      </c>
      <c r="AT8" s="87" t="str">
        <f t="shared" si="7"/>
        <v/>
      </c>
      <c r="AU8" s="87" t="str">
        <f t="shared" si="8"/>
        <v/>
      </c>
      <c r="AV8" s="87" t="str">
        <f t="shared" si="9"/>
        <v/>
      </c>
      <c r="AW8" s="87" t="str">
        <f t="shared" si="10"/>
        <v/>
      </c>
      <c r="AX8" s="87" t="str">
        <f t="shared" si="11"/>
        <v/>
      </c>
      <c r="AY8" s="87" t="str">
        <f t="shared" si="12"/>
        <v/>
      </c>
      <c r="AZ8" s="87" t="str">
        <f t="shared" si="13"/>
        <v/>
      </c>
      <c r="BA8" s="87" t="str">
        <f t="shared" si="14"/>
        <v/>
      </c>
      <c r="BB8" s="90" t="str">
        <f t="shared" ref="BB8:BB71" si="20">IF(BA8="",IF(AZ8="",IF(AY8="",IF(AX8="",IF(AW8="",IF(AV8="",IF(AU8="",IF(AT8="",IF(AS8="",IF(AR8="",IF(AQ8="",AP8,AQ8),AR8),AS8),AT8),AU8),AV8),AW8),AX8),AY8),AZ8),BA8)</f>
        <v/>
      </c>
      <c r="BE8" s="87" t="str">
        <f>IF(B8="園長","園長",IF(C8="正","正規職員",IF(AND(C8="パート",D8="常"),"常勤的非常勤",IF(AND(C8="パート",D8="非"),"短時間非常勤",IF(AND(C8="嘱託等",D8="常"),"嘱託常勤",IF(AND(C8="嘱託等",D8="非"),"嘱託非常勤",""))))))</f>
        <v/>
      </c>
      <c r="BF8" s="87" t="str">
        <f t="shared" si="15"/>
        <v/>
      </c>
      <c r="BG8" s="87" t="str">
        <f t="shared" si="16"/>
        <v/>
      </c>
      <c r="BH8" s="87" t="str">
        <f t="shared" ref="BH8:BH71" si="21">IF(OR(BF8="○",BG8="○"),"○","")</f>
        <v/>
      </c>
      <c r="BI8" s="87" t="str">
        <f>IF($S8="","",IF($R8&lt;&gt;"",IF($S8&gt;=$BI$5,"○",""),""))</f>
        <v/>
      </c>
      <c r="BO8" s="87" t="str">
        <f t="shared" ref="BO8:BO71" si="22">IF(AND(LEN(E8)&gt;0, LEN(B8)=0), "×", "〇")</f>
        <v>〇</v>
      </c>
      <c r="BP8" s="87" t="str">
        <f t="shared" ref="BP8:BP71" si="23">IF(AND(LEN(E8)&gt;0, LEN(C8)=0), "×", "〇")</f>
        <v>〇</v>
      </c>
      <c r="BQ8" s="87" t="str">
        <f t="shared" ref="BQ8:BQ71" si="24">IF(AND(LEN(E8)&gt;0, LEN(D8)=0), "×", "〇")</f>
        <v>〇</v>
      </c>
      <c r="BR8" s="87" t="str">
        <f t="shared" ref="BR8:BR71" si="25">IF(AND(LEN(B8)&gt;0, LEN(E8)=0), "×", "〇")</f>
        <v>〇</v>
      </c>
      <c r="BS8" s="87" t="str">
        <f t="shared" ref="BS8:BS71" si="26">IF(AND(OR(B8="主幹保育教諭等",B8="指導保育教諭等",B8="保育教諭等"), H8&lt;&gt;"有"), "×", "〇")</f>
        <v>〇</v>
      </c>
      <c r="BT8" s="87" t="str">
        <f t="shared" ref="BT8:BT71" si="27">IF(AND(B8="保健師",L8&lt;&gt;"有"), "×", "〇")</f>
        <v>〇</v>
      </c>
      <c r="BU8" s="87" t="str">
        <f t="shared" ref="BU8:BU71" si="28">IF(AND(B8="看護師",M8&lt;&gt;"有"), "×", "〇")</f>
        <v>〇</v>
      </c>
      <c r="BV8" s="87" t="str">
        <f t="shared" ref="BV8:BV71" si="29">IF(AND(B8="准看護師",N8&lt;&gt;"有"), "×", "〇")</f>
        <v>〇</v>
      </c>
      <c r="BW8" s="87" t="str">
        <f t="shared" ref="BW8:BW71" si="30">IF(AND(B8="栄養士", O8&lt;&gt;"有"), "×", "〇")</f>
        <v>〇</v>
      </c>
      <c r="BX8" s="87" t="str">
        <f t="shared" ref="BX8:BX71" si="31">IF(AND(B8="要件緩和対象",R8=""), "×", "〇")</f>
        <v>〇</v>
      </c>
      <c r="BY8" s="87" t="str">
        <f t="shared" ref="BY8:BY71" si="32">IF(AND(LEN(E8)&gt;0, LEN(S8)=0), "×", "〇")</f>
        <v>〇</v>
      </c>
      <c r="BZ8" s="87" t="str">
        <f t="shared" ref="BZ8:BZ71" si="33">IF(AND(LEN(E8)&gt;0, LEN(T8)=0), "×", "〇")</f>
        <v>〇</v>
      </c>
      <c r="CA8" s="87" t="str">
        <f t="shared" ref="CA8:CA71" si="34">IF(AND(LEN(V8)&gt;0, LEN(U8)=0), "×", "〇")</f>
        <v>〇</v>
      </c>
      <c r="CB8" s="87" t="str">
        <f t="shared" ref="CB8:CB71" si="35">IF(AND(LEN(U8)&gt;0, LEN(V8)=0), "×", "〇")</f>
        <v>〇</v>
      </c>
      <c r="CC8" s="87" t="str">
        <f t="shared" ref="CC8:CC71" si="36">IF(AND(LEN(E8)&gt;0, LEN(W8)=0), "×", "〇")</f>
        <v>〇</v>
      </c>
      <c r="CD8" s="87" t="str">
        <f t="shared" ref="CD8:CD71" si="37">IF(AND(B8="園長", W8&lt;&gt;"園長"), "×", "〇")</f>
        <v>〇</v>
      </c>
      <c r="CE8" s="87" t="str">
        <f t="shared" ref="CE8:CE71" si="38">IF(AND(B8="副園長", W8&lt;&gt;"副園長"), "×", "〇")</f>
        <v>〇</v>
      </c>
      <c r="CF8" s="87" t="str">
        <f t="shared" ref="CF8:CF71" si="39">IF(AND(B8="教頭", W8&lt;&gt;"教頭"), "×", "〇")</f>
        <v>〇</v>
      </c>
      <c r="CG8" s="87" t="str">
        <f t="shared" ref="CG8:CG71" si="40">IF(AND(B8="主任保育士", W8&lt;&gt;"主任"), "×", "〇")</f>
        <v>〇</v>
      </c>
      <c r="CH8" s="87" t="str">
        <f t="shared" ref="CH8:CH71" si="41">IF(U8="","〇",IF(U8&lt;S8,"×","〇"))</f>
        <v>〇</v>
      </c>
      <c r="CI8" s="87" t="str">
        <f t="shared" ref="CI8:CI71" si="42">IF(AND(H8="有", NOT(OR(B8="園長",B8="副園長",B8="教頭",B8="主幹保育教諭等",B8="指導保育教諭等",B8="保育教諭等"))), "×", "〇")</f>
        <v>〇</v>
      </c>
      <c r="CJ8" s="87" t="str">
        <f t="shared" ref="CJ8:CJ71" si="43">IF(AND(L8="有", NOT(B8="保健師")), "×", "〇")</f>
        <v>〇</v>
      </c>
      <c r="CK8" s="87" t="str">
        <f t="shared" ref="CK8:CK71" si="44">IF(AND(M8="有", NOT(B8="看護師")), "×", "〇")</f>
        <v>〇</v>
      </c>
      <c r="CL8" s="87" t="str">
        <f t="shared" ref="CL8:CL71" si="45">IF(AND(N8="有", NOT(B8="准看護師")), "×", "〇")</f>
        <v>〇</v>
      </c>
      <c r="CM8" s="87" t="str">
        <f t="shared" ref="CM8:CM71" si="46">IF(AND(O8="有", NOT(B8="栄養士")), "×", "〇")</f>
        <v>〇</v>
      </c>
      <c r="CN8" s="87" t="str">
        <f t="shared" ref="CN8:CN71" si="47">IF(AND(P8="有", NOT(B8="調理員")), "×", "〇")</f>
        <v>〇</v>
      </c>
      <c r="CO8" s="87" t="str">
        <f t="shared" ref="CO8:CO71" si="48">IF(AND(B8="その他",X8=""), "×", "〇")</f>
        <v>〇</v>
      </c>
      <c r="CP8" s="87" t="str">
        <f t="shared" ref="CP8:CP71" si="49">IF(S8&gt;=EDATE($AN$6,1),"×","〇")</f>
        <v>〇</v>
      </c>
      <c r="CQ8" s="87" t="str">
        <f t="shared" ref="CQ8:CQ71" si="50">IF(U8&gt;=EDATE($AN$6,1),"×","〇")</f>
        <v>〇</v>
      </c>
      <c r="CS8" s="475"/>
      <c r="CT8" s="475"/>
      <c r="CU8" s="475"/>
      <c r="CV8" s="475"/>
    </row>
    <row r="9" spans="1:100" s="90" customFormat="1" ht="23.15" customHeight="1">
      <c r="A9" s="2">
        <v>3</v>
      </c>
      <c r="B9" s="14"/>
      <c r="C9" s="4"/>
      <c r="D9" s="5"/>
      <c r="E9" s="3"/>
      <c r="F9" s="6"/>
      <c r="G9" s="7"/>
      <c r="H9" s="8"/>
      <c r="I9" s="8"/>
      <c r="J9" s="8"/>
      <c r="K9" s="8"/>
      <c r="L9" s="8"/>
      <c r="M9" s="8"/>
      <c r="N9" s="8"/>
      <c r="O9" s="8"/>
      <c r="P9" s="8"/>
      <c r="Q9" s="9"/>
      <c r="R9" s="10"/>
      <c r="S9" s="10"/>
      <c r="T9" s="12"/>
      <c r="U9" s="11"/>
      <c r="V9" s="9"/>
      <c r="W9" s="12"/>
      <c r="X9" s="13"/>
      <c r="Y9" s="89" t="str">
        <f t="shared" si="18"/>
        <v/>
      </c>
      <c r="Z9" s="87">
        <f>IF(COUNTIF($E$7:E9,E9)=1,"",COUNTIF($E$7:E9,E9))</f>
        <v>0</v>
      </c>
      <c r="AA9" s="87" t="str">
        <f t="shared" si="1"/>
        <v/>
      </c>
      <c r="AC9" s="87" t="str">
        <f t="shared" si="19"/>
        <v/>
      </c>
      <c r="AD9" s="87" t="str">
        <f t="shared" si="2"/>
        <v/>
      </c>
      <c r="AE9" s="87" t="str">
        <f t="shared" si="2"/>
        <v/>
      </c>
      <c r="AF9" s="87" t="str">
        <f t="shared" si="2"/>
        <v/>
      </c>
      <c r="AG9" s="87" t="str">
        <f t="shared" si="2"/>
        <v/>
      </c>
      <c r="AH9" s="87" t="str">
        <f t="shared" si="2"/>
        <v/>
      </c>
      <c r="AI9" s="87" t="str">
        <f t="shared" si="2"/>
        <v/>
      </c>
      <c r="AJ9" s="87" t="str">
        <f t="shared" si="2"/>
        <v/>
      </c>
      <c r="AK9" s="87" t="str">
        <f t="shared" si="2"/>
        <v/>
      </c>
      <c r="AL9" s="87" t="str">
        <f t="shared" si="2"/>
        <v/>
      </c>
      <c r="AM9" s="87" t="str">
        <f t="shared" si="2"/>
        <v/>
      </c>
      <c r="AN9" s="87" t="str">
        <f t="shared" si="2"/>
        <v/>
      </c>
      <c r="AP9" s="87" t="str">
        <f t="shared" si="3"/>
        <v/>
      </c>
      <c r="AQ9" s="87" t="str">
        <f t="shared" si="4"/>
        <v/>
      </c>
      <c r="AR9" s="87" t="str">
        <f t="shared" si="5"/>
        <v/>
      </c>
      <c r="AS9" s="87" t="str">
        <f t="shared" si="6"/>
        <v/>
      </c>
      <c r="AT9" s="87" t="str">
        <f t="shared" si="7"/>
        <v/>
      </c>
      <c r="AU9" s="87" t="str">
        <f t="shared" si="8"/>
        <v/>
      </c>
      <c r="AV9" s="87" t="str">
        <f t="shared" si="9"/>
        <v/>
      </c>
      <c r="AW9" s="87" t="str">
        <f t="shared" si="10"/>
        <v/>
      </c>
      <c r="AX9" s="87" t="str">
        <f t="shared" si="11"/>
        <v/>
      </c>
      <c r="AY9" s="87" t="str">
        <f t="shared" si="12"/>
        <v/>
      </c>
      <c r="AZ9" s="87" t="str">
        <f t="shared" si="13"/>
        <v/>
      </c>
      <c r="BA9" s="87" t="str">
        <f t="shared" si="14"/>
        <v/>
      </c>
      <c r="BB9" s="90" t="str">
        <f t="shared" si="20"/>
        <v/>
      </c>
      <c r="BE9" s="87" t="str">
        <f t="shared" ref="BE9:BE38" si="51">IF(B9="園長","園長",IF(C9="正","正規職員",IF(AND(C9="パート",D9="常"),"常勤的非常勤",IF(AND(C9="パート",D9="非"),"短時間非常勤",IF(AND(C9="嘱託等",D9="常"),"嘱託常勤",IF(AND(C9="嘱託等",D9="非"),"嘱託非常勤",""))))))</f>
        <v/>
      </c>
      <c r="BF9" s="87" t="str">
        <f t="shared" si="15"/>
        <v/>
      </c>
      <c r="BG9" s="87" t="str">
        <f t="shared" si="16"/>
        <v/>
      </c>
      <c r="BH9" s="87" t="str">
        <f t="shared" si="21"/>
        <v/>
      </c>
      <c r="BI9" s="87" t="str">
        <f t="shared" si="17"/>
        <v/>
      </c>
      <c r="BO9" s="87" t="str">
        <f t="shared" si="22"/>
        <v>〇</v>
      </c>
      <c r="BP9" s="87" t="str">
        <f t="shared" si="23"/>
        <v>〇</v>
      </c>
      <c r="BQ9" s="87" t="str">
        <f t="shared" si="24"/>
        <v>〇</v>
      </c>
      <c r="BR9" s="87" t="str">
        <f t="shared" si="25"/>
        <v>〇</v>
      </c>
      <c r="BS9" s="87" t="str">
        <f t="shared" si="26"/>
        <v>〇</v>
      </c>
      <c r="BT9" s="87" t="str">
        <f t="shared" si="27"/>
        <v>〇</v>
      </c>
      <c r="BU9" s="87" t="str">
        <f t="shared" si="28"/>
        <v>〇</v>
      </c>
      <c r="BV9" s="87" t="str">
        <f t="shared" si="29"/>
        <v>〇</v>
      </c>
      <c r="BW9" s="87" t="str">
        <f t="shared" si="30"/>
        <v>〇</v>
      </c>
      <c r="BX9" s="87" t="str">
        <f t="shared" si="31"/>
        <v>〇</v>
      </c>
      <c r="BY9" s="87" t="str">
        <f t="shared" si="32"/>
        <v>〇</v>
      </c>
      <c r="BZ9" s="87" t="str">
        <f t="shared" si="33"/>
        <v>〇</v>
      </c>
      <c r="CA9" s="87" t="str">
        <f t="shared" si="34"/>
        <v>〇</v>
      </c>
      <c r="CB9" s="87" t="str">
        <f t="shared" si="35"/>
        <v>〇</v>
      </c>
      <c r="CC9" s="87" t="str">
        <f t="shared" si="36"/>
        <v>〇</v>
      </c>
      <c r="CD9" s="87" t="str">
        <f t="shared" si="37"/>
        <v>〇</v>
      </c>
      <c r="CE9" s="87" t="str">
        <f t="shared" si="38"/>
        <v>〇</v>
      </c>
      <c r="CF9" s="87" t="str">
        <f t="shared" si="39"/>
        <v>〇</v>
      </c>
      <c r="CG9" s="87" t="str">
        <f t="shared" si="40"/>
        <v>〇</v>
      </c>
      <c r="CH9" s="87" t="str">
        <f t="shared" si="41"/>
        <v>〇</v>
      </c>
      <c r="CI9" s="87" t="str">
        <f t="shared" si="42"/>
        <v>〇</v>
      </c>
      <c r="CJ9" s="87" t="str">
        <f t="shared" si="43"/>
        <v>〇</v>
      </c>
      <c r="CK9" s="87" t="str">
        <f t="shared" si="44"/>
        <v>〇</v>
      </c>
      <c r="CL9" s="87" t="str">
        <f t="shared" si="45"/>
        <v>〇</v>
      </c>
      <c r="CM9" s="87" t="str">
        <f t="shared" si="46"/>
        <v>〇</v>
      </c>
      <c r="CN9" s="87" t="str">
        <f t="shared" si="47"/>
        <v>〇</v>
      </c>
      <c r="CO9" s="87" t="str">
        <f t="shared" si="48"/>
        <v>〇</v>
      </c>
      <c r="CP9" s="87" t="str">
        <f t="shared" si="49"/>
        <v>〇</v>
      </c>
      <c r="CQ9" s="87" t="str">
        <f t="shared" si="50"/>
        <v>〇</v>
      </c>
      <c r="CS9" s="476"/>
      <c r="CT9" s="476"/>
      <c r="CU9" s="476"/>
      <c r="CV9" s="476"/>
    </row>
    <row r="10" spans="1:100" s="90" customFormat="1" ht="23.15" customHeight="1">
      <c r="A10" s="2">
        <v>4</v>
      </c>
      <c r="B10" s="14"/>
      <c r="C10" s="4"/>
      <c r="D10" s="5"/>
      <c r="E10" s="3"/>
      <c r="F10" s="6"/>
      <c r="G10" s="7"/>
      <c r="H10" s="8"/>
      <c r="I10" s="8"/>
      <c r="J10" s="8"/>
      <c r="K10" s="8"/>
      <c r="L10" s="8"/>
      <c r="M10" s="8"/>
      <c r="N10" s="8"/>
      <c r="O10" s="8"/>
      <c r="P10" s="8"/>
      <c r="Q10" s="9"/>
      <c r="R10" s="10"/>
      <c r="S10" s="10"/>
      <c r="T10" s="12"/>
      <c r="U10" s="11"/>
      <c r="V10" s="9"/>
      <c r="W10" s="12"/>
      <c r="X10" s="13"/>
      <c r="Y10" s="89" t="str">
        <f t="shared" si="18"/>
        <v/>
      </c>
      <c r="Z10" s="87">
        <f>IF(COUNTIF($E$7:E10,E10)=1,"",COUNTIF($E$7:E10,E10))</f>
        <v>0</v>
      </c>
      <c r="AA10" s="87" t="str">
        <f t="shared" si="1"/>
        <v/>
      </c>
      <c r="AC10" s="87" t="str">
        <f t="shared" si="19"/>
        <v/>
      </c>
      <c r="AD10" s="87" t="str">
        <f t="shared" si="2"/>
        <v/>
      </c>
      <c r="AE10" s="87" t="str">
        <f t="shared" si="2"/>
        <v/>
      </c>
      <c r="AF10" s="87" t="str">
        <f t="shared" si="2"/>
        <v/>
      </c>
      <c r="AG10" s="87" t="str">
        <f t="shared" si="2"/>
        <v/>
      </c>
      <c r="AH10" s="87" t="str">
        <f t="shared" si="2"/>
        <v/>
      </c>
      <c r="AI10" s="87" t="str">
        <f t="shared" si="2"/>
        <v/>
      </c>
      <c r="AJ10" s="87" t="str">
        <f t="shared" si="2"/>
        <v/>
      </c>
      <c r="AK10" s="87" t="str">
        <f t="shared" si="2"/>
        <v/>
      </c>
      <c r="AL10" s="87" t="str">
        <f t="shared" si="2"/>
        <v/>
      </c>
      <c r="AM10" s="87" t="str">
        <f t="shared" si="2"/>
        <v/>
      </c>
      <c r="AN10" s="87" t="str">
        <f t="shared" si="2"/>
        <v/>
      </c>
      <c r="AP10" s="87" t="str">
        <f t="shared" si="3"/>
        <v/>
      </c>
      <c r="AQ10" s="87" t="str">
        <f t="shared" si="4"/>
        <v/>
      </c>
      <c r="AR10" s="87" t="str">
        <f t="shared" si="5"/>
        <v/>
      </c>
      <c r="AS10" s="87" t="str">
        <f t="shared" si="6"/>
        <v/>
      </c>
      <c r="AT10" s="87" t="str">
        <f t="shared" si="7"/>
        <v/>
      </c>
      <c r="AU10" s="87" t="str">
        <f t="shared" si="8"/>
        <v/>
      </c>
      <c r="AV10" s="87" t="str">
        <f t="shared" si="9"/>
        <v/>
      </c>
      <c r="AW10" s="87" t="str">
        <f t="shared" si="10"/>
        <v/>
      </c>
      <c r="AX10" s="87" t="str">
        <f t="shared" si="11"/>
        <v/>
      </c>
      <c r="AY10" s="87" t="str">
        <f t="shared" si="12"/>
        <v/>
      </c>
      <c r="AZ10" s="87" t="str">
        <f t="shared" si="13"/>
        <v/>
      </c>
      <c r="BA10" s="87" t="str">
        <f t="shared" si="14"/>
        <v/>
      </c>
      <c r="BB10" s="90" t="str">
        <f t="shared" si="20"/>
        <v/>
      </c>
      <c r="BE10" s="87" t="str">
        <f t="shared" si="51"/>
        <v/>
      </c>
      <c r="BF10" s="87" t="str">
        <f t="shared" si="15"/>
        <v/>
      </c>
      <c r="BG10" s="87" t="str">
        <f t="shared" si="16"/>
        <v/>
      </c>
      <c r="BH10" s="87" t="str">
        <f t="shared" si="21"/>
        <v/>
      </c>
      <c r="BI10" s="87" t="str">
        <f t="shared" si="17"/>
        <v/>
      </c>
      <c r="BO10" s="87" t="str">
        <f t="shared" si="22"/>
        <v>〇</v>
      </c>
      <c r="BP10" s="87" t="str">
        <f t="shared" si="23"/>
        <v>〇</v>
      </c>
      <c r="BQ10" s="87" t="str">
        <f t="shared" si="24"/>
        <v>〇</v>
      </c>
      <c r="BR10" s="87" t="str">
        <f t="shared" si="25"/>
        <v>〇</v>
      </c>
      <c r="BS10" s="87" t="str">
        <f t="shared" si="26"/>
        <v>〇</v>
      </c>
      <c r="BT10" s="87" t="str">
        <f t="shared" si="27"/>
        <v>〇</v>
      </c>
      <c r="BU10" s="87" t="str">
        <f t="shared" si="28"/>
        <v>〇</v>
      </c>
      <c r="BV10" s="87" t="str">
        <f t="shared" si="29"/>
        <v>〇</v>
      </c>
      <c r="BW10" s="87" t="str">
        <f t="shared" si="30"/>
        <v>〇</v>
      </c>
      <c r="BX10" s="87" t="str">
        <f t="shared" si="31"/>
        <v>〇</v>
      </c>
      <c r="BY10" s="87" t="str">
        <f t="shared" si="32"/>
        <v>〇</v>
      </c>
      <c r="BZ10" s="87" t="str">
        <f t="shared" si="33"/>
        <v>〇</v>
      </c>
      <c r="CA10" s="87" t="str">
        <f t="shared" si="34"/>
        <v>〇</v>
      </c>
      <c r="CB10" s="87" t="str">
        <f t="shared" si="35"/>
        <v>〇</v>
      </c>
      <c r="CC10" s="87" t="str">
        <f t="shared" si="36"/>
        <v>〇</v>
      </c>
      <c r="CD10" s="87" t="str">
        <f t="shared" si="37"/>
        <v>〇</v>
      </c>
      <c r="CE10" s="87" t="str">
        <f t="shared" si="38"/>
        <v>〇</v>
      </c>
      <c r="CF10" s="87" t="str">
        <f t="shared" si="39"/>
        <v>〇</v>
      </c>
      <c r="CG10" s="87" t="str">
        <f t="shared" si="40"/>
        <v>〇</v>
      </c>
      <c r="CH10" s="87" t="str">
        <f t="shared" si="41"/>
        <v>〇</v>
      </c>
      <c r="CI10" s="87" t="str">
        <f t="shared" si="42"/>
        <v>〇</v>
      </c>
      <c r="CJ10" s="87" t="str">
        <f t="shared" si="43"/>
        <v>〇</v>
      </c>
      <c r="CK10" s="87" t="str">
        <f t="shared" si="44"/>
        <v>〇</v>
      </c>
      <c r="CL10" s="87" t="str">
        <f t="shared" si="45"/>
        <v>〇</v>
      </c>
      <c r="CM10" s="87" t="str">
        <f t="shared" si="46"/>
        <v>〇</v>
      </c>
      <c r="CN10" s="87" t="str">
        <f t="shared" si="47"/>
        <v>〇</v>
      </c>
      <c r="CO10" s="87" t="str">
        <f t="shared" si="48"/>
        <v>〇</v>
      </c>
      <c r="CP10" s="87" t="str">
        <f t="shared" si="49"/>
        <v>〇</v>
      </c>
      <c r="CQ10" s="87" t="str">
        <f t="shared" si="50"/>
        <v>〇</v>
      </c>
      <c r="CS10" s="476"/>
      <c r="CT10" s="476"/>
      <c r="CU10" s="476"/>
      <c r="CV10" s="476"/>
    </row>
    <row r="11" spans="1:100" s="90" customFormat="1" ht="23.15" customHeight="1">
      <c r="A11" s="2">
        <v>5</v>
      </c>
      <c r="B11" s="14"/>
      <c r="C11" s="4"/>
      <c r="D11" s="5"/>
      <c r="E11" s="3"/>
      <c r="F11" s="6"/>
      <c r="G11" s="7"/>
      <c r="H11" s="8"/>
      <c r="I11" s="8"/>
      <c r="J11" s="8"/>
      <c r="K11" s="8"/>
      <c r="L11" s="8"/>
      <c r="M11" s="8"/>
      <c r="N11" s="8"/>
      <c r="O11" s="8"/>
      <c r="P11" s="8"/>
      <c r="Q11" s="9"/>
      <c r="R11" s="10"/>
      <c r="S11" s="10"/>
      <c r="T11" s="12"/>
      <c r="U11" s="11"/>
      <c r="V11" s="9"/>
      <c r="W11" s="12"/>
      <c r="X11" s="13"/>
      <c r="Y11" s="89" t="str">
        <f t="shared" si="18"/>
        <v/>
      </c>
      <c r="Z11" s="87">
        <f>IF(COUNTIF($E$7:E11,E11)=1,"",COUNTIF($E$7:E11,E11))</f>
        <v>0</v>
      </c>
      <c r="AA11" s="87" t="str">
        <f t="shared" si="1"/>
        <v/>
      </c>
      <c r="AC11" s="87" t="str">
        <f t="shared" si="19"/>
        <v/>
      </c>
      <c r="AD11" s="87" t="str">
        <f t="shared" si="2"/>
        <v/>
      </c>
      <c r="AE11" s="87" t="str">
        <f t="shared" si="2"/>
        <v/>
      </c>
      <c r="AF11" s="87" t="str">
        <f t="shared" si="2"/>
        <v/>
      </c>
      <c r="AG11" s="87" t="str">
        <f t="shared" si="2"/>
        <v/>
      </c>
      <c r="AH11" s="87" t="str">
        <f t="shared" si="2"/>
        <v/>
      </c>
      <c r="AI11" s="87" t="str">
        <f t="shared" si="2"/>
        <v/>
      </c>
      <c r="AJ11" s="87" t="str">
        <f t="shared" si="2"/>
        <v/>
      </c>
      <c r="AK11" s="87" t="str">
        <f t="shared" si="2"/>
        <v/>
      </c>
      <c r="AL11" s="87" t="str">
        <f t="shared" si="2"/>
        <v/>
      </c>
      <c r="AM11" s="87" t="str">
        <f t="shared" si="2"/>
        <v/>
      </c>
      <c r="AN11" s="87" t="str">
        <f t="shared" si="2"/>
        <v/>
      </c>
      <c r="AP11" s="87" t="str">
        <f t="shared" si="3"/>
        <v/>
      </c>
      <c r="AQ11" s="87" t="str">
        <f t="shared" si="4"/>
        <v/>
      </c>
      <c r="AR11" s="87" t="str">
        <f t="shared" si="5"/>
        <v/>
      </c>
      <c r="AS11" s="87" t="str">
        <f t="shared" si="6"/>
        <v/>
      </c>
      <c r="AT11" s="87" t="str">
        <f t="shared" si="7"/>
        <v/>
      </c>
      <c r="AU11" s="87" t="str">
        <f t="shared" si="8"/>
        <v/>
      </c>
      <c r="AV11" s="87" t="str">
        <f t="shared" si="9"/>
        <v/>
      </c>
      <c r="AW11" s="87" t="str">
        <f t="shared" si="10"/>
        <v/>
      </c>
      <c r="AX11" s="87" t="str">
        <f t="shared" si="11"/>
        <v/>
      </c>
      <c r="AY11" s="87" t="str">
        <f t="shared" si="12"/>
        <v/>
      </c>
      <c r="AZ11" s="87" t="str">
        <f t="shared" si="13"/>
        <v/>
      </c>
      <c r="BA11" s="87" t="str">
        <f t="shared" si="14"/>
        <v/>
      </c>
      <c r="BB11" s="90" t="str">
        <f t="shared" si="20"/>
        <v/>
      </c>
      <c r="BE11" s="87" t="str">
        <f t="shared" si="51"/>
        <v/>
      </c>
      <c r="BF11" s="87" t="str">
        <f t="shared" si="15"/>
        <v/>
      </c>
      <c r="BG11" s="87" t="str">
        <f t="shared" si="16"/>
        <v/>
      </c>
      <c r="BH11" s="87" t="str">
        <f t="shared" si="21"/>
        <v/>
      </c>
      <c r="BI11" s="87" t="str">
        <f>IF($S11="","",IF($R11&lt;&gt;"",IF($S11&gt;=$BI$5,"○",""),""))</f>
        <v/>
      </c>
      <c r="BO11" s="87" t="str">
        <f t="shared" si="22"/>
        <v>〇</v>
      </c>
      <c r="BP11" s="87" t="str">
        <f t="shared" si="23"/>
        <v>〇</v>
      </c>
      <c r="BQ11" s="87" t="str">
        <f t="shared" si="24"/>
        <v>〇</v>
      </c>
      <c r="BR11" s="87" t="str">
        <f t="shared" si="25"/>
        <v>〇</v>
      </c>
      <c r="BS11" s="87" t="str">
        <f t="shared" si="26"/>
        <v>〇</v>
      </c>
      <c r="BT11" s="87" t="str">
        <f t="shared" si="27"/>
        <v>〇</v>
      </c>
      <c r="BU11" s="87" t="str">
        <f t="shared" si="28"/>
        <v>〇</v>
      </c>
      <c r="BV11" s="87" t="str">
        <f t="shared" si="29"/>
        <v>〇</v>
      </c>
      <c r="BW11" s="87" t="str">
        <f t="shared" si="30"/>
        <v>〇</v>
      </c>
      <c r="BX11" s="87" t="str">
        <f t="shared" si="31"/>
        <v>〇</v>
      </c>
      <c r="BY11" s="87" t="str">
        <f t="shared" si="32"/>
        <v>〇</v>
      </c>
      <c r="BZ11" s="87" t="str">
        <f t="shared" si="33"/>
        <v>〇</v>
      </c>
      <c r="CA11" s="87" t="str">
        <f t="shared" si="34"/>
        <v>〇</v>
      </c>
      <c r="CB11" s="87" t="str">
        <f t="shared" si="35"/>
        <v>〇</v>
      </c>
      <c r="CC11" s="87" t="str">
        <f t="shared" si="36"/>
        <v>〇</v>
      </c>
      <c r="CD11" s="87" t="str">
        <f t="shared" si="37"/>
        <v>〇</v>
      </c>
      <c r="CE11" s="87" t="str">
        <f t="shared" si="38"/>
        <v>〇</v>
      </c>
      <c r="CF11" s="87" t="str">
        <f t="shared" si="39"/>
        <v>〇</v>
      </c>
      <c r="CG11" s="87" t="str">
        <f t="shared" si="40"/>
        <v>〇</v>
      </c>
      <c r="CH11" s="87" t="str">
        <f t="shared" si="41"/>
        <v>〇</v>
      </c>
      <c r="CI11" s="87" t="str">
        <f t="shared" si="42"/>
        <v>〇</v>
      </c>
      <c r="CJ11" s="87" t="str">
        <f t="shared" si="43"/>
        <v>〇</v>
      </c>
      <c r="CK11" s="87" t="str">
        <f t="shared" si="44"/>
        <v>〇</v>
      </c>
      <c r="CL11" s="87" t="str">
        <f t="shared" si="45"/>
        <v>〇</v>
      </c>
      <c r="CM11" s="87" t="str">
        <f t="shared" si="46"/>
        <v>〇</v>
      </c>
      <c r="CN11" s="87" t="str">
        <f t="shared" si="47"/>
        <v>〇</v>
      </c>
      <c r="CO11" s="87" t="str">
        <f t="shared" si="48"/>
        <v>〇</v>
      </c>
      <c r="CP11" s="87" t="str">
        <f t="shared" si="49"/>
        <v>〇</v>
      </c>
      <c r="CQ11" s="87" t="str">
        <f t="shared" si="50"/>
        <v>〇</v>
      </c>
      <c r="CS11" s="476"/>
      <c r="CT11" s="476"/>
      <c r="CU11" s="476"/>
      <c r="CV11" s="476"/>
    </row>
    <row r="12" spans="1:100" s="90" customFormat="1" ht="23.15" customHeight="1">
      <c r="A12" s="2">
        <v>6</v>
      </c>
      <c r="B12" s="14"/>
      <c r="C12" s="4"/>
      <c r="D12" s="5"/>
      <c r="E12" s="3"/>
      <c r="F12" s="6"/>
      <c r="G12" s="7"/>
      <c r="H12" s="8"/>
      <c r="I12" s="8"/>
      <c r="J12" s="8"/>
      <c r="K12" s="8"/>
      <c r="L12" s="8"/>
      <c r="M12" s="8"/>
      <c r="N12" s="8"/>
      <c r="O12" s="8"/>
      <c r="P12" s="8"/>
      <c r="Q12" s="9"/>
      <c r="R12" s="10"/>
      <c r="S12" s="10"/>
      <c r="T12" s="12"/>
      <c r="U12" s="11"/>
      <c r="V12" s="9"/>
      <c r="W12" s="12"/>
      <c r="X12" s="13"/>
      <c r="Y12" s="89" t="str">
        <f t="shared" si="18"/>
        <v/>
      </c>
      <c r="Z12" s="87">
        <f>IF(COUNTIF($E$7:E12,E12)=1,"",COUNTIF($E$7:E12,E12))</f>
        <v>0</v>
      </c>
      <c r="AA12" s="87" t="str">
        <f t="shared" si="1"/>
        <v/>
      </c>
      <c r="AC12" s="87" t="str">
        <f t="shared" si="19"/>
        <v/>
      </c>
      <c r="AD12" s="87" t="str">
        <f t="shared" si="2"/>
        <v/>
      </c>
      <c r="AE12" s="87" t="str">
        <f t="shared" si="2"/>
        <v/>
      </c>
      <c r="AF12" s="87" t="str">
        <f t="shared" si="2"/>
        <v/>
      </c>
      <c r="AG12" s="87" t="str">
        <f t="shared" si="2"/>
        <v/>
      </c>
      <c r="AH12" s="87" t="str">
        <f t="shared" si="2"/>
        <v/>
      </c>
      <c r="AI12" s="87" t="str">
        <f t="shared" si="2"/>
        <v/>
      </c>
      <c r="AJ12" s="87" t="str">
        <f t="shared" si="2"/>
        <v/>
      </c>
      <c r="AK12" s="87" t="str">
        <f t="shared" si="2"/>
        <v/>
      </c>
      <c r="AL12" s="87" t="str">
        <f t="shared" si="2"/>
        <v/>
      </c>
      <c r="AM12" s="87" t="str">
        <f t="shared" si="2"/>
        <v/>
      </c>
      <c r="AN12" s="87" t="str">
        <f t="shared" si="2"/>
        <v/>
      </c>
      <c r="AP12" s="87" t="str">
        <f t="shared" si="3"/>
        <v/>
      </c>
      <c r="AQ12" s="87" t="str">
        <f t="shared" si="4"/>
        <v/>
      </c>
      <c r="AR12" s="87" t="str">
        <f t="shared" si="5"/>
        <v/>
      </c>
      <c r="AS12" s="87" t="str">
        <f t="shared" si="6"/>
        <v/>
      </c>
      <c r="AT12" s="87" t="str">
        <f t="shared" si="7"/>
        <v/>
      </c>
      <c r="AU12" s="87" t="str">
        <f t="shared" si="8"/>
        <v/>
      </c>
      <c r="AV12" s="87" t="str">
        <f t="shared" si="9"/>
        <v/>
      </c>
      <c r="AW12" s="87" t="str">
        <f t="shared" si="10"/>
        <v/>
      </c>
      <c r="AX12" s="87" t="str">
        <f t="shared" si="11"/>
        <v/>
      </c>
      <c r="AY12" s="87" t="str">
        <f t="shared" si="12"/>
        <v/>
      </c>
      <c r="AZ12" s="87" t="str">
        <f t="shared" si="13"/>
        <v/>
      </c>
      <c r="BA12" s="87" t="str">
        <f t="shared" si="14"/>
        <v/>
      </c>
      <c r="BB12" s="90" t="str">
        <f t="shared" si="20"/>
        <v/>
      </c>
      <c r="BE12" s="87" t="str">
        <f t="shared" si="51"/>
        <v/>
      </c>
      <c r="BF12" s="87" t="str">
        <f t="shared" si="15"/>
        <v/>
      </c>
      <c r="BG12" s="87" t="str">
        <f t="shared" si="16"/>
        <v/>
      </c>
      <c r="BH12" s="87" t="str">
        <f t="shared" si="21"/>
        <v/>
      </c>
      <c r="BI12" s="87" t="str">
        <f t="shared" si="17"/>
        <v/>
      </c>
      <c r="BO12" s="87" t="str">
        <f t="shared" si="22"/>
        <v>〇</v>
      </c>
      <c r="BP12" s="87" t="str">
        <f t="shared" si="23"/>
        <v>〇</v>
      </c>
      <c r="BQ12" s="87" t="str">
        <f t="shared" si="24"/>
        <v>〇</v>
      </c>
      <c r="BR12" s="87" t="str">
        <f t="shared" si="25"/>
        <v>〇</v>
      </c>
      <c r="BS12" s="87" t="str">
        <f t="shared" si="26"/>
        <v>〇</v>
      </c>
      <c r="BT12" s="87" t="str">
        <f t="shared" si="27"/>
        <v>〇</v>
      </c>
      <c r="BU12" s="87" t="str">
        <f t="shared" si="28"/>
        <v>〇</v>
      </c>
      <c r="BV12" s="87" t="str">
        <f t="shared" si="29"/>
        <v>〇</v>
      </c>
      <c r="BW12" s="87" t="str">
        <f t="shared" si="30"/>
        <v>〇</v>
      </c>
      <c r="BX12" s="87" t="str">
        <f t="shared" si="31"/>
        <v>〇</v>
      </c>
      <c r="BY12" s="87" t="str">
        <f t="shared" si="32"/>
        <v>〇</v>
      </c>
      <c r="BZ12" s="87" t="str">
        <f t="shared" si="33"/>
        <v>〇</v>
      </c>
      <c r="CA12" s="87" t="str">
        <f t="shared" si="34"/>
        <v>〇</v>
      </c>
      <c r="CB12" s="87" t="str">
        <f t="shared" si="35"/>
        <v>〇</v>
      </c>
      <c r="CC12" s="87" t="str">
        <f t="shared" si="36"/>
        <v>〇</v>
      </c>
      <c r="CD12" s="87" t="str">
        <f t="shared" si="37"/>
        <v>〇</v>
      </c>
      <c r="CE12" s="87" t="str">
        <f t="shared" si="38"/>
        <v>〇</v>
      </c>
      <c r="CF12" s="87" t="str">
        <f t="shared" si="39"/>
        <v>〇</v>
      </c>
      <c r="CG12" s="87" t="str">
        <f t="shared" si="40"/>
        <v>〇</v>
      </c>
      <c r="CH12" s="87" t="str">
        <f t="shared" si="41"/>
        <v>〇</v>
      </c>
      <c r="CI12" s="87" t="str">
        <f t="shared" si="42"/>
        <v>〇</v>
      </c>
      <c r="CJ12" s="87" t="str">
        <f t="shared" si="43"/>
        <v>〇</v>
      </c>
      <c r="CK12" s="87" t="str">
        <f t="shared" si="44"/>
        <v>〇</v>
      </c>
      <c r="CL12" s="87" t="str">
        <f t="shared" si="45"/>
        <v>〇</v>
      </c>
      <c r="CM12" s="87" t="str">
        <f t="shared" si="46"/>
        <v>〇</v>
      </c>
      <c r="CN12" s="87" t="str">
        <f t="shared" si="47"/>
        <v>〇</v>
      </c>
      <c r="CO12" s="87" t="str">
        <f t="shared" si="48"/>
        <v>〇</v>
      </c>
      <c r="CP12" s="87" t="str">
        <f t="shared" si="49"/>
        <v>〇</v>
      </c>
      <c r="CQ12" s="87" t="str">
        <f t="shared" si="50"/>
        <v>〇</v>
      </c>
      <c r="CS12" s="476"/>
      <c r="CT12" s="476"/>
      <c r="CU12" s="476"/>
      <c r="CV12" s="476"/>
    </row>
    <row r="13" spans="1:100" s="90" customFormat="1" ht="23.15" customHeight="1">
      <c r="A13" s="2">
        <v>7</v>
      </c>
      <c r="B13" s="14"/>
      <c r="C13" s="4"/>
      <c r="D13" s="5"/>
      <c r="E13" s="3"/>
      <c r="F13" s="6"/>
      <c r="G13" s="7"/>
      <c r="H13" s="8"/>
      <c r="I13" s="8"/>
      <c r="J13" s="8"/>
      <c r="K13" s="8"/>
      <c r="L13" s="8"/>
      <c r="M13" s="8"/>
      <c r="N13" s="8"/>
      <c r="O13" s="8"/>
      <c r="P13" s="8"/>
      <c r="Q13" s="9"/>
      <c r="R13" s="10"/>
      <c r="S13" s="10"/>
      <c r="T13" s="12"/>
      <c r="U13" s="11"/>
      <c r="V13" s="9"/>
      <c r="W13" s="12"/>
      <c r="X13" s="13"/>
      <c r="Y13" s="89" t="str">
        <f t="shared" si="18"/>
        <v/>
      </c>
      <c r="Z13" s="87">
        <f>IF(COUNTIF($E$7:E13,E13)=1,"",COUNTIF($E$7:E13,E13))</f>
        <v>0</v>
      </c>
      <c r="AA13" s="87" t="str">
        <f t="shared" si="1"/>
        <v/>
      </c>
      <c r="AC13" s="87" t="str">
        <f t="shared" si="19"/>
        <v/>
      </c>
      <c r="AD13" s="87" t="str">
        <f t="shared" si="2"/>
        <v/>
      </c>
      <c r="AE13" s="87" t="str">
        <f t="shared" si="2"/>
        <v/>
      </c>
      <c r="AF13" s="87" t="str">
        <f t="shared" si="2"/>
        <v/>
      </c>
      <c r="AG13" s="87" t="str">
        <f t="shared" si="2"/>
        <v/>
      </c>
      <c r="AH13" s="87" t="str">
        <f t="shared" si="2"/>
        <v/>
      </c>
      <c r="AI13" s="87" t="str">
        <f t="shared" si="2"/>
        <v/>
      </c>
      <c r="AJ13" s="87" t="str">
        <f t="shared" si="2"/>
        <v/>
      </c>
      <c r="AK13" s="87" t="str">
        <f t="shared" si="2"/>
        <v/>
      </c>
      <c r="AL13" s="87" t="str">
        <f t="shared" si="2"/>
        <v/>
      </c>
      <c r="AM13" s="87" t="str">
        <f t="shared" si="2"/>
        <v/>
      </c>
      <c r="AN13" s="87" t="str">
        <f t="shared" si="2"/>
        <v/>
      </c>
      <c r="AP13" s="87" t="str">
        <f t="shared" si="3"/>
        <v/>
      </c>
      <c r="AQ13" s="87" t="str">
        <f t="shared" si="4"/>
        <v/>
      </c>
      <c r="AR13" s="87" t="str">
        <f t="shared" si="5"/>
        <v/>
      </c>
      <c r="AS13" s="87" t="str">
        <f t="shared" si="6"/>
        <v/>
      </c>
      <c r="AT13" s="87" t="str">
        <f t="shared" si="7"/>
        <v/>
      </c>
      <c r="AU13" s="87" t="str">
        <f t="shared" si="8"/>
        <v/>
      </c>
      <c r="AV13" s="87" t="str">
        <f t="shared" si="9"/>
        <v/>
      </c>
      <c r="AW13" s="87" t="str">
        <f t="shared" si="10"/>
        <v/>
      </c>
      <c r="AX13" s="87" t="str">
        <f t="shared" si="11"/>
        <v/>
      </c>
      <c r="AY13" s="87" t="str">
        <f t="shared" si="12"/>
        <v/>
      </c>
      <c r="AZ13" s="87" t="str">
        <f t="shared" si="13"/>
        <v/>
      </c>
      <c r="BA13" s="87" t="str">
        <f t="shared" si="14"/>
        <v/>
      </c>
      <c r="BB13" s="90" t="str">
        <f t="shared" si="20"/>
        <v/>
      </c>
      <c r="BE13" s="87" t="str">
        <f t="shared" si="51"/>
        <v/>
      </c>
      <c r="BF13" s="87" t="str">
        <f t="shared" si="15"/>
        <v/>
      </c>
      <c r="BG13" s="87" t="str">
        <f t="shared" si="16"/>
        <v/>
      </c>
      <c r="BH13" s="87" t="str">
        <f t="shared" si="21"/>
        <v/>
      </c>
      <c r="BI13" s="87" t="str">
        <f t="shared" si="17"/>
        <v/>
      </c>
      <c r="BO13" s="87" t="str">
        <f t="shared" si="22"/>
        <v>〇</v>
      </c>
      <c r="BP13" s="87" t="str">
        <f t="shared" si="23"/>
        <v>〇</v>
      </c>
      <c r="BQ13" s="87" t="str">
        <f t="shared" si="24"/>
        <v>〇</v>
      </c>
      <c r="BR13" s="87" t="str">
        <f t="shared" si="25"/>
        <v>〇</v>
      </c>
      <c r="BS13" s="87" t="str">
        <f t="shared" si="26"/>
        <v>〇</v>
      </c>
      <c r="BT13" s="87" t="str">
        <f t="shared" si="27"/>
        <v>〇</v>
      </c>
      <c r="BU13" s="87" t="str">
        <f t="shared" si="28"/>
        <v>〇</v>
      </c>
      <c r="BV13" s="87" t="str">
        <f t="shared" si="29"/>
        <v>〇</v>
      </c>
      <c r="BW13" s="87" t="str">
        <f t="shared" si="30"/>
        <v>〇</v>
      </c>
      <c r="BX13" s="87" t="str">
        <f t="shared" si="31"/>
        <v>〇</v>
      </c>
      <c r="BY13" s="87" t="str">
        <f t="shared" si="32"/>
        <v>〇</v>
      </c>
      <c r="BZ13" s="87" t="str">
        <f t="shared" si="33"/>
        <v>〇</v>
      </c>
      <c r="CA13" s="87" t="str">
        <f t="shared" si="34"/>
        <v>〇</v>
      </c>
      <c r="CB13" s="87" t="str">
        <f t="shared" si="35"/>
        <v>〇</v>
      </c>
      <c r="CC13" s="87" t="str">
        <f t="shared" si="36"/>
        <v>〇</v>
      </c>
      <c r="CD13" s="87" t="str">
        <f t="shared" si="37"/>
        <v>〇</v>
      </c>
      <c r="CE13" s="87" t="str">
        <f t="shared" si="38"/>
        <v>〇</v>
      </c>
      <c r="CF13" s="87" t="str">
        <f t="shared" si="39"/>
        <v>〇</v>
      </c>
      <c r="CG13" s="87" t="str">
        <f t="shared" si="40"/>
        <v>〇</v>
      </c>
      <c r="CH13" s="87" t="str">
        <f t="shared" si="41"/>
        <v>〇</v>
      </c>
      <c r="CI13" s="87" t="str">
        <f t="shared" si="42"/>
        <v>〇</v>
      </c>
      <c r="CJ13" s="87" t="str">
        <f t="shared" si="43"/>
        <v>〇</v>
      </c>
      <c r="CK13" s="87" t="str">
        <f t="shared" si="44"/>
        <v>〇</v>
      </c>
      <c r="CL13" s="87" t="str">
        <f t="shared" si="45"/>
        <v>〇</v>
      </c>
      <c r="CM13" s="87" t="str">
        <f t="shared" si="46"/>
        <v>〇</v>
      </c>
      <c r="CN13" s="87" t="str">
        <f t="shared" si="47"/>
        <v>〇</v>
      </c>
      <c r="CO13" s="87" t="str">
        <f t="shared" si="48"/>
        <v>〇</v>
      </c>
      <c r="CP13" s="87" t="str">
        <f t="shared" si="49"/>
        <v>〇</v>
      </c>
      <c r="CQ13" s="87" t="str">
        <f t="shared" si="50"/>
        <v>〇</v>
      </c>
      <c r="CS13" s="476"/>
      <c r="CT13" s="476"/>
      <c r="CU13" s="476"/>
      <c r="CV13" s="476"/>
    </row>
    <row r="14" spans="1:100" s="90" customFormat="1" ht="23.15" customHeight="1">
      <c r="A14" s="2">
        <v>8</v>
      </c>
      <c r="B14" s="14"/>
      <c r="C14" s="4"/>
      <c r="D14" s="5"/>
      <c r="E14" s="3"/>
      <c r="F14" s="6"/>
      <c r="G14" s="7"/>
      <c r="H14" s="8"/>
      <c r="I14" s="8"/>
      <c r="J14" s="8"/>
      <c r="K14" s="8"/>
      <c r="L14" s="8"/>
      <c r="M14" s="8"/>
      <c r="N14" s="8"/>
      <c r="O14" s="8"/>
      <c r="P14" s="8"/>
      <c r="Q14" s="9"/>
      <c r="R14" s="10"/>
      <c r="S14" s="10"/>
      <c r="T14" s="12"/>
      <c r="U14" s="11"/>
      <c r="V14" s="9"/>
      <c r="W14" s="12"/>
      <c r="X14" s="13"/>
      <c r="Y14" s="89" t="str">
        <f t="shared" si="18"/>
        <v/>
      </c>
      <c r="Z14" s="87">
        <f>IF(COUNTIF($E$7:E14,E14)=1,"",COUNTIF($E$7:E14,E14))</f>
        <v>0</v>
      </c>
      <c r="AA14" s="87" t="str">
        <f t="shared" si="1"/>
        <v/>
      </c>
      <c r="AC14" s="87" t="str">
        <f t="shared" si="19"/>
        <v/>
      </c>
      <c r="AD14" s="87" t="str">
        <f t="shared" si="2"/>
        <v/>
      </c>
      <c r="AE14" s="87" t="str">
        <f t="shared" si="2"/>
        <v/>
      </c>
      <c r="AF14" s="87" t="str">
        <f t="shared" si="2"/>
        <v/>
      </c>
      <c r="AG14" s="87" t="str">
        <f t="shared" si="2"/>
        <v/>
      </c>
      <c r="AH14" s="87" t="str">
        <f t="shared" si="2"/>
        <v/>
      </c>
      <c r="AI14" s="87" t="str">
        <f t="shared" si="2"/>
        <v/>
      </c>
      <c r="AJ14" s="87" t="str">
        <f t="shared" si="2"/>
        <v/>
      </c>
      <c r="AK14" s="87" t="str">
        <f t="shared" si="2"/>
        <v/>
      </c>
      <c r="AL14" s="87" t="str">
        <f t="shared" si="2"/>
        <v/>
      </c>
      <c r="AM14" s="87" t="str">
        <f t="shared" si="2"/>
        <v/>
      </c>
      <c r="AN14" s="87" t="str">
        <f t="shared" si="2"/>
        <v/>
      </c>
      <c r="AP14" s="87" t="str">
        <f t="shared" si="3"/>
        <v/>
      </c>
      <c r="AQ14" s="87" t="str">
        <f t="shared" si="4"/>
        <v/>
      </c>
      <c r="AR14" s="87" t="str">
        <f t="shared" si="5"/>
        <v/>
      </c>
      <c r="AS14" s="87" t="str">
        <f t="shared" si="6"/>
        <v/>
      </c>
      <c r="AT14" s="87" t="str">
        <f t="shared" si="7"/>
        <v/>
      </c>
      <c r="AU14" s="87" t="str">
        <f t="shared" si="8"/>
        <v/>
      </c>
      <c r="AV14" s="87" t="str">
        <f t="shared" si="9"/>
        <v/>
      </c>
      <c r="AW14" s="87" t="str">
        <f t="shared" si="10"/>
        <v/>
      </c>
      <c r="AX14" s="87" t="str">
        <f t="shared" si="11"/>
        <v/>
      </c>
      <c r="AY14" s="87" t="str">
        <f t="shared" si="12"/>
        <v/>
      </c>
      <c r="AZ14" s="87" t="str">
        <f t="shared" si="13"/>
        <v/>
      </c>
      <c r="BA14" s="87" t="str">
        <f t="shared" si="14"/>
        <v/>
      </c>
      <c r="BB14" s="90" t="str">
        <f t="shared" si="20"/>
        <v/>
      </c>
      <c r="BE14" s="87" t="str">
        <f t="shared" si="51"/>
        <v/>
      </c>
      <c r="BF14" s="87" t="str">
        <f t="shared" si="15"/>
        <v/>
      </c>
      <c r="BG14" s="87" t="str">
        <f t="shared" si="16"/>
        <v/>
      </c>
      <c r="BH14" s="87" t="str">
        <f t="shared" si="21"/>
        <v/>
      </c>
      <c r="BI14" s="87" t="str">
        <f t="shared" si="17"/>
        <v/>
      </c>
      <c r="BO14" s="87" t="str">
        <f t="shared" si="22"/>
        <v>〇</v>
      </c>
      <c r="BP14" s="87" t="str">
        <f t="shared" si="23"/>
        <v>〇</v>
      </c>
      <c r="BQ14" s="87" t="str">
        <f t="shared" si="24"/>
        <v>〇</v>
      </c>
      <c r="BR14" s="87" t="str">
        <f t="shared" si="25"/>
        <v>〇</v>
      </c>
      <c r="BS14" s="87" t="str">
        <f t="shared" si="26"/>
        <v>〇</v>
      </c>
      <c r="BT14" s="87" t="str">
        <f t="shared" si="27"/>
        <v>〇</v>
      </c>
      <c r="BU14" s="87" t="str">
        <f t="shared" si="28"/>
        <v>〇</v>
      </c>
      <c r="BV14" s="87" t="str">
        <f t="shared" si="29"/>
        <v>〇</v>
      </c>
      <c r="BW14" s="87" t="str">
        <f t="shared" si="30"/>
        <v>〇</v>
      </c>
      <c r="BX14" s="87" t="str">
        <f t="shared" si="31"/>
        <v>〇</v>
      </c>
      <c r="BY14" s="87" t="str">
        <f t="shared" si="32"/>
        <v>〇</v>
      </c>
      <c r="BZ14" s="87" t="str">
        <f t="shared" si="33"/>
        <v>〇</v>
      </c>
      <c r="CA14" s="87" t="str">
        <f t="shared" si="34"/>
        <v>〇</v>
      </c>
      <c r="CB14" s="87" t="str">
        <f t="shared" si="35"/>
        <v>〇</v>
      </c>
      <c r="CC14" s="87" t="str">
        <f t="shared" si="36"/>
        <v>〇</v>
      </c>
      <c r="CD14" s="87" t="str">
        <f t="shared" si="37"/>
        <v>〇</v>
      </c>
      <c r="CE14" s="87" t="str">
        <f t="shared" si="38"/>
        <v>〇</v>
      </c>
      <c r="CF14" s="87" t="str">
        <f t="shared" si="39"/>
        <v>〇</v>
      </c>
      <c r="CG14" s="87" t="str">
        <f t="shared" si="40"/>
        <v>〇</v>
      </c>
      <c r="CH14" s="87" t="str">
        <f t="shared" si="41"/>
        <v>〇</v>
      </c>
      <c r="CI14" s="87" t="str">
        <f t="shared" si="42"/>
        <v>〇</v>
      </c>
      <c r="CJ14" s="87" t="str">
        <f t="shared" si="43"/>
        <v>〇</v>
      </c>
      <c r="CK14" s="87" t="str">
        <f t="shared" si="44"/>
        <v>〇</v>
      </c>
      <c r="CL14" s="87" t="str">
        <f t="shared" si="45"/>
        <v>〇</v>
      </c>
      <c r="CM14" s="87" t="str">
        <f t="shared" si="46"/>
        <v>〇</v>
      </c>
      <c r="CN14" s="87" t="str">
        <f t="shared" si="47"/>
        <v>〇</v>
      </c>
      <c r="CO14" s="87" t="str">
        <f t="shared" si="48"/>
        <v>〇</v>
      </c>
      <c r="CP14" s="87" t="str">
        <f t="shared" si="49"/>
        <v>〇</v>
      </c>
      <c r="CQ14" s="87" t="str">
        <f t="shared" si="50"/>
        <v>〇</v>
      </c>
      <c r="CS14" s="476"/>
      <c r="CT14" s="476"/>
      <c r="CU14" s="476"/>
      <c r="CV14" s="476"/>
    </row>
    <row r="15" spans="1:100" s="90" customFormat="1" ht="23.15" customHeight="1">
      <c r="A15" s="2">
        <v>9</v>
      </c>
      <c r="B15" s="14"/>
      <c r="C15" s="4"/>
      <c r="D15" s="5"/>
      <c r="E15" s="3"/>
      <c r="F15" s="6"/>
      <c r="G15" s="7"/>
      <c r="H15" s="8"/>
      <c r="I15" s="8"/>
      <c r="J15" s="8"/>
      <c r="K15" s="8"/>
      <c r="L15" s="8"/>
      <c r="M15" s="8"/>
      <c r="N15" s="8"/>
      <c r="O15" s="8"/>
      <c r="P15" s="8"/>
      <c r="Q15" s="9"/>
      <c r="R15" s="10"/>
      <c r="S15" s="10"/>
      <c r="T15" s="12"/>
      <c r="U15" s="11"/>
      <c r="V15" s="9"/>
      <c r="W15" s="12"/>
      <c r="X15" s="13"/>
      <c r="Y15" s="89" t="str">
        <f t="shared" si="18"/>
        <v/>
      </c>
      <c r="Z15" s="87">
        <f>IF(COUNTIF($E$7:E15,E15)=1,"",COUNTIF($E$7:E15,E15))</f>
        <v>0</v>
      </c>
      <c r="AA15" s="87" t="str">
        <f t="shared" si="1"/>
        <v/>
      </c>
      <c r="AC15" s="87" t="str">
        <f t="shared" si="19"/>
        <v/>
      </c>
      <c r="AD15" s="87" t="str">
        <f t="shared" si="2"/>
        <v/>
      </c>
      <c r="AE15" s="87" t="str">
        <f t="shared" si="2"/>
        <v/>
      </c>
      <c r="AF15" s="87" t="str">
        <f t="shared" si="2"/>
        <v/>
      </c>
      <c r="AG15" s="87" t="str">
        <f t="shared" si="2"/>
        <v/>
      </c>
      <c r="AH15" s="87" t="str">
        <f t="shared" si="2"/>
        <v/>
      </c>
      <c r="AI15" s="87" t="str">
        <f t="shared" si="2"/>
        <v/>
      </c>
      <c r="AJ15" s="87" t="str">
        <f t="shared" si="2"/>
        <v/>
      </c>
      <c r="AK15" s="87" t="str">
        <f t="shared" si="2"/>
        <v/>
      </c>
      <c r="AL15" s="87" t="str">
        <f t="shared" si="2"/>
        <v/>
      </c>
      <c r="AM15" s="87" t="str">
        <f t="shared" si="2"/>
        <v/>
      </c>
      <c r="AN15" s="87" t="str">
        <f t="shared" si="2"/>
        <v/>
      </c>
      <c r="AP15" s="87" t="str">
        <f t="shared" si="3"/>
        <v/>
      </c>
      <c r="AQ15" s="87" t="str">
        <f t="shared" si="4"/>
        <v/>
      </c>
      <c r="AR15" s="87" t="str">
        <f t="shared" si="5"/>
        <v/>
      </c>
      <c r="AS15" s="87" t="str">
        <f t="shared" si="6"/>
        <v/>
      </c>
      <c r="AT15" s="87" t="str">
        <f t="shared" si="7"/>
        <v/>
      </c>
      <c r="AU15" s="87" t="str">
        <f t="shared" si="8"/>
        <v/>
      </c>
      <c r="AV15" s="87" t="str">
        <f t="shared" si="9"/>
        <v/>
      </c>
      <c r="AW15" s="87" t="str">
        <f t="shared" si="10"/>
        <v/>
      </c>
      <c r="AX15" s="87" t="str">
        <f t="shared" si="11"/>
        <v/>
      </c>
      <c r="AY15" s="87" t="str">
        <f t="shared" si="12"/>
        <v/>
      </c>
      <c r="AZ15" s="87" t="str">
        <f t="shared" si="13"/>
        <v/>
      </c>
      <c r="BA15" s="87" t="str">
        <f t="shared" si="14"/>
        <v/>
      </c>
      <c r="BB15" s="90" t="str">
        <f t="shared" si="20"/>
        <v/>
      </c>
      <c r="BE15" s="87" t="str">
        <f t="shared" si="51"/>
        <v/>
      </c>
      <c r="BF15" s="87" t="str">
        <f t="shared" si="15"/>
        <v/>
      </c>
      <c r="BG15" s="87" t="str">
        <f t="shared" si="16"/>
        <v/>
      </c>
      <c r="BH15" s="87" t="str">
        <f t="shared" si="21"/>
        <v/>
      </c>
      <c r="BI15" s="87" t="str">
        <f t="shared" si="17"/>
        <v/>
      </c>
      <c r="BO15" s="87" t="str">
        <f t="shared" si="22"/>
        <v>〇</v>
      </c>
      <c r="BP15" s="87" t="str">
        <f t="shared" si="23"/>
        <v>〇</v>
      </c>
      <c r="BQ15" s="87" t="str">
        <f t="shared" si="24"/>
        <v>〇</v>
      </c>
      <c r="BR15" s="87" t="str">
        <f t="shared" si="25"/>
        <v>〇</v>
      </c>
      <c r="BS15" s="87" t="str">
        <f t="shared" si="26"/>
        <v>〇</v>
      </c>
      <c r="BT15" s="87" t="str">
        <f t="shared" si="27"/>
        <v>〇</v>
      </c>
      <c r="BU15" s="87" t="str">
        <f t="shared" si="28"/>
        <v>〇</v>
      </c>
      <c r="BV15" s="87" t="str">
        <f t="shared" si="29"/>
        <v>〇</v>
      </c>
      <c r="BW15" s="87" t="str">
        <f t="shared" si="30"/>
        <v>〇</v>
      </c>
      <c r="BX15" s="87" t="str">
        <f t="shared" si="31"/>
        <v>〇</v>
      </c>
      <c r="BY15" s="87" t="str">
        <f t="shared" si="32"/>
        <v>〇</v>
      </c>
      <c r="BZ15" s="87" t="str">
        <f t="shared" si="33"/>
        <v>〇</v>
      </c>
      <c r="CA15" s="87" t="str">
        <f t="shared" si="34"/>
        <v>〇</v>
      </c>
      <c r="CB15" s="87" t="str">
        <f t="shared" si="35"/>
        <v>〇</v>
      </c>
      <c r="CC15" s="87" t="str">
        <f t="shared" si="36"/>
        <v>〇</v>
      </c>
      <c r="CD15" s="87" t="str">
        <f t="shared" si="37"/>
        <v>〇</v>
      </c>
      <c r="CE15" s="87" t="str">
        <f t="shared" si="38"/>
        <v>〇</v>
      </c>
      <c r="CF15" s="87" t="str">
        <f t="shared" si="39"/>
        <v>〇</v>
      </c>
      <c r="CG15" s="87" t="str">
        <f t="shared" si="40"/>
        <v>〇</v>
      </c>
      <c r="CH15" s="87" t="str">
        <f t="shared" si="41"/>
        <v>〇</v>
      </c>
      <c r="CI15" s="87" t="str">
        <f t="shared" si="42"/>
        <v>〇</v>
      </c>
      <c r="CJ15" s="87" t="str">
        <f t="shared" si="43"/>
        <v>〇</v>
      </c>
      <c r="CK15" s="87" t="str">
        <f t="shared" si="44"/>
        <v>〇</v>
      </c>
      <c r="CL15" s="87" t="str">
        <f t="shared" si="45"/>
        <v>〇</v>
      </c>
      <c r="CM15" s="87" t="str">
        <f t="shared" si="46"/>
        <v>〇</v>
      </c>
      <c r="CN15" s="87" t="str">
        <f t="shared" si="47"/>
        <v>〇</v>
      </c>
      <c r="CO15" s="87" t="str">
        <f t="shared" si="48"/>
        <v>〇</v>
      </c>
      <c r="CP15" s="87" t="str">
        <f t="shared" si="49"/>
        <v>〇</v>
      </c>
      <c r="CQ15" s="87" t="str">
        <f t="shared" si="50"/>
        <v>〇</v>
      </c>
      <c r="CS15" s="476"/>
      <c r="CT15" s="476"/>
      <c r="CU15" s="476"/>
      <c r="CV15" s="476"/>
    </row>
    <row r="16" spans="1:100" s="90" customFormat="1" ht="23.15" customHeight="1">
      <c r="A16" s="2">
        <v>10</v>
      </c>
      <c r="B16" s="14"/>
      <c r="C16" s="4"/>
      <c r="D16" s="5"/>
      <c r="E16" s="3"/>
      <c r="F16" s="6"/>
      <c r="G16" s="7"/>
      <c r="H16" s="8"/>
      <c r="I16" s="8"/>
      <c r="J16" s="8"/>
      <c r="K16" s="8"/>
      <c r="L16" s="8"/>
      <c r="M16" s="8"/>
      <c r="N16" s="8"/>
      <c r="O16" s="8"/>
      <c r="P16" s="8"/>
      <c r="Q16" s="9"/>
      <c r="R16" s="10"/>
      <c r="S16" s="10"/>
      <c r="T16" s="12"/>
      <c r="U16" s="11"/>
      <c r="V16" s="9"/>
      <c r="W16" s="12"/>
      <c r="X16" s="13"/>
      <c r="Y16" s="89" t="str">
        <f t="shared" si="18"/>
        <v/>
      </c>
      <c r="Z16" s="87">
        <f>IF(COUNTIF($E$7:E16,E16)=1,"",COUNTIF($E$7:E16,E16))</f>
        <v>0</v>
      </c>
      <c r="AA16" s="87" t="str">
        <f t="shared" si="1"/>
        <v/>
      </c>
      <c r="AC16" s="87" t="str">
        <f t="shared" si="19"/>
        <v/>
      </c>
      <c r="AD16" s="87" t="str">
        <f t="shared" si="2"/>
        <v/>
      </c>
      <c r="AE16" s="87" t="str">
        <f t="shared" si="2"/>
        <v/>
      </c>
      <c r="AF16" s="87" t="str">
        <f t="shared" si="2"/>
        <v/>
      </c>
      <c r="AG16" s="87" t="str">
        <f t="shared" si="2"/>
        <v/>
      </c>
      <c r="AH16" s="87" t="str">
        <f t="shared" si="2"/>
        <v/>
      </c>
      <c r="AI16" s="87" t="str">
        <f t="shared" si="2"/>
        <v/>
      </c>
      <c r="AJ16" s="87" t="str">
        <f t="shared" si="2"/>
        <v/>
      </c>
      <c r="AK16" s="87" t="str">
        <f t="shared" si="2"/>
        <v/>
      </c>
      <c r="AL16" s="87" t="str">
        <f t="shared" si="2"/>
        <v/>
      </c>
      <c r="AM16" s="87" t="str">
        <f t="shared" si="2"/>
        <v/>
      </c>
      <c r="AN16" s="87" t="str">
        <f t="shared" si="2"/>
        <v/>
      </c>
      <c r="AP16" s="87" t="str">
        <f t="shared" si="3"/>
        <v/>
      </c>
      <c r="AQ16" s="87" t="str">
        <f t="shared" si="4"/>
        <v/>
      </c>
      <c r="AR16" s="87" t="str">
        <f t="shared" si="5"/>
        <v/>
      </c>
      <c r="AS16" s="87" t="str">
        <f t="shared" si="6"/>
        <v/>
      </c>
      <c r="AT16" s="87" t="str">
        <f t="shared" si="7"/>
        <v/>
      </c>
      <c r="AU16" s="87" t="str">
        <f t="shared" si="8"/>
        <v/>
      </c>
      <c r="AV16" s="87" t="str">
        <f t="shared" si="9"/>
        <v/>
      </c>
      <c r="AW16" s="87" t="str">
        <f t="shared" si="10"/>
        <v/>
      </c>
      <c r="AX16" s="87" t="str">
        <f t="shared" si="11"/>
        <v/>
      </c>
      <c r="AY16" s="87" t="str">
        <f t="shared" si="12"/>
        <v/>
      </c>
      <c r="AZ16" s="87" t="str">
        <f t="shared" si="13"/>
        <v/>
      </c>
      <c r="BA16" s="87" t="str">
        <f t="shared" si="14"/>
        <v/>
      </c>
      <c r="BB16" s="90" t="str">
        <f t="shared" si="20"/>
        <v/>
      </c>
      <c r="BE16" s="87" t="str">
        <f t="shared" si="51"/>
        <v/>
      </c>
      <c r="BF16" s="87" t="str">
        <f t="shared" si="15"/>
        <v/>
      </c>
      <c r="BG16" s="87" t="str">
        <f t="shared" si="16"/>
        <v/>
      </c>
      <c r="BH16" s="87" t="str">
        <f t="shared" si="21"/>
        <v/>
      </c>
      <c r="BI16" s="87" t="str">
        <f t="shared" si="17"/>
        <v/>
      </c>
      <c r="BO16" s="87" t="str">
        <f t="shared" si="22"/>
        <v>〇</v>
      </c>
      <c r="BP16" s="87" t="str">
        <f t="shared" si="23"/>
        <v>〇</v>
      </c>
      <c r="BQ16" s="87" t="str">
        <f t="shared" si="24"/>
        <v>〇</v>
      </c>
      <c r="BR16" s="87" t="str">
        <f t="shared" si="25"/>
        <v>〇</v>
      </c>
      <c r="BS16" s="87" t="str">
        <f t="shared" si="26"/>
        <v>〇</v>
      </c>
      <c r="BT16" s="87" t="str">
        <f t="shared" si="27"/>
        <v>〇</v>
      </c>
      <c r="BU16" s="87" t="str">
        <f t="shared" si="28"/>
        <v>〇</v>
      </c>
      <c r="BV16" s="87" t="str">
        <f t="shared" si="29"/>
        <v>〇</v>
      </c>
      <c r="BW16" s="87" t="str">
        <f t="shared" si="30"/>
        <v>〇</v>
      </c>
      <c r="BX16" s="87" t="str">
        <f t="shared" si="31"/>
        <v>〇</v>
      </c>
      <c r="BY16" s="87" t="str">
        <f t="shared" si="32"/>
        <v>〇</v>
      </c>
      <c r="BZ16" s="87" t="str">
        <f t="shared" si="33"/>
        <v>〇</v>
      </c>
      <c r="CA16" s="87" t="str">
        <f t="shared" si="34"/>
        <v>〇</v>
      </c>
      <c r="CB16" s="87" t="str">
        <f t="shared" si="35"/>
        <v>〇</v>
      </c>
      <c r="CC16" s="87" t="str">
        <f t="shared" si="36"/>
        <v>〇</v>
      </c>
      <c r="CD16" s="87" t="str">
        <f t="shared" si="37"/>
        <v>〇</v>
      </c>
      <c r="CE16" s="87" t="str">
        <f t="shared" si="38"/>
        <v>〇</v>
      </c>
      <c r="CF16" s="87" t="str">
        <f t="shared" si="39"/>
        <v>〇</v>
      </c>
      <c r="CG16" s="87" t="str">
        <f t="shared" si="40"/>
        <v>〇</v>
      </c>
      <c r="CH16" s="87" t="str">
        <f t="shared" si="41"/>
        <v>〇</v>
      </c>
      <c r="CI16" s="87" t="str">
        <f t="shared" si="42"/>
        <v>〇</v>
      </c>
      <c r="CJ16" s="87" t="str">
        <f t="shared" si="43"/>
        <v>〇</v>
      </c>
      <c r="CK16" s="87" t="str">
        <f t="shared" si="44"/>
        <v>〇</v>
      </c>
      <c r="CL16" s="87" t="str">
        <f t="shared" si="45"/>
        <v>〇</v>
      </c>
      <c r="CM16" s="87" t="str">
        <f t="shared" si="46"/>
        <v>〇</v>
      </c>
      <c r="CN16" s="87" t="str">
        <f t="shared" si="47"/>
        <v>〇</v>
      </c>
      <c r="CO16" s="87" t="str">
        <f t="shared" si="48"/>
        <v>〇</v>
      </c>
      <c r="CP16" s="87" t="str">
        <f t="shared" si="49"/>
        <v>〇</v>
      </c>
      <c r="CQ16" s="87" t="str">
        <f t="shared" si="50"/>
        <v>〇</v>
      </c>
      <c r="CS16" s="476"/>
      <c r="CT16" s="476"/>
      <c r="CU16" s="476"/>
      <c r="CV16" s="476"/>
    </row>
    <row r="17" spans="1:100" s="90" customFormat="1" ht="23.15" customHeight="1">
      <c r="A17" s="2">
        <v>11</v>
      </c>
      <c r="B17" s="14"/>
      <c r="C17" s="4"/>
      <c r="D17" s="5"/>
      <c r="E17" s="3"/>
      <c r="F17" s="6"/>
      <c r="G17" s="7"/>
      <c r="H17" s="8"/>
      <c r="I17" s="8"/>
      <c r="J17" s="8"/>
      <c r="K17" s="8"/>
      <c r="L17" s="8"/>
      <c r="M17" s="8"/>
      <c r="N17" s="8"/>
      <c r="O17" s="8"/>
      <c r="P17" s="8"/>
      <c r="Q17" s="9"/>
      <c r="R17" s="10"/>
      <c r="S17" s="10"/>
      <c r="T17" s="12"/>
      <c r="U17" s="11"/>
      <c r="V17" s="9"/>
      <c r="W17" s="12"/>
      <c r="X17" s="13"/>
      <c r="Y17" s="89" t="str">
        <f t="shared" si="18"/>
        <v/>
      </c>
      <c r="Z17" s="87">
        <f>IF(COUNTIF($E$7:E17,E17)=1,"",COUNTIF($E$7:E17,E17))</f>
        <v>0</v>
      </c>
      <c r="AA17" s="87" t="str">
        <f t="shared" si="1"/>
        <v/>
      </c>
      <c r="AC17" s="87" t="str">
        <f t="shared" si="19"/>
        <v/>
      </c>
      <c r="AD17" s="87" t="str">
        <f t="shared" si="2"/>
        <v/>
      </c>
      <c r="AE17" s="87" t="str">
        <f t="shared" si="2"/>
        <v/>
      </c>
      <c r="AF17" s="87" t="str">
        <f t="shared" si="2"/>
        <v/>
      </c>
      <c r="AG17" s="87" t="str">
        <f t="shared" si="2"/>
        <v/>
      </c>
      <c r="AH17" s="87" t="str">
        <f t="shared" si="2"/>
        <v/>
      </c>
      <c r="AI17" s="87" t="str">
        <f t="shared" si="2"/>
        <v/>
      </c>
      <c r="AJ17" s="87" t="str">
        <f t="shared" si="2"/>
        <v/>
      </c>
      <c r="AK17" s="87" t="str">
        <f t="shared" si="2"/>
        <v/>
      </c>
      <c r="AL17" s="87" t="str">
        <f t="shared" si="2"/>
        <v/>
      </c>
      <c r="AM17" s="87" t="str">
        <f t="shared" si="2"/>
        <v/>
      </c>
      <c r="AN17" s="87" t="str">
        <f t="shared" si="2"/>
        <v/>
      </c>
      <c r="AP17" s="87" t="str">
        <f t="shared" si="3"/>
        <v/>
      </c>
      <c r="AQ17" s="87" t="str">
        <f t="shared" si="4"/>
        <v/>
      </c>
      <c r="AR17" s="87" t="str">
        <f t="shared" si="5"/>
        <v/>
      </c>
      <c r="AS17" s="87" t="str">
        <f t="shared" si="6"/>
        <v/>
      </c>
      <c r="AT17" s="87" t="str">
        <f t="shared" si="7"/>
        <v/>
      </c>
      <c r="AU17" s="87" t="str">
        <f t="shared" si="8"/>
        <v/>
      </c>
      <c r="AV17" s="87" t="str">
        <f t="shared" si="9"/>
        <v/>
      </c>
      <c r="AW17" s="87" t="str">
        <f t="shared" si="10"/>
        <v/>
      </c>
      <c r="AX17" s="87" t="str">
        <f t="shared" si="11"/>
        <v/>
      </c>
      <c r="AY17" s="87" t="str">
        <f t="shared" si="12"/>
        <v/>
      </c>
      <c r="AZ17" s="87" t="str">
        <f t="shared" si="13"/>
        <v/>
      </c>
      <c r="BA17" s="87" t="str">
        <f t="shared" si="14"/>
        <v/>
      </c>
      <c r="BB17" s="90" t="str">
        <f t="shared" si="20"/>
        <v/>
      </c>
      <c r="BE17" s="87" t="str">
        <f t="shared" si="51"/>
        <v/>
      </c>
      <c r="BF17" s="87" t="str">
        <f t="shared" si="15"/>
        <v/>
      </c>
      <c r="BG17" s="87" t="str">
        <f t="shared" si="16"/>
        <v/>
      </c>
      <c r="BH17" s="87" t="str">
        <f t="shared" si="21"/>
        <v/>
      </c>
      <c r="BI17" s="87" t="str">
        <f t="shared" si="17"/>
        <v/>
      </c>
      <c r="BO17" s="87" t="str">
        <f t="shared" si="22"/>
        <v>〇</v>
      </c>
      <c r="BP17" s="87" t="str">
        <f t="shared" si="23"/>
        <v>〇</v>
      </c>
      <c r="BQ17" s="87" t="str">
        <f t="shared" si="24"/>
        <v>〇</v>
      </c>
      <c r="BR17" s="87" t="str">
        <f t="shared" si="25"/>
        <v>〇</v>
      </c>
      <c r="BS17" s="87" t="str">
        <f t="shared" si="26"/>
        <v>〇</v>
      </c>
      <c r="BT17" s="87" t="str">
        <f t="shared" si="27"/>
        <v>〇</v>
      </c>
      <c r="BU17" s="87" t="str">
        <f t="shared" si="28"/>
        <v>〇</v>
      </c>
      <c r="BV17" s="87" t="str">
        <f t="shared" si="29"/>
        <v>〇</v>
      </c>
      <c r="BW17" s="87" t="str">
        <f t="shared" si="30"/>
        <v>〇</v>
      </c>
      <c r="BX17" s="87" t="str">
        <f t="shared" si="31"/>
        <v>〇</v>
      </c>
      <c r="BY17" s="87" t="str">
        <f t="shared" si="32"/>
        <v>〇</v>
      </c>
      <c r="BZ17" s="87" t="str">
        <f t="shared" si="33"/>
        <v>〇</v>
      </c>
      <c r="CA17" s="87" t="str">
        <f t="shared" si="34"/>
        <v>〇</v>
      </c>
      <c r="CB17" s="87" t="str">
        <f t="shared" si="35"/>
        <v>〇</v>
      </c>
      <c r="CC17" s="87" t="str">
        <f t="shared" si="36"/>
        <v>〇</v>
      </c>
      <c r="CD17" s="87" t="str">
        <f t="shared" si="37"/>
        <v>〇</v>
      </c>
      <c r="CE17" s="87" t="str">
        <f t="shared" si="38"/>
        <v>〇</v>
      </c>
      <c r="CF17" s="87" t="str">
        <f t="shared" si="39"/>
        <v>〇</v>
      </c>
      <c r="CG17" s="87" t="str">
        <f t="shared" si="40"/>
        <v>〇</v>
      </c>
      <c r="CH17" s="87" t="str">
        <f t="shared" si="41"/>
        <v>〇</v>
      </c>
      <c r="CI17" s="87" t="str">
        <f t="shared" si="42"/>
        <v>〇</v>
      </c>
      <c r="CJ17" s="87" t="str">
        <f t="shared" si="43"/>
        <v>〇</v>
      </c>
      <c r="CK17" s="87" t="str">
        <f t="shared" si="44"/>
        <v>〇</v>
      </c>
      <c r="CL17" s="87" t="str">
        <f t="shared" si="45"/>
        <v>〇</v>
      </c>
      <c r="CM17" s="87" t="str">
        <f t="shared" si="46"/>
        <v>〇</v>
      </c>
      <c r="CN17" s="87" t="str">
        <f t="shared" si="47"/>
        <v>〇</v>
      </c>
      <c r="CO17" s="87" t="str">
        <f t="shared" si="48"/>
        <v>〇</v>
      </c>
      <c r="CP17" s="87" t="str">
        <f t="shared" si="49"/>
        <v>〇</v>
      </c>
      <c r="CQ17" s="87" t="str">
        <f t="shared" si="50"/>
        <v>〇</v>
      </c>
      <c r="CS17" s="476"/>
      <c r="CT17" s="476"/>
      <c r="CU17" s="476"/>
      <c r="CV17" s="476"/>
    </row>
    <row r="18" spans="1:100" s="90" customFormat="1" ht="23.15" customHeight="1">
      <c r="A18" s="2">
        <v>12</v>
      </c>
      <c r="B18" s="14"/>
      <c r="C18" s="4"/>
      <c r="D18" s="5"/>
      <c r="E18" s="3"/>
      <c r="F18" s="6"/>
      <c r="G18" s="7"/>
      <c r="H18" s="8"/>
      <c r="I18" s="8"/>
      <c r="J18" s="8"/>
      <c r="K18" s="8"/>
      <c r="L18" s="8"/>
      <c r="M18" s="8"/>
      <c r="N18" s="8"/>
      <c r="O18" s="8"/>
      <c r="P18" s="8"/>
      <c r="Q18" s="9"/>
      <c r="R18" s="10"/>
      <c r="S18" s="10"/>
      <c r="T18" s="12"/>
      <c r="U18" s="11"/>
      <c r="V18" s="9"/>
      <c r="W18" s="12"/>
      <c r="X18" s="13"/>
      <c r="Y18" s="89" t="str">
        <f t="shared" si="18"/>
        <v/>
      </c>
      <c r="Z18" s="87">
        <f>IF(COUNTIF($E$7:E18,E18)=1,"",COUNTIF($E$7:E18,E18))</f>
        <v>0</v>
      </c>
      <c r="AA18" s="87" t="str">
        <f t="shared" si="1"/>
        <v/>
      </c>
      <c r="AC18" s="87" t="str">
        <f t="shared" si="19"/>
        <v/>
      </c>
      <c r="AD18" s="87" t="str">
        <f t="shared" si="2"/>
        <v/>
      </c>
      <c r="AE18" s="87" t="str">
        <f t="shared" si="2"/>
        <v/>
      </c>
      <c r="AF18" s="87" t="str">
        <f t="shared" si="2"/>
        <v/>
      </c>
      <c r="AG18" s="87" t="str">
        <f t="shared" si="2"/>
        <v/>
      </c>
      <c r="AH18" s="87" t="str">
        <f t="shared" si="2"/>
        <v/>
      </c>
      <c r="AI18" s="87" t="str">
        <f t="shared" si="2"/>
        <v/>
      </c>
      <c r="AJ18" s="87" t="str">
        <f t="shared" si="2"/>
        <v/>
      </c>
      <c r="AK18" s="87" t="str">
        <f t="shared" si="2"/>
        <v/>
      </c>
      <c r="AL18" s="87" t="str">
        <f t="shared" si="2"/>
        <v/>
      </c>
      <c r="AM18" s="87" t="str">
        <f t="shared" si="2"/>
        <v/>
      </c>
      <c r="AN18" s="87" t="str">
        <f t="shared" si="2"/>
        <v/>
      </c>
      <c r="AP18" s="87" t="str">
        <f t="shared" si="3"/>
        <v/>
      </c>
      <c r="AQ18" s="87" t="str">
        <f t="shared" si="4"/>
        <v/>
      </c>
      <c r="AR18" s="87" t="str">
        <f t="shared" si="5"/>
        <v/>
      </c>
      <c r="AS18" s="87" t="str">
        <f t="shared" si="6"/>
        <v/>
      </c>
      <c r="AT18" s="87" t="str">
        <f t="shared" si="7"/>
        <v/>
      </c>
      <c r="AU18" s="87" t="str">
        <f t="shared" si="8"/>
        <v/>
      </c>
      <c r="AV18" s="87" t="str">
        <f t="shared" si="9"/>
        <v/>
      </c>
      <c r="AW18" s="87" t="str">
        <f t="shared" si="10"/>
        <v/>
      </c>
      <c r="AX18" s="87" t="str">
        <f t="shared" si="11"/>
        <v/>
      </c>
      <c r="AY18" s="87" t="str">
        <f t="shared" si="12"/>
        <v/>
      </c>
      <c r="AZ18" s="87" t="str">
        <f t="shared" si="13"/>
        <v/>
      </c>
      <c r="BA18" s="87" t="str">
        <f t="shared" si="14"/>
        <v/>
      </c>
      <c r="BB18" s="90" t="str">
        <f t="shared" si="20"/>
        <v/>
      </c>
      <c r="BE18" s="87" t="str">
        <f t="shared" si="51"/>
        <v/>
      </c>
      <c r="BF18" s="87" t="str">
        <f t="shared" si="15"/>
        <v/>
      </c>
      <c r="BG18" s="87" t="str">
        <f t="shared" si="16"/>
        <v/>
      </c>
      <c r="BH18" s="87" t="str">
        <f t="shared" si="21"/>
        <v/>
      </c>
      <c r="BI18" s="87" t="str">
        <f t="shared" si="17"/>
        <v/>
      </c>
      <c r="BO18" s="87" t="str">
        <f t="shared" si="22"/>
        <v>〇</v>
      </c>
      <c r="BP18" s="87" t="str">
        <f t="shared" si="23"/>
        <v>〇</v>
      </c>
      <c r="BQ18" s="87" t="str">
        <f t="shared" si="24"/>
        <v>〇</v>
      </c>
      <c r="BR18" s="87" t="str">
        <f t="shared" si="25"/>
        <v>〇</v>
      </c>
      <c r="BS18" s="87" t="str">
        <f t="shared" si="26"/>
        <v>〇</v>
      </c>
      <c r="BT18" s="87" t="str">
        <f t="shared" si="27"/>
        <v>〇</v>
      </c>
      <c r="BU18" s="87" t="str">
        <f t="shared" si="28"/>
        <v>〇</v>
      </c>
      <c r="BV18" s="87" t="str">
        <f t="shared" si="29"/>
        <v>〇</v>
      </c>
      <c r="BW18" s="87" t="str">
        <f t="shared" si="30"/>
        <v>〇</v>
      </c>
      <c r="BX18" s="87" t="str">
        <f t="shared" si="31"/>
        <v>〇</v>
      </c>
      <c r="BY18" s="87" t="str">
        <f t="shared" si="32"/>
        <v>〇</v>
      </c>
      <c r="BZ18" s="87" t="str">
        <f t="shared" si="33"/>
        <v>〇</v>
      </c>
      <c r="CA18" s="87" t="str">
        <f t="shared" si="34"/>
        <v>〇</v>
      </c>
      <c r="CB18" s="87" t="str">
        <f t="shared" si="35"/>
        <v>〇</v>
      </c>
      <c r="CC18" s="87" t="str">
        <f t="shared" si="36"/>
        <v>〇</v>
      </c>
      <c r="CD18" s="87" t="str">
        <f t="shared" si="37"/>
        <v>〇</v>
      </c>
      <c r="CE18" s="87" t="str">
        <f t="shared" si="38"/>
        <v>〇</v>
      </c>
      <c r="CF18" s="87" t="str">
        <f t="shared" si="39"/>
        <v>〇</v>
      </c>
      <c r="CG18" s="87" t="str">
        <f t="shared" si="40"/>
        <v>〇</v>
      </c>
      <c r="CH18" s="87" t="str">
        <f t="shared" si="41"/>
        <v>〇</v>
      </c>
      <c r="CI18" s="87" t="str">
        <f t="shared" si="42"/>
        <v>〇</v>
      </c>
      <c r="CJ18" s="87" t="str">
        <f t="shared" si="43"/>
        <v>〇</v>
      </c>
      <c r="CK18" s="87" t="str">
        <f t="shared" si="44"/>
        <v>〇</v>
      </c>
      <c r="CL18" s="87" t="str">
        <f t="shared" si="45"/>
        <v>〇</v>
      </c>
      <c r="CM18" s="87" t="str">
        <f t="shared" si="46"/>
        <v>〇</v>
      </c>
      <c r="CN18" s="87" t="str">
        <f t="shared" si="47"/>
        <v>〇</v>
      </c>
      <c r="CO18" s="87" t="str">
        <f t="shared" si="48"/>
        <v>〇</v>
      </c>
      <c r="CP18" s="87" t="str">
        <f t="shared" si="49"/>
        <v>〇</v>
      </c>
      <c r="CQ18" s="87" t="str">
        <f t="shared" si="50"/>
        <v>〇</v>
      </c>
      <c r="CS18" s="476"/>
      <c r="CT18" s="476"/>
      <c r="CU18" s="476"/>
      <c r="CV18" s="476"/>
    </row>
    <row r="19" spans="1:100" s="90" customFormat="1" ht="23.15" customHeight="1">
      <c r="A19" s="2">
        <v>13</v>
      </c>
      <c r="B19" s="14"/>
      <c r="C19" s="4"/>
      <c r="D19" s="5"/>
      <c r="E19" s="3"/>
      <c r="F19" s="6"/>
      <c r="G19" s="7"/>
      <c r="H19" s="8"/>
      <c r="I19" s="8"/>
      <c r="J19" s="8"/>
      <c r="K19" s="8"/>
      <c r="L19" s="8"/>
      <c r="M19" s="8"/>
      <c r="N19" s="8"/>
      <c r="O19" s="8"/>
      <c r="P19" s="8"/>
      <c r="Q19" s="9"/>
      <c r="R19" s="10"/>
      <c r="S19" s="11"/>
      <c r="T19" s="12"/>
      <c r="U19" s="11"/>
      <c r="V19" s="9"/>
      <c r="W19" s="12"/>
      <c r="X19" s="13"/>
      <c r="Y19" s="89" t="str">
        <f t="shared" si="18"/>
        <v/>
      </c>
      <c r="Z19" s="87">
        <f>IF(COUNTIF($E$7:E19,E19)=1,"",COUNTIF($E$7:E19,E19))</f>
        <v>0</v>
      </c>
      <c r="AA19" s="87" t="str">
        <f t="shared" si="1"/>
        <v/>
      </c>
      <c r="AC19" s="87" t="str">
        <f t="shared" si="19"/>
        <v/>
      </c>
      <c r="AD19" s="87" t="str">
        <f t="shared" si="2"/>
        <v/>
      </c>
      <c r="AE19" s="87" t="str">
        <f t="shared" si="2"/>
        <v/>
      </c>
      <c r="AF19" s="87" t="str">
        <f t="shared" si="2"/>
        <v/>
      </c>
      <c r="AG19" s="87" t="str">
        <f t="shared" si="2"/>
        <v/>
      </c>
      <c r="AH19" s="87" t="str">
        <f t="shared" si="2"/>
        <v/>
      </c>
      <c r="AI19" s="87" t="str">
        <f t="shared" si="2"/>
        <v/>
      </c>
      <c r="AJ19" s="87" t="str">
        <f t="shared" si="2"/>
        <v/>
      </c>
      <c r="AK19" s="87" t="str">
        <f t="shared" si="2"/>
        <v/>
      </c>
      <c r="AL19" s="87" t="str">
        <f t="shared" si="2"/>
        <v/>
      </c>
      <c r="AM19" s="87" t="str">
        <f t="shared" si="2"/>
        <v/>
      </c>
      <c r="AN19" s="87" t="str">
        <f t="shared" si="2"/>
        <v/>
      </c>
      <c r="AP19" s="87" t="str">
        <f t="shared" si="3"/>
        <v/>
      </c>
      <c r="AQ19" s="87" t="str">
        <f t="shared" si="4"/>
        <v/>
      </c>
      <c r="AR19" s="87" t="str">
        <f t="shared" si="5"/>
        <v/>
      </c>
      <c r="AS19" s="87" t="str">
        <f t="shared" si="6"/>
        <v/>
      </c>
      <c r="AT19" s="87" t="str">
        <f t="shared" si="7"/>
        <v/>
      </c>
      <c r="AU19" s="87" t="str">
        <f t="shared" si="8"/>
        <v/>
      </c>
      <c r="AV19" s="87" t="str">
        <f t="shared" si="9"/>
        <v/>
      </c>
      <c r="AW19" s="87" t="str">
        <f t="shared" si="10"/>
        <v/>
      </c>
      <c r="AX19" s="87" t="str">
        <f t="shared" si="11"/>
        <v/>
      </c>
      <c r="AY19" s="87" t="str">
        <f t="shared" si="12"/>
        <v/>
      </c>
      <c r="AZ19" s="87" t="str">
        <f t="shared" si="13"/>
        <v/>
      </c>
      <c r="BA19" s="87" t="str">
        <f t="shared" si="14"/>
        <v/>
      </c>
      <c r="BB19" s="90" t="str">
        <f t="shared" si="20"/>
        <v/>
      </c>
      <c r="BE19" s="87" t="str">
        <f t="shared" si="51"/>
        <v/>
      </c>
      <c r="BF19" s="87" t="str">
        <f t="shared" si="15"/>
        <v/>
      </c>
      <c r="BG19" s="87" t="str">
        <f t="shared" si="16"/>
        <v/>
      </c>
      <c r="BH19" s="87" t="str">
        <f t="shared" si="21"/>
        <v/>
      </c>
      <c r="BI19" s="87" t="str">
        <f t="shared" si="17"/>
        <v/>
      </c>
      <c r="BO19" s="87" t="str">
        <f t="shared" si="22"/>
        <v>〇</v>
      </c>
      <c r="BP19" s="87" t="str">
        <f t="shared" si="23"/>
        <v>〇</v>
      </c>
      <c r="BQ19" s="87" t="str">
        <f t="shared" si="24"/>
        <v>〇</v>
      </c>
      <c r="BR19" s="87" t="str">
        <f t="shared" si="25"/>
        <v>〇</v>
      </c>
      <c r="BS19" s="87" t="str">
        <f t="shared" si="26"/>
        <v>〇</v>
      </c>
      <c r="BT19" s="87" t="str">
        <f t="shared" si="27"/>
        <v>〇</v>
      </c>
      <c r="BU19" s="87" t="str">
        <f t="shared" si="28"/>
        <v>〇</v>
      </c>
      <c r="BV19" s="87" t="str">
        <f t="shared" si="29"/>
        <v>〇</v>
      </c>
      <c r="BW19" s="87" t="str">
        <f t="shared" si="30"/>
        <v>〇</v>
      </c>
      <c r="BX19" s="87" t="str">
        <f t="shared" si="31"/>
        <v>〇</v>
      </c>
      <c r="BY19" s="87" t="str">
        <f t="shared" si="32"/>
        <v>〇</v>
      </c>
      <c r="BZ19" s="87" t="str">
        <f t="shared" si="33"/>
        <v>〇</v>
      </c>
      <c r="CA19" s="87" t="str">
        <f t="shared" si="34"/>
        <v>〇</v>
      </c>
      <c r="CB19" s="87" t="str">
        <f t="shared" si="35"/>
        <v>〇</v>
      </c>
      <c r="CC19" s="87" t="str">
        <f t="shared" si="36"/>
        <v>〇</v>
      </c>
      <c r="CD19" s="87" t="str">
        <f t="shared" si="37"/>
        <v>〇</v>
      </c>
      <c r="CE19" s="87" t="str">
        <f t="shared" si="38"/>
        <v>〇</v>
      </c>
      <c r="CF19" s="87" t="str">
        <f t="shared" si="39"/>
        <v>〇</v>
      </c>
      <c r="CG19" s="87" t="str">
        <f t="shared" si="40"/>
        <v>〇</v>
      </c>
      <c r="CH19" s="87" t="str">
        <f t="shared" si="41"/>
        <v>〇</v>
      </c>
      <c r="CI19" s="87" t="str">
        <f t="shared" si="42"/>
        <v>〇</v>
      </c>
      <c r="CJ19" s="87" t="str">
        <f t="shared" si="43"/>
        <v>〇</v>
      </c>
      <c r="CK19" s="87" t="str">
        <f t="shared" si="44"/>
        <v>〇</v>
      </c>
      <c r="CL19" s="87" t="str">
        <f t="shared" si="45"/>
        <v>〇</v>
      </c>
      <c r="CM19" s="87" t="str">
        <f t="shared" si="46"/>
        <v>〇</v>
      </c>
      <c r="CN19" s="87" t="str">
        <f t="shared" si="47"/>
        <v>〇</v>
      </c>
      <c r="CO19" s="87" t="str">
        <f t="shared" si="48"/>
        <v>〇</v>
      </c>
      <c r="CP19" s="87" t="str">
        <f t="shared" si="49"/>
        <v>〇</v>
      </c>
      <c r="CQ19" s="87" t="str">
        <f t="shared" si="50"/>
        <v>〇</v>
      </c>
      <c r="CS19" s="476"/>
      <c r="CT19" s="476"/>
      <c r="CU19" s="476"/>
      <c r="CV19" s="476"/>
    </row>
    <row r="20" spans="1:100" s="90" customFormat="1" ht="23.15" customHeight="1">
      <c r="A20" s="2">
        <v>14</v>
      </c>
      <c r="B20" s="14"/>
      <c r="C20" s="4"/>
      <c r="D20" s="5"/>
      <c r="E20" s="3"/>
      <c r="F20" s="6"/>
      <c r="G20" s="7"/>
      <c r="H20" s="8"/>
      <c r="I20" s="8"/>
      <c r="J20" s="8"/>
      <c r="K20" s="8"/>
      <c r="L20" s="8"/>
      <c r="M20" s="8"/>
      <c r="N20" s="8"/>
      <c r="O20" s="8"/>
      <c r="P20" s="8"/>
      <c r="Q20" s="9"/>
      <c r="R20" s="10"/>
      <c r="S20" s="10"/>
      <c r="T20" s="12"/>
      <c r="U20" s="11"/>
      <c r="V20" s="9"/>
      <c r="W20" s="12"/>
      <c r="X20" s="13"/>
      <c r="Y20" s="89" t="str">
        <f t="shared" si="18"/>
        <v/>
      </c>
      <c r="Z20" s="87">
        <f>IF(COUNTIF($E$7:E20,E20)=1,"",COUNTIF($E$7:E20,E20))</f>
        <v>0</v>
      </c>
      <c r="AA20" s="87" t="str">
        <f t="shared" si="1"/>
        <v/>
      </c>
      <c r="AC20" s="87" t="str">
        <f t="shared" si="19"/>
        <v/>
      </c>
      <c r="AD20" s="87" t="str">
        <f t="shared" si="2"/>
        <v/>
      </c>
      <c r="AE20" s="87" t="str">
        <f t="shared" si="2"/>
        <v/>
      </c>
      <c r="AF20" s="87" t="str">
        <f t="shared" si="2"/>
        <v/>
      </c>
      <c r="AG20" s="87" t="str">
        <f t="shared" si="2"/>
        <v/>
      </c>
      <c r="AH20" s="87" t="str">
        <f t="shared" si="2"/>
        <v/>
      </c>
      <c r="AI20" s="87" t="str">
        <f t="shared" si="2"/>
        <v/>
      </c>
      <c r="AJ20" s="87" t="str">
        <f t="shared" si="2"/>
        <v/>
      </c>
      <c r="AK20" s="87" t="str">
        <f t="shared" si="2"/>
        <v/>
      </c>
      <c r="AL20" s="87" t="str">
        <f t="shared" si="2"/>
        <v/>
      </c>
      <c r="AM20" s="87" t="str">
        <f t="shared" si="2"/>
        <v/>
      </c>
      <c r="AN20" s="87" t="str">
        <f t="shared" si="2"/>
        <v/>
      </c>
      <c r="AP20" s="87" t="str">
        <f t="shared" si="3"/>
        <v/>
      </c>
      <c r="AQ20" s="87" t="str">
        <f t="shared" si="4"/>
        <v/>
      </c>
      <c r="AR20" s="87" t="str">
        <f t="shared" si="5"/>
        <v/>
      </c>
      <c r="AS20" s="87" t="str">
        <f t="shared" si="6"/>
        <v/>
      </c>
      <c r="AT20" s="87" t="str">
        <f t="shared" si="7"/>
        <v/>
      </c>
      <c r="AU20" s="87" t="str">
        <f t="shared" si="8"/>
        <v/>
      </c>
      <c r="AV20" s="87" t="str">
        <f t="shared" si="9"/>
        <v/>
      </c>
      <c r="AW20" s="87" t="str">
        <f t="shared" si="10"/>
        <v/>
      </c>
      <c r="AX20" s="87" t="str">
        <f t="shared" si="11"/>
        <v/>
      </c>
      <c r="AY20" s="87" t="str">
        <f t="shared" si="12"/>
        <v/>
      </c>
      <c r="AZ20" s="87" t="str">
        <f t="shared" si="13"/>
        <v/>
      </c>
      <c r="BA20" s="87" t="str">
        <f t="shared" si="14"/>
        <v/>
      </c>
      <c r="BB20" s="90" t="str">
        <f t="shared" si="20"/>
        <v/>
      </c>
      <c r="BE20" s="87" t="str">
        <f t="shared" si="51"/>
        <v/>
      </c>
      <c r="BF20" s="87" t="str">
        <f t="shared" si="15"/>
        <v/>
      </c>
      <c r="BG20" s="87" t="str">
        <f t="shared" si="16"/>
        <v/>
      </c>
      <c r="BH20" s="87" t="str">
        <f t="shared" si="21"/>
        <v/>
      </c>
      <c r="BI20" s="87" t="str">
        <f t="shared" si="17"/>
        <v/>
      </c>
      <c r="BO20" s="87" t="str">
        <f t="shared" si="22"/>
        <v>〇</v>
      </c>
      <c r="BP20" s="87" t="str">
        <f t="shared" si="23"/>
        <v>〇</v>
      </c>
      <c r="BQ20" s="87" t="str">
        <f t="shared" si="24"/>
        <v>〇</v>
      </c>
      <c r="BR20" s="87" t="str">
        <f t="shared" si="25"/>
        <v>〇</v>
      </c>
      <c r="BS20" s="87" t="str">
        <f t="shared" si="26"/>
        <v>〇</v>
      </c>
      <c r="BT20" s="87" t="str">
        <f t="shared" si="27"/>
        <v>〇</v>
      </c>
      <c r="BU20" s="87" t="str">
        <f t="shared" si="28"/>
        <v>〇</v>
      </c>
      <c r="BV20" s="87" t="str">
        <f t="shared" si="29"/>
        <v>〇</v>
      </c>
      <c r="BW20" s="87" t="str">
        <f t="shared" si="30"/>
        <v>〇</v>
      </c>
      <c r="BX20" s="87" t="str">
        <f t="shared" si="31"/>
        <v>〇</v>
      </c>
      <c r="BY20" s="87" t="str">
        <f t="shared" si="32"/>
        <v>〇</v>
      </c>
      <c r="BZ20" s="87" t="str">
        <f t="shared" si="33"/>
        <v>〇</v>
      </c>
      <c r="CA20" s="87" t="str">
        <f t="shared" si="34"/>
        <v>〇</v>
      </c>
      <c r="CB20" s="87" t="str">
        <f t="shared" si="35"/>
        <v>〇</v>
      </c>
      <c r="CC20" s="87" t="str">
        <f t="shared" si="36"/>
        <v>〇</v>
      </c>
      <c r="CD20" s="87" t="str">
        <f t="shared" si="37"/>
        <v>〇</v>
      </c>
      <c r="CE20" s="87" t="str">
        <f t="shared" si="38"/>
        <v>〇</v>
      </c>
      <c r="CF20" s="87" t="str">
        <f t="shared" si="39"/>
        <v>〇</v>
      </c>
      <c r="CG20" s="87" t="str">
        <f t="shared" si="40"/>
        <v>〇</v>
      </c>
      <c r="CH20" s="87" t="str">
        <f t="shared" si="41"/>
        <v>〇</v>
      </c>
      <c r="CI20" s="87" t="str">
        <f t="shared" si="42"/>
        <v>〇</v>
      </c>
      <c r="CJ20" s="87" t="str">
        <f t="shared" si="43"/>
        <v>〇</v>
      </c>
      <c r="CK20" s="87" t="str">
        <f t="shared" si="44"/>
        <v>〇</v>
      </c>
      <c r="CL20" s="87" t="str">
        <f t="shared" si="45"/>
        <v>〇</v>
      </c>
      <c r="CM20" s="87" t="str">
        <f t="shared" si="46"/>
        <v>〇</v>
      </c>
      <c r="CN20" s="87" t="str">
        <f t="shared" si="47"/>
        <v>〇</v>
      </c>
      <c r="CO20" s="87" t="str">
        <f t="shared" si="48"/>
        <v>〇</v>
      </c>
      <c r="CP20" s="87" t="str">
        <f t="shared" si="49"/>
        <v>〇</v>
      </c>
      <c r="CQ20" s="87" t="str">
        <f t="shared" si="50"/>
        <v>〇</v>
      </c>
      <c r="CS20" s="476"/>
      <c r="CT20" s="476"/>
      <c r="CU20" s="476"/>
      <c r="CV20" s="476"/>
    </row>
    <row r="21" spans="1:100" s="90" customFormat="1" ht="23.15" customHeight="1">
      <c r="A21" s="2">
        <v>15</v>
      </c>
      <c r="B21" s="14"/>
      <c r="C21" s="4"/>
      <c r="D21" s="5"/>
      <c r="E21" s="3"/>
      <c r="F21" s="6"/>
      <c r="G21" s="7"/>
      <c r="H21" s="8"/>
      <c r="I21" s="8"/>
      <c r="J21" s="8"/>
      <c r="K21" s="8"/>
      <c r="L21" s="8"/>
      <c r="M21" s="8"/>
      <c r="N21" s="8"/>
      <c r="O21" s="8"/>
      <c r="P21" s="8"/>
      <c r="Q21" s="9"/>
      <c r="R21" s="10"/>
      <c r="S21" s="10"/>
      <c r="T21" s="12"/>
      <c r="U21" s="11"/>
      <c r="V21" s="9"/>
      <c r="W21" s="12"/>
      <c r="X21" s="13"/>
      <c r="Y21" s="89" t="str">
        <f t="shared" si="18"/>
        <v/>
      </c>
      <c r="Z21" s="87">
        <f>IF(COUNTIF($E$7:E21,E21)=1,"",COUNTIF($E$7:E21,E21))</f>
        <v>0</v>
      </c>
      <c r="AA21" s="87" t="str">
        <f t="shared" si="1"/>
        <v/>
      </c>
      <c r="AC21" s="87" t="str">
        <f t="shared" si="19"/>
        <v/>
      </c>
      <c r="AD21" s="87" t="str">
        <f t="shared" si="2"/>
        <v/>
      </c>
      <c r="AE21" s="87" t="str">
        <f t="shared" si="2"/>
        <v/>
      </c>
      <c r="AF21" s="87" t="str">
        <f t="shared" si="2"/>
        <v/>
      </c>
      <c r="AG21" s="87" t="str">
        <f t="shared" si="2"/>
        <v/>
      </c>
      <c r="AH21" s="87" t="str">
        <f t="shared" si="2"/>
        <v/>
      </c>
      <c r="AI21" s="87" t="str">
        <f t="shared" si="2"/>
        <v/>
      </c>
      <c r="AJ21" s="87" t="str">
        <f t="shared" si="2"/>
        <v/>
      </c>
      <c r="AK21" s="87" t="str">
        <f t="shared" si="2"/>
        <v/>
      </c>
      <c r="AL21" s="87" t="str">
        <f t="shared" si="2"/>
        <v/>
      </c>
      <c r="AM21" s="87" t="str">
        <f t="shared" si="2"/>
        <v/>
      </c>
      <c r="AN21" s="87" t="str">
        <f t="shared" si="2"/>
        <v/>
      </c>
      <c r="AP21" s="87" t="str">
        <f t="shared" si="3"/>
        <v/>
      </c>
      <c r="AQ21" s="87" t="str">
        <f t="shared" si="4"/>
        <v/>
      </c>
      <c r="AR21" s="87" t="str">
        <f t="shared" si="5"/>
        <v/>
      </c>
      <c r="AS21" s="87" t="str">
        <f t="shared" si="6"/>
        <v/>
      </c>
      <c r="AT21" s="87" t="str">
        <f t="shared" si="7"/>
        <v/>
      </c>
      <c r="AU21" s="87" t="str">
        <f t="shared" si="8"/>
        <v/>
      </c>
      <c r="AV21" s="87" t="str">
        <f t="shared" si="9"/>
        <v/>
      </c>
      <c r="AW21" s="87" t="str">
        <f t="shared" si="10"/>
        <v/>
      </c>
      <c r="AX21" s="87" t="str">
        <f t="shared" si="11"/>
        <v/>
      </c>
      <c r="AY21" s="87" t="str">
        <f t="shared" si="12"/>
        <v/>
      </c>
      <c r="AZ21" s="87" t="str">
        <f t="shared" si="13"/>
        <v/>
      </c>
      <c r="BA21" s="87" t="str">
        <f t="shared" si="14"/>
        <v/>
      </c>
      <c r="BB21" s="90" t="str">
        <f t="shared" si="20"/>
        <v/>
      </c>
      <c r="BE21" s="87" t="str">
        <f t="shared" si="51"/>
        <v/>
      </c>
      <c r="BF21" s="87" t="str">
        <f t="shared" si="15"/>
        <v/>
      </c>
      <c r="BG21" s="87" t="str">
        <f t="shared" si="16"/>
        <v/>
      </c>
      <c r="BH21" s="87" t="str">
        <f t="shared" si="21"/>
        <v/>
      </c>
      <c r="BI21" s="87" t="str">
        <f t="shared" si="17"/>
        <v/>
      </c>
      <c r="BO21" s="87" t="str">
        <f t="shared" si="22"/>
        <v>〇</v>
      </c>
      <c r="BP21" s="87" t="str">
        <f t="shared" si="23"/>
        <v>〇</v>
      </c>
      <c r="BQ21" s="87" t="str">
        <f t="shared" si="24"/>
        <v>〇</v>
      </c>
      <c r="BR21" s="87" t="str">
        <f t="shared" si="25"/>
        <v>〇</v>
      </c>
      <c r="BS21" s="87" t="str">
        <f t="shared" si="26"/>
        <v>〇</v>
      </c>
      <c r="BT21" s="87" t="str">
        <f t="shared" si="27"/>
        <v>〇</v>
      </c>
      <c r="BU21" s="87" t="str">
        <f t="shared" si="28"/>
        <v>〇</v>
      </c>
      <c r="BV21" s="87" t="str">
        <f t="shared" si="29"/>
        <v>〇</v>
      </c>
      <c r="BW21" s="87" t="str">
        <f t="shared" si="30"/>
        <v>〇</v>
      </c>
      <c r="BX21" s="87" t="str">
        <f t="shared" si="31"/>
        <v>〇</v>
      </c>
      <c r="BY21" s="87" t="str">
        <f t="shared" si="32"/>
        <v>〇</v>
      </c>
      <c r="BZ21" s="87" t="str">
        <f t="shared" si="33"/>
        <v>〇</v>
      </c>
      <c r="CA21" s="87" t="str">
        <f t="shared" si="34"/>
        <v>〇</v>
      </c>
      <c r="CB21" s="87" t="str">
        <f t="shared" si="35"/>
        <v>〇</v>
      </c>
      <c r="CC21" s="87" t="str">
        <f t="shared" si="36"/>
        <v>〇</v>
      </c>
      <c r="CD21" s="87" t="str">
        <f t="shared" si="37"/>
        <v>〇</v>
      </c>
      <c r="CE21" s="87" t="str">
        <f t="shared" si="38"/>
        <v>〇</v>
      </c>
      <c r="CF21" s="87" t="str">
        <f t="shared" si="39"/>
        <v>〇</v>
      </c>
      <c r="CG21" s="87" t="str">
        <f t="shared" si="40"/>
        <v>〇</v>
      </c>
      <c r="CH21" s="87" t="str">
        <f t="shared" si="41"/>
        <v>〇</v>
      </c>
      <c r="CI21" s="87" t="str">
        <f t="shared" si="42"/>
        <v>〇</v>
      </c>
      <c r="CJ21" s="87" t="str">
        <f t="shared" si="43"/>
        <v>〇</v>
      </c>
      <c r="CK21" s="87" t="str">
        <f t="shared" si="44"/>
        <v>〇</v>
      </c>
      <c r="CL21" s="87" t="str">
        <f t="shared" si="45"/>
        <v>〇</v>
      </c>
      <c r="CM21" s="87" t="str">
        <f t="shared" si="46"/>
        <v>〇</v>
      </c>
      <c r="CN21" s="87" t="str">
        <f t="shared" si="47"/>
        <v>〇</v>
      </c>
      <c r="CO21" s="87" t="str">
        <f t="shared" si="48"/>
        <v>〇</v>
      </c>
      <c r="CP21" s="87" t="str">
        <f t="shared" si="49"/>
        <v>〇</v>
      </c>
      <c r="CQ21" s="87" t="str">
        <f t="shared" si="50"/>
        <v>〇</v>
      </c>
      <c r="CS21" s="476"/>
      <c r="CT21" s="476"/>
      <c r="CU21" s="476"/>
      <c r="CV21" s="476"/>
    </row>
    <row r="22" spans="1:100" s="90" customFormat="1" ht="23.15" customHeight="1">
      <c r="A22" s="2">
        <v>16</v>
      </c>
      <c r="B22" s="14"/>
      <c r="C22" s="4"/>
      <c r="D22" s="5"/>
      <c r="E22" s="3"/>
      <c r="F22" s="6"/>
      <c r="G22" s="7"/>
      <c r="H22" s="8"/>
      <c r="I22" s="8"/>
      <c r="J22" s="8"/>
      <c r="K22" s="8"/>
      <c r="L22" s="8"/>
      <c r="M22" s="8"/>
      <c r="N22" s="8"/>
      <c r="O22" s="8"/>
      <c r="P22" s="8"/>
      <c r="Q22" s="9"/>
      <c r="R22" s="10"/>
      <c r="S22" s="10"/>
      <c r="T22" s="12"/>
      <c r="U22" s="11"/>
      <c r="V22" s="9"/>
      <c r="W22" s="12"/>
      <c r="X22" s="13"/>
      <c r="Y22" s="89" t="str">
        <f t="shared" si="18"/>
        <v/>
      </c>
      <c r="Z22" s="87">
        <f>IF(COUNTIF($E$7:E22,E22)=1,"",COUNTIF($E$7:E22,E22))</f>
        <v>0</v>
      </c>
      <c r="AA22" s="87" t="str">
        <f t="shared" si="1"/>
        <v/>
      </c>
      <c r="AC22" s="87" t="str">
        <f t="shared" si="19"/>
        <v/>
      </c>
      <c r="AD22" s="87" t="str">
        <f t="shared" si="2"/>
        <v/>
      </c>
      <c r="AE22" s="87" t="str">
        <f t="shared" si="2"/>
        <v/>
      </c>
      <c r="AF22" s="87" t="str">
        <f t="shared" si="2"/>
        <v/>
      </c>
      <c r="AG22" s="87" t="str">
        <f t="shared" si="2"/>
        <v/>
      </c>
      <c r="AH22" s="87" t="str">
        <f t="shared" si="2"/>
        <v/>
      </c>
      <c r="AI22" s="87" t="str">
        <f t="shared" si="2"/>
        <v/>
      </c>
      <c r="AJ22" s="87" t="str">
        <f t="shared" si="2"/>
        <v/>
      </c>
      <c r="AK22" s="87" t="str">
        <f t="shared" si="2"/>
        <v/>
      </c>
      <c r="AL22" s="87" t="str">
        <f t="shared" si="2"/>
        <v/>
      </c>
      <c r="AM22" s="87" t="str">
        <f t="shared" si="2"/>
        <v/>
      </c>
      <c r="AN22" s="87" t="str">
        <f t="shared" si="2"/>
        <v/>
      </c>
      <c r="AP22" s="87" t="str">
        <f t="shared" si="3"/>
        <v/>
      </c>
      <c r="AQ22" s="87" t="str">
        <f t="shared" si="4"/>
        <v/>
      </c>
      <c r="AR22" s="87" t="str">
        <f t="shared" si="5"/>
        <v/>
      </c>
      <c r="AS22" s="87" t="str">
        <f t="shared" si="6"/>
        <v/>
      </c>
      <c r="AT22" s="87" t="str">
        <f t="shared" si="7"/>
        <v/>
      </c>
      <c r="AU22" s="87" t="str">
        <f t="shared" si="8"/>
        <v/>
      </c>
      <c r="AV22" s="87" t="str">
        <f t="shared" si="9"/>
        <v/>
      </c>
      <c r="AW22" s="87" t="str">
        <f t="shared" si="10"/>
        <v/>
      </c>
      <c r="AX22" s="87" t="str">
        <f t="shared" si="11"/>
        <v/>
      </c>
      <c r="AY22" s="87" t="str">
        <f t="shared" si="12"/>
        <v/>
      </c>
      <c r="AZ22" s="87" t="str">
        <f t="shared" si="13"/>
        <v/>
      </c>
      <c r="BA22" s="87" t="str">
        <f t="shared" si="14"/>
        <v/>
      </c>
      <c r="BB22" s="90" t="str">
        <f t="shared" si="20"/>
        <v/>
      </c>
      <c r="BE22" s="87" t="str">
        <f t="shared" si="51"/>
        <v/>
      </c>
      <c r="BF22" s="87" t="str">
        <f t="shared" si="15"/>
        <v/>
      </c>
      <c r="BG22" s="87" t="str">
        <f t="shared" si="16"/>
        <v/>
      </c>
      <c r="BH22" s="87" t="str">
        <f t="shared" si="21"/>
        <v/>
      </c>
      <c r="BI22" s="87" t="str">
        <f t="shared" si="17"/>
        <v/>
      </c>
      <c r="BO22" s="87" t="str">
        <f t="shared" si="22"/>
        <v>〇</v>
      </c>
      <c r="BP22" s="87" t="str">
        <f t="shared" si="23"/>
        <v>〇</v>
      </c>
      <c r="BQ22" s="87" t="str">
        <f t="shared" si="24"/>
        <v>〇</v>
      </c>
      <c r="BR22" s="87" t="str">
        <f t="shared" si="25"/>
        <v>〇</v>
      </c>
      <c r="BS22" s="87" t="str">
        <f t="shared" si="26"/>
        <v>〇</v>
      </c>
      <c r="BT22" s="87" t="str">
        <f t="shared" si="27"/>
        <v>〇</v>
      </c>
      <c r="BU22" s="87" t="str">
        <f t="shared" si="28"/>
        <v>〇</v>
      </c>
      <c r="BV22" s="87" t="str">
        <f t="shared" si="29"/>
        <v>〇</v>
      </c>
      <c r="BW22" s="87" t="str">
        <f t="shared" si="30"/>
        <v>〇</v>
      </c>
      <c r="BX22" s="87" t="str">
        <f t="shared" si="31"/>
        <v>〇</v>
      </c>
      <c r="BY22" s="87" t="str">
        <f t="shared" si="32"/>
        <v>〇</v>
      </c>
      <c r="BZ22" s="87" t="str">
        <f t="shared" si="33"/>
        <v>〇</v>
      </c>
      <c r="CA22" s="87" t="str">
        <f t="shared" si="34"/>
        <v>〇</v>
      </c>
      <c r="CB22" s="87" t="str">
        <f t="shared" si="35"/>
        <v>〇</v>
      </c>
      <c r="CC22" s="87" t="str">
        <f t="shared" si="36"/>
        <v>〇</v>
      </c>
      <c r="CD22" s="87" t="str">
        <f t="shared" si="37"/>
        <v>〇</v>
      </c>
      <c r="CE22" s="87" t="str">
        <f t="shared" si="38"/>
        <v>〇</v>
      </c>
      <c r="CF22" s="87" t="str">
        <f t="shared" si="39"/>
        <v>〇</v>
      </c>
      <c r="CG22" s="87" t="str">
        <f t="shared" si="40"/>
        <v>〇</v>
      </c>
      <c r="CH22" s="87" t="str">
        <f t="shared" si="41"/>
        <v>〇</v>
      </c>
      <c r="CI22" s="87" t="str">
        <f t="shared" si="42"/>
        <v>〇</v>
      </c>
      <c r="CJ22" s="87" t="str">
        <f t="shared" si="43"/>
        <v>〇</v>
      </c>
      <c r="CK22" s="87" t="str">
        <f t="shared" si="44"/>
        <v>〇</v>
      </c>
      <c r="CL22" s="87" t="str">
        <f t="shared" si="45"/>
        <v>〇</v>
      </c>
      <c r="CM22" s="87" t="str">
        <f t="shared" si="46"/>
        <v>〇</v>
      </c>
      <c r="CN22" s="87" t="str">
        <f t="shared" si="47"/>
        <v>〇</v>
      </c>
      <c r="CO22" s="87" t="str">
        <f t="shared" si="48"/>
        <v>〇</v>
      </c>
      <c r="CP22" s="87" t="str">
        <f t="shared" si="49"/>
        <v>〇</v>
      </c>
      <c r="CQ22" s="87" t="str">
        <f t="shared" si="50"/>
        <v>〇</v>
      </c>
      <c r="CS22" s="476"/>
      <c r="CT22" s="476"/>
      <c r="CU22" s="476"/>
      <c r="CV22" s="476"/>
    </row>
    <row r="23" spans="1:100" s="90" customFormat="1" ht="23.15" customHeight="1">
      <c r="A23" s="2">
        <v>17</v>
      </c>
      <c r="B23" s="14"/>
      <c r="C23" s="4"/>
      <c r="D23" s="5"/>
      <c r="E23" s="3"/>
      <c r="F23" s="6"/>
      <c r="G23" s="7"/>
      <c r="H23" s="8"/>
      <c r="I23" s="8"/>
      <c r="J23" s="8"/>
      <c r="K23" s="8"/>
      <c r="L23" s="8"/>
      <c r="M23" s="8"/>
      <c r="N23" s="8"/>
      <c r="O23" s="8"/>
      <c r="P23" s="8"/>
      <c r="Q23" s="9"/>
      <c r="R23" s="10"/>
      <c r="S23" s="10"/>
      <c r="T23" s="12"/>
      <c r="U23" s="11"/>
      <c r="V23" s="9"/>
      <c r="W23" s="12"/>
      <c r="X23" s="13"/>
      <c r="Y23" s="89" t="str">
        <f t="shared" si="18"/>
        <v/>
      </c>
      <c r="Z23" s="87">
        <f>IF(COUNTIF($E$7:E23,E23)=1,"",COUNTIF($E$7:E23,E23))</f>
        <v>0</v>
      </c>
      <c r="AA23" s="87" t="str">
        <f t="shared" si="1"/>
        <v/>
      </c>
      <c r="AC23" s="87" t="str">
        <f t="shared" si="19"/>
        <v/>
      </c>
      <c r="AD23" s="87" t="str">
        <f t="shared" si="19"/>
        <v/>
      </c>
      <c r="AE23" s="87" t="str">
        <f t="shared" si="19"/>
        <v/>
      </c>
      <c r="AF23" s="87" t="str">
        <f t="shared" si="19"/>
        <v/>
      </c>
      <c r="AG23" s="87" t="str">
        <f t="shared" si="19"/>
        <v/>
      </c>
      <c r="AH23" s="87" t="str">
        <f t="shared" si="19"/>
        <v/>
      </c>
      <c r="AI23" s="87" t="str">
        <f t="shared" si="19"/>
        <v/>
      </c>
      <c r="AJ23" s="87" t="str">
        <f t="shared" si="19"/>
        <v/>
      </c>
      <c r="AK23" s="87" t="str">
        <f t="shared" si="19"/>
        <v/>
      </c>
      <c r="AL23" s="87" t="str">
        <f t="shared" si="19"/>
        <v/>
      </c>
      <c r="AM23" s="87" t="str">
        <f t="shared" si="19"/>
        <v/>
      </c>
      <c r="AN23" s="87" t="str">
        <f t="shared" si="19"/>
        <v/>
      </c>
      <c r="AP23" s="87" t="str">
        <f t="shared" si="3"/>
        <v/>
      </c>
      <c r="AQ23" s="87" t="str">
        <f t="shared" si="4"/>
        <v/>
      </c>
      <c r="AR23" s="87" t="str">
        <f t="shared" si="5"/>
        <v/>
      </c>
      <c r="AS23" s="87" t="str">
        <f t="shared" si="6"/>
        <v/>
      </c>
      <c r="AT23" s="87" t="str">
        <f t="shared" si="7"/>
        <v/>
      </c>
      <c r="AU23" s="87" t="str">
        <f t="shared" si="8"/>
        <v/>
      </c>
      <c r="AV23" s="87" t="str">
        <f t="shared" si="9"/>
        <v/>
      </c>
      <c r="AW23" s="87" t="str">
        <f t="shared" si="10"/>
        <v/>
      </c>
      <c r="AX23" s="87" t="str">
        <f t="shared" si="11"/>
        <v/>
      </c>
      <c r="AY23" s="87" t="str">
        <f t="shared" si="12"/>
        <v/>
      </c>
      <c r="AZ23" s="87" t="str">
        <f t="shared" si="13"/>
        <v/>
      </c>
      <c r="BA23" s="87" t="str">
        <f t="shared" si="14"/>
        <v/>
      </c>
      <c r="BB23" s="90" t="str">
        <f t="shared" si="20"/>
        <v/>
      </c>
      <c r="BE23" s="87" t="str">
        <f t="shared" si="51"/>
        <v/>
      </c>
      <c r="BF23" s="87" t="str">
        <f t="shared" si="15"/>
        <v/>
      </c>
      <c r="BG23" s="87" t="str">
        <f t="shared" si="16"/>
        <v/>
      </c>
      <c r="BH23" s="87" t="str">
        <f t="shared" si="21"/>
        <v/>
      </c>
      <c r="BI23" s="87" t="str">
        <f t="shared" si="17"/>
        <v/>
      </c>
      <c r="BO23" s="87" t="str">
        <f t="shared" si="22"/>
        <v>〇</v>
      </c>
      <c r="BP23" s="87" t="str">
        <f t="shared" si="23"/>
        <v>〇</v>
      </c>
      <c r="BQ23" s="87" t="str">
        <f t="shared" si="24"/>
        <v>〇</v>
      </c>
      <c r="BR23" s="87" t="str">
        <f t="shared" si="25"/>
        <v>〇</v>
      </c>
      <c r="BS23" s="87" t="str">
        <f t="shared" si="26"/>
        <v>〇</v>
      </c>
      <c r="BT23" s="87" t="str">
        <f t="shared" si="27"/>
        <v>〇</v>
      </c>
      <c r="BU23" s="87" t="str">
        <f t="shared" si="28"/>
        <v>〇</v>
      </c>
      <c r="BV23" s="87" t="str">
        <f t="shared" si="29"/>
        <v>〇</v>
      </c>
      <c r="BW23" s="87" t="str">
        <f t="shared" si="30"/>
        <v>〇</v>
      </c>
      <c r="BX23" s="87" t="str">
        <f t="shared" si="31"/>
        <v>〇</v>
      </c>
      <c r="BY23" s="87" t="str">
        <f t="shared" si="32"/>
        <v>〇</v>
      </c>
      <c r="BZ23" s="87" t="str">
        <f t="shared" si="33"/>
        <v>〇</v>
      </c>
      <c r="CA23" s="87" t="str">
        <f t="shared" si="34"/>
        <v>〇</v>
      </c>
      <c r="CB23" s="87" t="str">
        <f t="shared" si="35"/>
        <v>〇</v>
      </c>
      <c r="CC23" s="87" t="str">
        <f t="shared" si="36"/>
        <v>〇</v>
      </c>
      <c r="CD23" s="87" t="str">
        <f t="shared" si="37"/>
        <v>〇</v>
      </c>
      <c r="CE23" s="87" t="str">
        <f t="shared" si="38"/>
        <v>〇</v>
      </c>
      <c r="CF23" s="87" t="str">
        <f t="shared" si="39"/>
        <v>〇</v>
      </c>
      <c r="CG23" s="87" t="str">
        <f t="shared" si="40"/>
        <v>〇</v>
      </c>
      <c r="CH23" s="87" t="str">
        <f t="shared" si="41"/>
        <v>〇</v>
      </c>
      <c r="CI23" s="87" t="str">
        <f t="shared" si="42"/>
        <v>〇</v>
      </c>
      <c r="CJ23" s="87" t="str">
        <f t="shared" si="43"/>
        <v>〇</v>
      </c>
      <c r="CK23" s="87" t="str">
        <f t="shared" si="44"/>
        <v>〇</v>
      </c>
      <c r="CL23" s="87" t="str">
        <f t="shared" si="45"/>
        <v>〇</v>
      </c>
      <c r="CM23" s="87" t="str">
        <f t="shared" si="46"/>
        <v>〇</v>
      </c>
      <c r="CN23" s="87" t="str">
        <f t="shared" si="47"/>
        <v>〇</v>
      </c>
      <c r="CO23" s="87" t="str">
        <f t="shared" si="48"/>
        <v>〇</v>
      </c>
      <c r="CP23" s="87" t="str">
        <f t="shared" si="49"/>
        <v>〇</v>
      </c>
      <c r="CQ23" s="87" t="str">
        <f t="shared" si="50"/>
        <v>〇</v>
      </c>
      <c r="CS23" s="476"/>
      <c r="CT23" s="476"/>
      <c r="CU23" s="476"/>
      <c r="CV23" s="476"/>
    </row>
    <row r="24" spans="1:100" s="90" customFormat="1" ht="23.15" customHeight="1">
      <c r="A24" s="2">
        <v>18</v>
      </c>
      <c r="B24" s="14"/>
      <c r="C24" s="4"/>
      <c r="D24" s="5"/>
      <c r="E24" s="3"/>
      <c r="F24" s="6"/>
      <c r="G24" s="7"/>
      <c r="H24" s="8"/>
      <c r="I24" s="8"/>
      <c r="J24" s="8"/>
      <c r="K24" s="8"/>
      <c r="L24" s="8"/>
      <c r="M24" s="8"/>
      <c r="N24" s="8"/>
      <c r="O24" s="8"/>
      <c r="P24" s="8"/>
      <c r="Q24" s="9"/>
      <c r="R24" s="10"/>
      <c r="S24" s="10"/>
      <c r="T24" s="12"/>
      <c r="U24" s="11"/>
      <c r="V24" s="9"/>
      <c r="W24" s="12"/>
      <c r="X24" s="13"/>
      <c r="Y24" s="89" t="str">
        <f t="shared" si="18"/>
        <v/>
      </c>
      <c r="Z24" s="87">
        <f>IF(COUNTIF($E$7:E24,E24)=1,"",COUNTIF($E$7:E24,E24))</f>
        <v>0</v>
      </c>
      <c r="AA24" s="87" t="str">
        <f t="shared" si="1"/>
        <v/>
      </c>
      <c r="AC24" s="87" t="str">
        <f t="shared" si="19"/>
        <v/>
      </c>
      <c r="AD24" s="87" t="str">
        <f t="shared" si="19"/>
        <v/>
      </c>
      <c r="AE24" s="87" t="str">
        <f t="shared" si="19"/>
        <v/>
      </c>
      <c r="AF24" s="87" t="str">
        <f t="shared" si="19"/>
        <v/>
      </c>
      <c r="AG24" s="87" t="str">
        <f t="shared" si="19"/>
        <v/>
      </c>
      <c r="AH24" s="87" t="str">
        <f t="shared" si="19"/>
        <v/>
      </c>
      <c r="AI24" s="87" t="str">
        <f t="shared" si="19"/>
        <v/>
      </c>
      <c r="AJ24" s="87" t="str">
        <f t="shared" si="19"/>
        <v/>
      </c>
      <c r="AK24" s="87" t="str">
        <f t="shared" si="19"/>
        <v/>
      </c>
      <c r="AL24" s="87" t="str">
        <f t="shared" si="19"/>
        <v/>
      </c>
      <c r="AM24" s="87" t="str">
        <f t="shared" si="19"/>
        <v/>
      </c>
      <c r="AN24" s="87" t="str">
        <f t="shared" si="19"/>
        <v/>
      </c>
      <c r="AP24" s="87" t="str">
        <f t="shared" si="3"/>
        <v/>
      </c>
      <c r="AQ24" s="87" t="str">
        <f t="shared" si="4"/>
        <v/>
      </c>
      <c r="AR24" s="87" t="str">
        <f t="shared" si="5"/>
        <v/>
      </c>
      <c r="AS24" s="87" t="str">
        <f t="shared" si="6"/>
        <v/>
      </c>
      <c r="AT24" s="87" t="str">
        <f t="shared" si="7"/>
        <v/>
      </c>
      <c r="AU24" s="87" t="str">
        <f t="shared" si="8"/>
        <v/>
      </c>
      <c r="AV24" s="87" t="str">
        <f t="shared" si="9"/>
        <v/>
      </c>
      <c r="AW24" s="87" t="str">
        <f t="shared" si="10"/>
        <v/>
      </c>
      <c r="AX24" s="87" t="str">
        <f t="shared" si="11"/>
        <v/>
      </c>
      <c r="AY24" s="87" t="str">
        <f t="shared" si="12"/>
        <v/>
      </c>
      <c r="AZ24" s="87" t="str">
        <f t="shared" si="13"/>
        <v/>
      </c>
      <c r="BA24" s="87" t="str">
        <f t="shared" si="14"/>
        <v/>
      </c>
      <c r="BB24" s="90" t="str">
        <f t="shared" si="20"/>
        <v/>
      </c>
      <c r="BE24" s="87" t="str">
        <f t="shared" si="51"/>
        <v/>
      </c>
      <c r="BF24" s="87" t="str">
        <f t="shared" si="15"/>
        <v/>
      </c>
      <c r="BG24" s="87" t="str">
        <f t="shared" si="16"/>
        <v/>
      </c>
      <c r="BH24" s="87" t="str">
        <f t="shared" si="21"/>
        <v/>
      </c>
      <c r="BI24" s="87" t="str">
        <f t="shared" si="17"/>
        <v/>
      </c>
      <c r="BO24" s="87" t="str">
        <f t="shared" si="22"/>
        <v>〇</v>
      </c>
      <c r="BP24" s="87" t="str">
        <f t="shared" si="23"/>
        <v>〇</v>
      </c>
      <c r="BQ24" s="87" t="str">
        <f t="shared" si="24"/>
        <v>〇</v>
      </c>
      <c r="BR24" s="87" t="str">
        <f t="shared" si="25"/>
        <v>〇</v>
      </c>
      <c r="BS24" s="87" t="str">
        <f t="shared" si="26"/>
        <v>〇</v>
      </c>
      <c r="BT24" s="87" t="str">
        <f t="shared" si="27"/>
        <v>〇</v>
      </c>
      <c r="BU24" s="87" t="str">
        <f t="shared" si="28"/>
        <v>〇</v>
      </c>
      <c r="BV24" s="87" t="str">
        <f t="shared" si="29"/>
        <v>〇</v>
      </c>
      <c r="BW24" s="87" t="str">
        <f t="shared" si="30"/>
        <v>〇</v>
      </c>
      <c r="BX24" s="87" t="str">
        <f t="shared" si="31"/>
        <v>〇</v>
      </c>
      <c r="BY24" s="87" t="str">
        <f t="shared" si="32"/>
        <v>〇</v>
      </c>
      <c r="BZ24" s="87" t="str">
        <f t="shared" si="33"/>
        <v>〇</v>
      </c>
      <c r="CA24" s="87" t="str">
        <f t="shared" si="34"/>
        <v>〇</v>
      </c>
      <c r="CB24" s="87" t="str">
        <f t="shared" si="35"/>
        <v>〇</v>
      </c>
      <c r="CC24" s="87" t="str">
        <f t="shared" si="36"/>
        <v>〇</v>
      </c>
      <c r="CD24" s="87" t="str">
        <f t="shared" si="37"/>
        <v>〇</v>
      </c>
      <c r="CE24" s="87" t="str">
        <f t="shared" si="38"/>
        <v>〇</v>
      </c>
      <c r="CF24" s="87" t="str">
        <f t="shared" si="39"/>
        <v>〇</v>
      </c>
      <c r="CG24" s="87" t="str">
        <f t="shared" si="40"/>
        <v>〇</v>
      </c>
      <c r="CH24" s="87" t="str">
        <f t="shared" si="41"/>
        <v>〇</v>
      </c>
      <c r="CI24" s="87" t="str">
        <f t="shared" si="42"/>
        <v>〇</v>
      </c>
      <c r="CJ24" s="87" t="str">
        <f t="shared" si="43"/>
        <v>〇</v>
      </c>
      <c r="CK24" s="87" t="str">
        <f t="shared" si="44"/>
        <v>〇</v>
      </c>
      <c r="CL24" s="87" t="str">
        <f t="shared" si="45"/>
        <v>〇</v>
      </c>
      <c r="CM24" s="87" t="str">
        <f t="shared" si="46"/>
        <v>〇</v>
      </c>
      <c r="CN24" s="87" t="str">
        <f t="shared" si="47"/>
        <v>〇</v>
      </c>
      <c r="CO24" s="87" t="str">
        <f t="shared" si="48"/>
        <v>〇</v>
      </c>
      <c r="CP24" s="87" t="str">
        <f t="shared" si="49"/>
        <v>〇</v>
      </c>
      <c r="CQ24" s="87" t="str">
        <f t="shared" si="50"/>
        <v>〇</v>
      </c>
      <c r="CS24" s="476"/>
      <c r="CT24" s="476"/>
      <c r="CU24" s="476"/>
      <c r="CV24" s="476"/>
    </row>
    <row r="25" spans="1:100" s="90" customFormat="1" ht="23.15" customHeight="1">
      <c r="A25" s="2">
        <v>19</v>
      </c>
      <c r="B25" s="14"/>
      <c r="C25" s="4"/>
      <c r="D25" s="5"/>
      <c r="E25" s="3"/>
      <c r="F25" s="6"/>
      <c r="G25" s="7"/>
      <c r="H25" s="8"/>
      <c r="I25" s="8"/>
      <c r="J25" s="8"/>
      <c r="K25" s="8"/>
      <c r="L25" s="8"/>
      <c r="M25" s="8"/>
      <c r="N25" s="8"/>
      <c r="O25" s="8"/>
      <c r="P25" s="8"/>
      <c r="Q25" s="9"/>
      <c r="R25" s="10"/>
      <c r="S25" s="10"/>
      <c r="T25" s="12"/>
      <c r="U25" s="11"/>
      <c r="V25" s="9"/>
      <c r="W25" s="12"/>
      <c r="X25" s="13"/>
      <c r="Y25" s="89" t="str">
        <f t="shared" si="18"/>
        <v/>
      </c>
      <c r="Z25" s="87">
        <f>IF(COUNTIF($E$7:E25,E25)=1,"",COUNTIF($E$7:E25,E25))</f>
        <v>0</v>
      </c>
      <c r="AA25" s="87" t="str">
        <f t="shared" si="1"/>
        <v/>
      </c>
      <c r="AC25" s="87" t="str">
        <f t="shared" si="19"/>
        <v/>
      </c>
      <c r="AD25" s="87" t="str">
        <f t="shared" si="19"/>
        <v/>
      </c>
      <c r="AE25" s="87" t="str">
        <f t="shared" si="19"/>
        <v/>
      </c>
      <c r="AF25" s="87" t="str">
        <f t="shared" si="19"/>
        <v/>
      </c>
      <c r="AG25" s="87" t="str">
        <f t="shared" si="19"/>
        <v/>
      </c>
      <c r="AH25" s="87" t="str">
        <f t="shared" si="19"/>
        <v/>
      </c>
      <c r="AI25" s="87" t="str">
        <f t="shared" si="19"/>
        <v/>
      </c>
      <c r="AJ25" s="87" t="str">
        <f t="shared" si="19"/>
        <v/>
      </c>
      <c r="AK25" s="87" t="str">
        <f t="shared" si="19"/>
        <v/>
      </c>
      <c r="AL25" s="87" t="str">
        <f t="shared" si="19"/>
        <v/>
      </c>
      <c r="AM25" s="87" t="str">
        <f t="shared" si="19"/>
        <v/>
      </c>
      <c r="AN25" s="87" t="str">
        <f t="shared" si="19"/>
        <v/>
      </c>
      <c r="AP25" s="87" t="str">
        <f t="shared" si="3"/>
        <v/>
      </c>
      <c r="AQ25" s="87" t="str">
        <f t="shared" si="4"/>
        <v/>
      </c>
      <c r="AR25" s="87" t="str">
        <f t="shared" si="5"/>
        <v/>
      </c>
      <c r="AS25" s="87" t="str">
        <f t="shared" si="6"/>
        <v/>
      </c>
      <c r="AT25" s="87" t="str">
        <f t="shared" si="7"/>
        <v/>
      </c>
      <c r="AU25" s="87" t="str">
        <f t="shared" si="8"/>
        <v/>
      </c>
      <c r="AV25" s="87" t="str">
        <f t="shared" si="9"/>
        <v/>
      </c>
      <c r="AW25" s="87" t="str">
        <f t="shared" si="10"/>
        <v/>
      </c>
      <c r="AX25" s="87" t="str">
        <f t="shared" si="11"/>
        <v/>
      </c>
      <c r="AY25" s="87" t="str">
        <f t="shared" si="12"/>
        <v/>
      </c>
      <c r="AZ25" s="87" t="str">
        <f t="shared" si="13"/>
        <v/>
      </c>
      <c r="BA25" s="87" t="str">
        <f t="shared" si="14"/>
        <v/>
      </c>
      <c r="BB25" s="90" t="str">
        <f t="shared" si="20"/>
        <v/>
      </c>
      <c r="BE25" s="87" t="str">
        <f t="shared" si="51"/>
        <v/>
      </c>
      <c r="BF25" s="87" t="str">
        <f t="shared" si="15"/>
        <v/>
      </c>
      <c r="BG25" s="87" t="str">
        <f t="shared" si="16"/>
        <v/>
      </c>
      <c r="BH25" s="87" t="str">
        <f t="shared" si="21"/>
        <v/>
      </c>
      <c r="BI25" s="87" t="str">
        <f t="shared" si="17"/>
        <v/>
      </c>
      <c r="BO25" s="87" t="str">
        <f t="shared" si="22"/>
        <v>〇</v>
      </c>
      <c r="BP25" s="87" t="str">
        <f t="shared" si="23"/>
        <v>〇</v>
      </c>
      <c r="BQ25" s="87" t="str">
        <f t="shared" si="24"/>
        <v>〇</v>
      </c>
      <c r="BR25" s="87" t="str">
        <f t="shared" si="25"/>
        <v>〇</v>
      </c>
      <c r="BS25" s="87" t="str">
        <f t="shared" si="26"/>
        <v>〇</v>
      </c>
      <c r="BT25" s="87" t="str">
        <f t="shared" si="27"/>
        <v>〇</v>
      </c>
      <c r="BU25" s="87" t="str">
        <f t="shared" si="28"/>
        <v>〇</v>
      </c>
      <c r="BV25" s="87" t="str">
        <f t="shared" si="29"/>
        <v>〇</v>
      </c>
      <c r="BW25" s="87" t="str">
        <f t="shared" si="30"/>
        <v>〇</v>
      </c>
      <c r="BX25" s="87" t="str">
        <f t="shared" si="31"/>
        <v>〇</v>
      </c>
      <c r="BY25" s="87" t="str">
        <f t="shared" si="32"/>
        <v>〇</v>
      </c>
      <c r="BZ25" s="87" t="str">
        <f t="shared" si="33"/>
        <v>〇</v>
      </c>
      <c r="CA25" s="87" t="str">
        <f t="shared" si="34"/>
        <v>〇</v>
      </c>
      <c r="CB25" s="87" t="str">
        <f t="shared" si="35"/>
        <v>〇</v>
      </c>
      <c r="CC25" s="87" t="str">
        <f t="shared" si="36"/>
        <v>〇</v>
      </c>
      <c r="CD25" s="87" t="str">
        <f t="shared" si="37"/>
        <v>〇</v>
      </c>
      <c r="CE25" s="87" t="str">
        <f t="shared" si="38"/>
        <v>〇</v>
      </c>
      <c r="CF25" s="87" t="str">
        <f t="shared" si="39"/>
        <v>〇</v>
      </c>
      <c r="CG25" s="87" t="str">
        <f t="shared" si="40"/>
        <v>〇</v>
      </c>
      <c r="CH25" s="87" t="str">
        <f t="shared" si="41"/>
        <v>〇</v>
      </c>
      <c r="CI25" s="87" t="str">
        <f t="shared" si="42"/>
        <v>〇</v>
      </c>
      <c r="CJ25" s="87" t="str">
        <f t="shared" si="43"/>
        <v>〇</v>
      </c>
      <c r="CK25" s="87" t="str">
        <f t="shared" si="44"/>
        <v>〇</v>
      </c>
      <c r="CL25" s="87" t="str">
        <f t="shared" si="45"/>
        <v>〇</v>
      </c>
      <c r="CM25" s="87" t="str">
        <f t="shared" si="46"/>
        <v>〇</v>
      </c>
      <c r="CN25" s="87" t="str">
        <f t="shared" si="47"/>
        <v>〇</v>
      </c>
      <c r="CO25" s="87" t="str">
        <f t="shared" si="48"/>
        <v>〇</v>
      </c>
      <c r="CP25" s="87" t="str">
        <f t="shared" si="49"/>
        <v>〇</v>
      </c>
      <c r="CQ25" s="87" t="str">
        <f t="shared" si="50"/>
        <v>〇</v>
      </c>
      <c r="CS25" s="476"/>
      <c r="CT25" s="476"/>
      <c r="CU25" s="476"/>
      <c r="CV25" s="476"/>
    </row>
    <row r="26" spans="1:100" s="90" customFormat="1" ht="23.15" customHeight="1">
      <c r="A26" s="2">
        <v>20</v>
      </c>
      <c r="B26" s="14"/>
      <c r="C26" s="4"/>
      <c r="D26" s="5"/>
      <c r="E26" s="3"/>
      <c r="F26" s="6"/>
      <c r="G26" s="7"/>
      <c r="H26" s="8"/>
      <c r="I26" s="8"/>
      <c r="J26" s="8"/>
      <c r="K26" s="8"/>
      <c r="L26" s="8"/>
      <c r="M26" s="8"/>
      <c r="N26" s="8"/>
      <c r="O26" s="8"/>
      <c r="P26" s="8"/>
      <c r="Q26" s="9"/>
      <c r="R26" s="10"/>
      <c r="S26" s="11"/>
      <c r="T26" s="12"/>
      <c r="U26" s="11"/>
      <c r="V26" s="9"/>
      <c r="W26" s="12"/>
      <c r="X26" s="13"/>
      <c r="Y26" s="89" t="str">
        <f t="shared" si="18"/>
        <v/>
      </c>
      <c r="Z26" s="87">
        <f>IF(COUNTIF($E$7:E26,E26)=1,"",COUNTIF($E$7:E26,E26))</f>
        <v>0</v>
      </c>
      <c r="AA26" s="87" t="str">
        <f t="shared" si="1"/>
        <v/>
      </c>
      <c r="AC26" s="87" t="str">
        <f t="shared" si="19"/>
        <v/>
      </c>
      <c r="AD26" s="87" t="str">
        <f t="shared" si="19"/>
        <v/>
      </c>
      <c r="AE26" s="87" t="str">
        <f t="shared" si="19"/>
        <v/>
      </c>
      <c r="AF26" s="87" t="str">
        <f t="shared" si="19"/>
        <v/>
      </c>
      <c r="AG26" s="87" t="str">
        <f t="shared" si="19"/>
        <v/>
      </c>
      <c r="AH26" s="87" t="str">
        <f t="shared" si="19"/>
        <v/>
      </c>
      <c r="AI26" s="87" t="str">
        <f t="shared" si="19"/>
        <v/>
      </c>
      <c r="AJ26" s="87" t="str">
        <f t="shared" si="19"/>
        <v/>
      </c>
      <c r="AK26" s="87" t="str">
        <f t="shared" si="19"/>
        <v/>
      </c>
      <c r="AL26" s="87" t="str">
        <f t="shared" si="19"/>
        <v/>
      </c>
      <c r="AM26" s="87" t="str">
        <f t="shared" si="19"/>
        <v/>
      </c>
      <c r="AN26" s="87" t="str">
        <f t="shared" si="19"/>
        <v/>
      </c>
      <c r="AP26" s="87" t="str">
        <f t="shared" si="3"/>
        <v/>
      </c>
      <c r="AQ26" s="87" t="str">
        <f t="shared" si="4"/>
        <v/>
      </c>
      <c r="AR26" s="87" t="str">
        <f t="shared" si="5"/>
        <v/>
      </c>
      <c r="AS26" s="87" t="str">
        <f t="shared" si="6"/>
        <v/>
      </c>
      <c r="AT26" s="87" t="str">
        <f t="shared" si="7"/>
        <v/>
      </c>
      <c r="AU26" s="87" t="str">
        <f t="shared" si="8"/>
        <v/>
      </c>
      <c r="AV26" s="87" t="str">
        <f t="shared" si="9"/>
        <v/>
      </c>
      <c r="AW26" s="87" t="str">
        <f t="shared" si="10"/>
        <v/>
      </c>
      <c r="AX26" s="87" t="str">
        <f t="shared" si="11"/>
        <v/>
      </c>
      <c r="AY26" s="87" t="str">
        <f t="shared" si="12"/>
        <v/>
      </c>
      <c r="AZ26" s="87" t="str">
        <f t="shared" si="13"/>
        <v/>
      </c>
      <c r="BA26" s="87" t="str">
        <f t="shared" si="14"/>
        <v/>
      </c>
      <c r="BB26" s="90" t="str">
        <f t="shared" si="20"/>
        <v/>
      </c>
      <c r="BE26" s="87" t="str">
        <f t="shared" si="51"/>
        <v/>
      </c>
      <c r="BF26" s="87" t="str">
        <f t="shared" si="15"/>
        <v/>
      </c>
      <c r="BG26" s="87" t="str">
        <f t="shared" si="16"/>
        <v/>
      </c>
      <c r="BH26" s="87" t="str">
        <f t="shared" si="21"/>
        <v/>
      </c>
      <c r="BI26" s="87" t="str">
        <f t="shared" si="17"/>
        <v/>
      </c>
      <c r="BO26" s="87" t="str">
        <f t="shared" si="22"/>
        <v>〇</v>
      </c>
      <c r="BP26" s="87" t="str">
        <f t="shared" si="23"/>
        <v>〇</v>
      </c>
      <c r="BQ26" s="87" t="str">
        <f t="shared" si="24"/>
        <v>〇</v>
      </c>
      <c r="BR26" s="87" t="str">
        <f t="shared" si="25"/>
        <v>〇</v>
      </c>
      <c r="BS26" s="87" t="str">
        <f t="shared" si="26"/>
        <v>〇</v>
      </c>
      <c r="BT26" s="87" t="str">
        <f t="shared" si="27"/>
        <v>〇</v>
      </c>
      <c r="BU26" s="87" t="str">
        <f t="shared" si="28"/>
        <v>〇</v>
      </c>
      <c r="BV26" s="87" t="str">
        <f t="shared" si="29"/>
        <v>〇</v>
      </c>
      <c r="BW26" s="87" t="str">
        <f t="shared" si="30"/>
        <v>〇</v>
      </c>
      <c r="BX26" s="87" t="str">
        <f t="shared" si="31"/>
        <v>〇</v>
      </c>
      <c r="BY26" s="87" t="str">
        <f t="shared" si="32"/>
        <v>〇</v>
      </c>
      <c r="BZ26" s="87" t="str">
        <f t="shared" si="33"/>
        <v>〇</v>
      </c>
      <c r="CA26" s="87" t="str">
        <f t="shared" si="34"/>
        <v>〇</v>
      </c>
      <c r="CB26" s="87" t="str">
        <f t="shared" si="35"/>
        <v>〇</v>
      </c>
      <c r="CC26" s="87" t="str">
        <f t="shared" si="36"/>
        <v>〇</v>
      </c>
      <c r="CD26" s="87" t="str">
        <f t="shared" si="37"/>
        <v>〇</v>
      </c>
      <c r="CE26" s="87" t="str">
        <f t="shared" si="38"/>
        <v>〇</v>
      </c>
      <c r="CF26" s="87" t="str">
        <f t="shared" si="39"/>
        <v>〇</v>
      </c>
      <c r="CG26" s="87" t="str">
        <f t="shared" si="40"/>
        <v>〇</v>
      </c>
      <c r="CH26" s="87" t="str">
        <f t="shared" si="41"/>
        <v>〇</v>
      </c>
      <c r="CI26" s="87" t="str">
        <f t="shared" si="42"/>
        <v>〇</v>
      </c>
      <c r="CJ26" s="87" t="str">
        <f t="shared" si="43"/>
        <v>〇</v>
      </c>
      <c r="CK26" s="87" t="str">
        <f t="shared" si="44"/>
        <v>〇</v>
      </c>
      <c r="CL26" s="87" t="str">
        <f t="shared" si="45"/>
        <v>〇</v>
      </c>
      <c r="CM26" s="87" t="str">
        <f t="shared" si="46"/>
        <v>〇</v>
      </c>
      <c r="CN26" s="87" t="str">
        <f t="shared" si="47"/>
        <v>〇</v>
      </c>
      <c r="CO26" s="87" t="str">
        <f t="shared" si="48"/>
        <v>〇</v>
      </c>
      <c r="CP26" s="87" t="str">
        <f t="shared" si="49"/>
        <v>〇</v>
      </c>
      <c r="CQ26" s="87" t="str">
        <f t="shared" si="50"/>
        <v>〇</v>
      </c>
      <c r="CS26" s="476"/>
      <c r="CT26" s="476"/>
      <c r="CU26" s="476"/>
      <c r="CV26" s="476"/>
    </row>
    <row r="27" spans="1:100" s="90" customFormat="1" ht="23.15" customHeight="1">
      <c r="A27" s="2">
        <v>21</v>
      </c>
      <c r="B27" s="14"/>
      <c r="C27" s="4"/>
      <c r="D27" s="5"/>
      <c r="E27" s="3"/>
      <c r="F27" s="6"/>
      <c r="G27" s="7"/>
      <c r="H27" s="8"/>
      <c r="I27" s="8"/>
      <c r="J27" s="8"/>
      <c r="K27" s="8"/>
      <c r="L27" s="8"/>
      <c r="M27" s="8"/>
      <c r="N27" s="8"/>
      <c r="O27" s="8"/>
      <c r="P27" s="8"/>
      <c r="Q27" s="9"/>
      <c r="R27" s="10"/>
      <c r="S27" s="11"/>
      <c r="T27" s="12"/>
      <c r="U27" s="11"/>
      <c r="V27" s="9"/>
      <c r="W27" s="12"/>
      <c r="X27" s="13"/>
      <c r="Y27" s="89" t="str">
        <f t="shared" si="18"/>
        <v/>
      </c>
      <c r="Z27" s="87">
        <f>IF(COUNTIF($E$7:E27,E27)=1,"",COUNTIF($E$7:E27,E27))</f>
        <v>0</v>
      </c>
      <c r="AA27" s="87" t="str">
        <f t="shared" si="1"/>
        <v/>
      </c>
      <c r="AC27" s="87" t="str">
        <f t="shared" si="19"/>
        <v/>
      </c>
      <c r="AD27" s="87" t="str">
        <f t="shared" si="19"/>
        <v/>
      </c>
      <c r="AE27" s="87" t="str">
        <f t="shared" si="19"/>
        <v/>
      </c>
      <c r="AF27" s="87" t="str">
        <f t="shared" si="19"/>
        <v/>
      </c>
      <c r="AG27" s="87" t="str">
        <f t="shared" si="19"/>
        <v/>
      </c>
      <c r="AH27" s="87" t="str">
        <f t="shared" si="19"/>
        <v/>
      </c>
      <c r="AI27" s="87" t="str">
        <f t="shared" si="19"/>
        <v/>
      </c>
      <c r="AJ27" s="87" t="str">
        <f t="shared" si="19"/>
        <v/>
      </c>
      <c r="AK27" s="87" t="str">
        <f t="shared" si="19"/>
        <v/>
      </c>
      <c r="AL27" s="87" t="str">
        <f t="shared" si="19"/>
        <v/>
      </c>
      <c r="AM27" s="87" t="str">
        <f t="shared" si="19"/>
        <v/>
      </c>
      <c r="AN27" s="87" t="str">
        <f t="shared" si="19"/>
        <v/>
      </c>
      <c r="AP27" s="87" t="str">
        <f t="shared" si="3"/>
        <v/>
      </c>
      <c r="AQ27" s="87" t="str">
        <f t="shared" si="4"/>
        <v/>
      </c>
      <c r="AR27" s="87" t="str">
        <f t="shared" si="5"/>
        <v/>
      </c>
      <c r="AS27" s="87" t="str">
        <f t="shared" si="6"/>
        <v/>
      </c>
      <c r="AT27" s="87" t="str">
        <f t="shared" si="7"/>
        <v/>
      </c>
      <c r="AU27" s="87" t="str">
        <f t="shared" si="8"/>
        <v/>
      </c>
      <c r="AV27" s="87" t="str">
        <f t="shared" si="9"/>
        <v/>
      </c>
      <c r="AW27" s="87" t="str">
        <f t="shared" si="10"/>
        <v/>
      </c>
      <c r="AX27" s="87" t="str">
        <f t="shared" si="11"/>
        <v/>
      </c>
      <c r="AY27" s="87" t="str">
        <f t="shared" si="12"/>
        <v/>
      </c>
      <c r="AZ27" s="87" t="str">
        <f t="shared" si="13"/>
        <v/>
      </c>
      <c r="BA27" s="87" t="str">
        <f t="shared" si="14"/>
        <v/>
      </c>
      <c r="BB27" s="90" t="str">
        <f t="shared" si="20"/>
        <v/>
      </c>
      <c r="BE27" s="87" t="str">
        <f t="shared" si="51"/>
        <v/>
      </c>
      <c r="BF27" s="87" t="str">
        <f t="shared" si="15"/>
        <v/>
      </c>
      <c r="BG27" s="87" t="str">
        <f t="shared" si="16"/>
        <v/>
      </c>
      <c r="BH27" s="87" t="str">
        <f t="shared" si="21"/>
        <v/>
      </c>
      <c r="BI27" s="87" t="str">
        <f t="shared" si="17"/>
        <v/>
      </c>
      <c r="BO27" s="87" t="str">
        <f t="shared" si="22"/>
        <v>〇</v>
      </c>
      <c r="BP27" s="87" t="str">
        <f t="shared" si="23"/>
        <v>〇</v>
      </c>
      <c r="BQ27" s="87" t="str">
        <f t="shared" si="24"/>
        <v>〇</v>
      </c>
      <c r="BR27" s="87" t="str">
        <f t="shared" si="25"/>
        <v>〇</v>
      </c>
      <c r="BS27" s="87" t="str">
        <f t="shared" si="26"/>
        <v>〇</v>
      </c>
      <c r="BT27" s="87" t="str">
        <f t="shared" si="27"/>
        <v>〇</v>
      </c>
      <c r="BU27" s="87" t="str">
        <f t="shared" si="28"/>
        <v>〇</v>
      </c>
      <c r="BV27" s="87" t="str">
        <f t="shared" si="29"/>
        <v>〇</v>
      </c>
      <c r="BW27" s="87" t="str">
        <f t="shared" si="30"/>
        <v>〇</v>
      </c>
      <c r="BX27" s="87" t="str">
        <f t="shared" si="31"/>
        <v>〇</v>
      </c>
      <c r="BY27" s="87" t="str">
        <f t="shared" si="32"/>
        <v>〇</v>
      </c>
      <c r="BZ27" s="87" t="str">
        <f t="shared" si="33"/>
        <v>〇</v>
      </c>
      <c r="CA27" s="87" t="str">
        <f t="shared" si="34"/>
        <v>〇</v>
      </c>
      <c r="CB27" s="87" t="str">
        <f t="shared" si="35"/>
        <v>〇</v>
      </c>
      <c r="CC27" s="87" t="str">
        <f t="shared" si="36"/>
        <v>〇</v>
      </c>
      <c r="CD27" s="87" t="str">
        <f t="shared" si="37"/>
        <v>〇</v>
      </c>
      <c r="CE27" s="87" t="str">
        <f t="shared" si="38"/>
        <v>〇</v>
      </c>
      <c r="CF27" s="87" t="str">
        <f t="shared" si="39"/>
        <v>〇</v>
      </c>
      <c r="CG27" s="87" t="str">
        <f t="shared" si="40"/>
        <v>〇</v>
      </c>
      <c r="CH27" s="87" t="str">
        <f t="shared" si="41"/>
        <v>〇</v>
      </c>
      <c r="CI27" s="87" t="str">
        <f t="shared" si="42"/>
        <v>〇</v>
      </c>
      <c r="CJ27" s="87" t="str">
        <f t="shared" si="43"/>
        <v>〇</v>
      </c>
      <c r="CK27" s="87" t="str">
        <f t="shared" si="44"/>
        <v>〇</v>
      </c>
      <c r="CL27" s="87" t="str">
        <f t="shared" si="45"/>
        <v>〇</v>
      </c>
      <c r="CM27" s="87" t="str">
        <f t="shared" si="46"/>
        <v>〇</v>
      </c>
      <c r="CN27" s="87" t="str">
        <f t="shared" si="47"/>
        <v>〇</v>
      </c>
      <c r="CO27" s="87" t="str">
        <f t="shared" si="48"/>
        <v>〇</v>
      </c>
      <c r="CP27" s="87" t="str">
        <f t="shared" si="49"/>
        <v>〇</v>
      </c>
      <c r="CQ27" s="87" t="str">
        <f t="shared" si="50"/>
        <v>〇</v>
      </c>
      <c r="CS27" s="476"/>
      <c r="CT27" s="476"/>
      <c r="CU27" s="476"/>
      <c r="CV27" s="476"/>
    </row>
    <row r="28" spans="1:100" s="90" customFormat="1" ht="23.15" customHeight="1">
      <c r="A28" s="2">
        <v>22</v>
      </c>
      <c r="B28" s="14"/>
      <c r="C28" s="4"/>
      <c r="D28" s="5"/>
      <c r="E28" s="3"/>
      <c r="F28" s="6"/>
      <c r="G28" s="7"/>
      <c r="H28" s="8"/>
      <c r="I28" s="8"/>
      <c r="J28" s="8"/>
      <c r="K28" s="8"/>
      <c r="L28" s="8"/>
      <c r="M28" s="8"/>
      <c r="N28" s="8"/>
      <c r="O28" s="8"/>
      <c r="P28" s="8"/>
      <c r="Q28" s="9"/>
      <c r="R28" s="10"/>
      <c r="S28" s="11"/>
      <c r="T28" s="12"/>
      <c r="U28" s="11"/>
      <c r="V28" s="9"/>
      <c r="W28" s="12"/>
      <c r="X28" s="13"/>
      <c r="Y28" s="89" t="str">
        <f t="shared" si="18"/>
        <v/>
      </c>
      <c r="Z28" s="87">
        <f>IF(COUNTIF($E$7:E28,E28)=1,"",COUNTIF($E$7:E28,E28))</f>
        <v>0</v>
      </c>
      <c r="AA28" s="87" t="str">
        <f t="shared" si="1"/>
        <v/>
      </c>
      <c r="AC28" s="87" t="str">
        <f t="shared" si="19"/>
        <v/>
      </c>
      <c r="AD28" s="87" t="str">
        <f t="shared" si="19"/>
        <v/>
      </c>
      <c r="AE28" s="87" t="str">
        <f t="shared" si="19"/>
        <v/>
      </c>
      <c r="AF28" s="87" t="str">
        <f t="shared" si="19"/>
        <v/>
      </c>
      <c r="AG28" s="87" t="str">
        <f t="shared" si="19"/>
        <v/>
      </c>
      <c r="AH28" s="87" t="str">
        <f t="shared" si="19"/>
        <v/>
      </c>
      <c r="AI28" s="87" t="str">
        <f t="shared" si="19"/>
        <v/>
      </c>
      <c r="AJ28" s="87" t="str">
        <f t="shared" si="19"/>
        <v/>
      </c>
      <c r="AK28" s="87" t="str">
        <f t="shared" si="19"/>
        <v/>
      </c>
      <c r="AL28" s="87" t="str">
        <f t="shared" si="19"/>
        <v/>
      </c>
      <c r="AM28" s="87" t="str">
        <f t="shared" si="19"/>
        <v/>
      </c>
      <c r="AN28" s="87" t="str">
        <f t="shared" si="19"/>
        <v/>
      </c>
      <c r="AP28" s="87" t="str">
        <f t="shared" si="3"/>
        <v/>
      </c>
      <c r="AQ28" s="87" t="str">
        <f t="shared" si="4"/>
        <v/>
      </c>
      <c r="AR28" s="87" t="str">
        <f t="shared" si="5"/>
        <v/>
      </c>
      <c r="AS28" s="87" t="str">
        <f t="shared" si="6"/>
        <v/>
      </c>
      <c r="AT28" s="87" t="str">
        <f t="shared" si="7"/>
        <v/>
      </c>
      <c r="AU28" s="87" t="str">
        <f t="shared" si="8"/>
        <v/>
      </c>
      <c r="AV28" s="87" t="str">
        <f t="shared" si="9"/>
        <v/>
      </c>
      <c r="AW28" s="87" t="str">
        <f t="shared" si="10"/>
        <v/>
      </c>
      <c r="AX28" s="87" t="str">
        <f t="shared" si="11"/>
        <v/>
      </c>
      <c r="AY28" s="87" t="str">
        <f t="shared" si="12"/>
        <v/>
      </c>
      <c r="AZ28" s="87" t="str">
        <f t="shared" si="13"/>
        <v/>
      </c>
      <c r="BA28" s="87" t="str">
        <f t="shared" si="14"/>
        <v/>
      </c>
      <c r="BB28" s="90" t="str">
        <f t="shared" si="20"/>
        <v/>
      </c>
      <c r="BE28" s="87" t="str">
        <f t="shared" si="51"/>
        <v/>
      </c>
      <c r="BF28" s="87" t="str">
        <f t="shared" si="15"/>
        <v/>
      </c>
      <c r="BG28" s="87" t="str">
        <f t="shared" si="16"/>
        <v/>
      </c>
      <c r="BH28" s="87" t="str">
        <f t="shared" si="21"/>
        <v/>
      </c>
      <c r="BI28" s="87" t="str">
        <f t="shared" si="17"/>
        <v/>
      </c>
      <c r="BO28" s="87" t="str">
        <f t="shared" si="22"/>
        <v>〇</v>
      </c>
      <c r="BP28" s="87" t="str">
        <f t="shared" si="23"/>
        <v>〇</v>
      </c>
      <c r="BQ28" s="87" t="str">
        <f t="shared" si="24"/>
        <v>〇</v>
      </c>
      <c r="BR28" s="87" t="str">
        <f t="shared" si="25"/>
        <v>〇</v>
      </c>
      <c r="BS28" s="87" t="str">
        <f t="shared" si="26"/>
        <v>〇</v>
      </c>
      <c r="BT28" s="87" t="str">
        <f t="shared" si="27"/>
        <v>〇</v>
      </c>
      <c r="BU28" s="87" t="str">
        <f t="shared" si="28"/>
        <v>〇</v>
      </c>
      <c r="BV28" s="87" t="str">
        <f t="shared" si="29"/>
        <v>〇</v>
      </c>
      <c r="BW28" s="87" t="str">
        <f t="shared" si="30"/>
        <v>〇</v>
      </c>
      <c r="BX28" s="87" t="str">
        <f t="shared" si="31"/>
        <v>〇</v>
      </c>
      <c r="BY28" s="87" t="str">
        <f t="shared" si="32"/>
        <v>〇</v>
      </c>
      <c r="BZ28" s="87" t="str">
        <f t="shared" si="33"/>
        <v>〇</v>
      </c>
      <c r="CA28" s="87" t="str">
        <f t="shared" si="34"/>
        <v>〇</v>
      </c>
      <c r="CB28" s="87" t="str">
        <f t="shared" si="35"/>
        <v>〇</v>
      </c>
      <c r="CC28" s="87" t="str">
        <f t="shared" si="36"/>
        <v>〇</v>
      </c>
      <c r="CD28" s="87" t="str">
        <f t="shared" si="37"/>
        <v>〇</v>
      </c>
      <c r="CE28" s="87" t="str">
        <f t="shared" si="38"/>
        <v>〇</v>
      </c>
      <c r="CF28" s="87" t="str">
        <f t="shared" si="39"/>
        <v>〇</v>
      </c>
      <c r="CG28" s="87" t="str">
        <f t="shared" si="40"/>
        <v>〇</v>
      </c>
      <c r="CH28" s="87" t="str">
        <f t="shared" si="41"/>
        <v>〇</v>
      </c>
      <c r="CI28" s="87" t="str">
        <f t="shared" si="42"/>
        <v>〇</v>
      </c>
      <c r="CJ28" s="87" t="str">
        <f t="shared" si="43"/>
        <v>〇</v>
      </c>
      <c r="CK28" s="87" t="str">
        <f t="shared" si="44"/>
        <v>〇</v>
      </c>
      <c r="CL28" s="87" t="str">
        <f t="shared" si="45"/>
        <v>〇</v>
      </c>
      <c r="CM28" s="87" t="str">
        <f t="shared" si="46"/>
        <v>〇</v>
      </c>
      <c r="CN28" s="87" t="str">
        <f t="shared" si="47"/>
        <v>〇</v>
      </c>
      <c r="CO28" s="87" t="str">
        <f t="shared" si="48"/>
        <v>〇</v>
      </c>
      <c r="CP28" s="87" t="str">
        <f t="shared" si="49"/>
        <v>〇</v>
      </c>
      <c r="CQ28" s="87" t="str">
        <f t="shared" si="50"/>
        <v>〇</v>
      </c>
      <c r="CS28" s="476"/>
      <c r="CT28" s="476"/>
      <c r="CU28" s="476"/>
      <c r="CV28" s="476"/>
    </row>
    <row r="29" spans="1:100" s="90" customFormat="1" ht="23.15" customHeight="1">
      <c r="A29" s="2">
        <v>23</v>
      </c>
      <c r="B29" s="14"/>
      <c r="C29" s="4"/>
      <c r="D29" s="5"/>
      <c r="E29" s="3"/>
      <c r="F29" s="6"/>
      <c r="G29" s="7"/>
      <c r="H29" s="8"/>
      <c r="I29" s="8"/>
      <c r="J29" s="8"/>
      <c r="K29" s="8"/>
      <c r="L29" s="8"/>
      <c r="M29" s="8"/>
      <c r="N29" s="8"/>
      <c r="O29" s="8"/>
      <c r="P29" s="8"/>
      <c r="Q29" s="9"/>
      <c r="R29" s="10"/>
      <c r="S29" s="11"/>
      <c r="T29" s="12"/>
      <c r="U29" s="11"/>
      <c r="V29" s="9"/>
      <c r="W29" s="12"/>
      <c r="X29" s="13"/>
      <c r="Y29" s="89" t="str">
        <f t="shared" si="18"/>
        <v/>
      </c>
      <c r="Z29" s="87">
        <f>IF(COUNTIF($E$7:E29,E29)=1,"",COUNTIF($E$7:E29,E29))</f>
        <v>0</v>
      </c>
      <c r="AA29" s="87" t="str">
        <f t="shared" si="1"/>
        <v/>
      </c>
      <c r="AC29" s="87" t="str">
        <f t="shared" si="19"/>
        <v/>
      </c>
      <c r="AD29" s="87" t="str">
        <f t="shared" si="19"/>
        <v/>
      </c>
      <c r="AE29" s="87" t="str">
        <f t="shared" si="19"/>
        <v/>
      </c>
      <c r="AF29" s="87" t="str">
        <f t="shared" si="19"/>
        <v/>
      </c>
      <c r="AG29" s="87" t="str">
        <f t="shared" si="19"/>
        <v/>
      </c>
      <c r="AH29" s="87" t="str">
        <f t="shared" si="19"/>
        <v/>
      </c>
      <c r="AI29" s="87" t="str">
        <f t="shared" si="19"/>
        <v/>
      </c>
      <c r="AJ29" s="87" t="str">
        <f t="shared" si="19"/>
        <v/>
      </c>
      <c r="AK29" s="87" t="str">
        <f t="shared" si="19"/>
        <v/>
      </c>
      <c r="AL29" s="87" t="str">
        <f t="shared" si="19"/>
        <v/>
      </c>
      <c r="AM29" s="87" t="str">
        <f t="shared" si="19"/>
        <v/>
      </c>
      <c r="AN29" s="87" t="str">
        <f t="shared" si="19"/>
        <v/>
      </c>
      <c r="AP29" s="87" t="str">
        <f t="shared" si="3"/>
        <v/>
      </c>
      <c r="AQ29" s="87" t="str">
        <f t="shared" si="4"/>
        <v/>
      </c>
      <c r="AR29" s="87" t="str">
        <f t="shared" si="5"/>
        <v/>
      </c>
      <c r="AS29" s="87" t="str">
        <f t="shared" si="6"/>
        <v/>
      </c>
      <c r="AT29" s="87" t="str">
        <f t="shared" si="7"/>
        <v/>
      </c>
      <c r="AU29" s="87" t="str">
        <f t="shared" si="8"/>
        <v/>
      </c>
      <c r="AV29" s="87" t="str">
        <f t="shared" si="9"/>
        <v/>
      </c>
      <c r="AW29" s="87" t="str">
        <f t="shared" si="10"/>
        <v/>
      </c>
      <c r="AX29" s="87" t="str">
        <f t="shared" si="11"/>
        <v/>
      </c>
      <c r="AY29" s="87" t="str">
        <f t="shared" si="12"/>
        <v/>
      </c>
      <c r="AZ29" s="87" t="str">
        <f t="shared" si="13"/>
        <v/>
      </c>
      <c r="BA29" s="87" t="str">
        <f t="shared" si="14"/>
        <v/>
      </c>
      <c r="BB29" s="90" t="str">
        <f t="shared" si="20"/>
        <v/>
      </c>
      <c r="BE29" s="87" t="str">
        <f t="shared" si="51"/>
        <v/>
      </c>
      <c r="BF29" s="87" t="str">
        <f t="shared" si="15"/>
        <v/>
      </c>
      <c r="BG29" s="87" t="str">
        <f t="shared" si="16"/>
        <v/>
      </c>
      <c r="BH29" s="87" t="str">
        <f t="shared" si="21"/>
        <v/>
      </c>
      <c r="BI29" s="87" t="str">
        <f t="shared" si="17"/>
        <v/>
      </c>
      <c r="BO29" s="87" t="str">
        <f t="shared" si="22"/>
        <v>〇</v>
      </c>
      <c r="BP29" s="87" t="str">
        <f t="shared" si="23"/>
        <v>〇</v>
      </c>
      <c r="BQ29" s="87" t="str">
        <f t="shared" si="24"/>
        <v>〇</v>
      </c>
      <c r="BR29" s="87" t="str">
        <f t="shared" si="25"/>
        <v>〇</v>
      </c>
      <c r="BS29" s="87" t="str">
        <f t="shared" si="26"/>
        <v>〇</v>
      </c>
      <c r="BT29" s="87" t="str">
        <f t="shared" si="27"/>
        <v>〇</v>
      </c>
      <c r="BU29" s="87" t="str">
        <f t="shared" si="28"/>
        <v>〇</v>
      </c>
      <c r="BV29" s="87" t="str">
        <f t="shared" si="29"/>
        <v>〇</v>
      </c>
      <c r="BW29" s="87" t="str">
        <f t="shared" si="30"/>
        <v>〇</v>
      </c>
      <c r="BX29" s="87" t="str">
        <f t="shared" si="31"/>
        <v>〇</v>
      </c>
      <c r="BY29" s="87" t="str">
        <f t="shared" si="32"/>
        <v>〇</v>
      </c>
      <c r="BZ29" s="87" t="str">
        <f t="shared" si="33"/>
        <v>〇</v>
      </c>
      <c r="CA29" s="87" t="str">
        <f t="shared" si="34"/>
        <v>〇</v>
      </c>
      <c r="CB29" s="87" t="str">
        <f t="shared" si="35"/>
        <v>〇</v>
      </c>
      <c r="CC29" s="87" t="str">
        <f t="shared" si="36"/>
        <v>〇</v>
      </c>
      <c r="CD29" s="87" t="str">
        <f t="shared" si="37"/>
        <v>〇</v>
      </c>
      <c r="CE29" s="87" t="str">
        <f t="shared" si="38"/>
        <v>〇</v>
      </c>
      <c r="CF29" s="87" t="str">
        <f t="shared" si="39"/>
        <v>〇</v>
      </c>
      <c r="CG29" s="87" t="str">
        <f t="shared" si="40"/>
        <v>〇</v>
      </c>
      <c r="CH29" s="87" t="str">
        <f t="shared" si="41"/>
        <v>〇</v>
      </c>
      <c r="CI29" s="87" t="str">
        <f t="shared" si="42"/>
        <v>〇</v>
      </c>
      <c r="CJ29" s="87" t="str">
        <f t="shared" si="43"/>
        <v>〇</v>
      </c>
      <c r="CK29" s="87" t="str">
        <f t="shared" si="44"/>
        <v>〇</v>
      </c>
      <c r="CL29" s="87" t="str">
        <f t="shared" si="45"/>
        <v>〇</v>
      </c>
      <c r="CM29" s="87" t="str">
        <f t="shared" si="46"/>
        <v>〇</v>
      </c>
      <c r="CN29" s="87" t="str">
        <f t="shared" si="47"/>
        <v>〇</v>
      </c>
      <c r="CO29" s="87" t="str">
        <f t="shared" si="48"/>
        <v>〇</v>
      </c>
      <c r="CP29" s="87" t="str">
        <f t="shared" si="49"/>
        <v>〇</v>
      </c>
      <c r="CQ29" s="87" t="str">
        <f t="shared" si="50"/>
        <v>〇</v>
      </c>
      <c r="CS29" s="476"/>
      <c r="CT29" s="476"/>
      <c r="CU29" s="476"/>
      <c r="CV29" s="476"/>
    </row>
    <row r="30" spans="1:100" s="90" customFormat="1" ht="23.15" customHeight="1">
      <c r="A30" s="2">
        <v>24</v>
      </c>
      <c r="B30" s="14"/>
      <c r="C30" s="4"/>
      <c r="D30" s="5"/>
      <c r="E30" s="3"/>
      <c r="F30" s="6"/>
      <c r="G30" s="7"/>
      <c r="H30" s="8"/>
      <c r="I30" s="8"/>
      <c r="J30" s="8"/>
      <c r="K30" s="8"/>
      <c r="L30" s="8"/>
      <c r="M30" s="8"/>
      <c r="N30" s="8"/>
      <c r="O30" s="8"/>
      <c r="P30" s="8"/>
      <c r="Q30" s="9"/>
      <c r="R30" s="10"/>
      <c r="S30" s="11"/>
      <c r="T30" s="12"/>
      <c r="U30" s="11"/>
      <c r="V30" s="9"/>
      <c r="W30" s="12"/>
      <c r="X30" s="13"/>
      <c r="Y30" s="89" t="str">
        <f t="shared" si="18"/>
        <v/>
      </c>
      <c r="Z30" s="87">
        <f>IF(COUNTIF($E$7:E30,E30)=1,"",COUNTIF($E$7:E30,E30))</f>
        <v>0</v>
      </c>
      <c r="AA30" s="87" t="str">
        <f t="shared" si="1"/>
        <v/>
      </c>
      <c r="AC30" s="87" t="str">
        <f t="shared" si="19"/>
        <v/>
      </c>
      <c r="AD30" s="87" t="str">
        <f t="shared" si="19"/>
        <v/>
      </c>
      <c r="AE30" s="87" t="str">
        <f t="shared" si="19"/>
        <v/>
      </c>
      <c r="AF30" s="87" t="str">
        <f t="shared" si="19"/>
        <v/>
      </c>
      <c r="AG30" s="87" t="str">
        <f t="shared" si="19"/>
        <v/>
      </c>
      <c r="AH30" s="87" t="str">
        <f t="shared" si="19"/>
        <v/>
      </c>
      <c r="AI30" s="87" t="str">
        <f t="shared" si="19"/>
        <v/>
      </c>
      <c r="AJ30" s="87" t="str">
        <f t="shared" si="19"/>
        <v/>
      </c>
      <c r="AK30" s="87" t="str">
        <f t="shared" si="19"/>
        <v/>
      </c>
      <c r="AL30" s="87" t="str">
        <f t="shared" si="19"/>
        <v/>
      </c>
      <c r="AM30" s="87" t="str">
        <f t="shared" si="19"/>
        <v/>
      </c>
      <c r="AN30" s="87" t="str">
        <f t="shared" si="19"/>
        <v/>
      </c>
      <c r="AP30" s="87" t="str">
        <f t="shared" si="3"/>
        <v/>
      </c>
      <c r="AQ30" s="87" t="str">
        <f t="shared" si="4"/>
        <v/>
      </c>
      <c r="AR30" s="87" t="str">
        <f t="shared" si="5"/>
        <v/>
      </c>
      <c r="AS30" s="87" t="str">
        <f t="shared" si="6"/>
        <v/>
      </c>
      <c r="AT30" s="87" t="str">
        <f t="shared" si="7"/>
        <v/>
      </c>
      <c r="AU30" s="87" t="str">
        <f t="shared" si="8"/>
        <v/>
      </c>
      <c r="AV30" s="87" t="str">
        <f t="shared" si="9"/>
        <v/>
      </c>
      <c r="AW30" s="87" t="str">
        <f t="shared" si="10"/>
        <v/>
      </c>
      <c r="AX30" s="87" t="str">
        <f t="shared" si="11"/>
        <v/>
      </c>
      <c r="AY30" s="87" t="str">
        <f t="shared" si="12"/>
        <v/>
      </c>
      <c r="AZ30" s="87" t="str">
        <f t="shared" si="13"/>
        <v/>
      </c>
      <c r="BA30" s="87" t="str">
        <f t="shared" si="14"/>
        <v/>
      </c>
      <c r="BB30" s="90" t="str">
        <f t="shared" si="20"/>
        <v/>
      </c>
      <c r="BE30" s="87" t="str">
        <f t="shared" si="51"/>
        <v/>
      </c>
      <c r="BF30" s="87" t="str">
        <f t="shared" si="15"/>
        <v/>
      </c>
      <c r="BG30" s="87" t="str">
        <f t="shared" si="16"/>
        <v/>
      </c>
      <c r="BH30" s="87" t="str">
        <f t="shared" si="21"/>
        <v/>
      </c>
      <c r="BI30" s="87" t="str">
        <f t="shared" si="17"/>
        <v/>
      </c>
      <c r="BO30" s="87" t="str">
        <f t="shared" si="22"/>
        <v>〇</v>
      </c>
      <c r="BP30" s="87" t="str">
        <f t="shared" si="23"/>
        <v>〇</v>
      </c>
      <c r="BQ30" s="87" t="str">
        <f t="shared" si="24"/>
        <v>〇</v>
      </c>
      <c r="BR30" s="87" t="str">
        <f t="shared" si="25"/>
        <v>〇</v>
      </c>
      <c r="BS30" s="87" t="str">
        <f t="shared" si="26"/>
        <v>〇</v>
      </c>
      <c r="BT30" s="87" t="str">
        <f t="shared" si="27"/>
        <v>〇</v>
      </c>
      <c r="BU30" s="87" t="str">
        <f t="shared" si="28"/>
        <v>〇</v>
      </c>
      <c r="BV30" s="87" t="str">
        <f t="shared" si="29"/>
        <v>〇</v>
      </c>
      <c r="BW30" s="87" t="str">
        <f t="shared" si="30"/>
        <v>〇</v>
      </c>
      <c r="BX30" s="87" t="str">
        <f t="shared" si="31"/>
        <v>〇</v>
      </c>
      <c r="BY30" s="87" t="str">
        <f t="shared" si="32"/>
        <v>〇</v>
      </c>
      <c r="BZ30" s="87" t="str">
        <f t="shared" si="33"/>
        <v>〇</v>
      </c>
      <c r="CA30" s="87" t="str">
        <f t="shared" si="34"/>
        <v>〇</v>
      </c>
      <c r="CB30" s="87" t="str">
        <f t="shared" si="35"/>
        <v>〇</v>
      </c>
      <c r="CC30" s="87" t="str">
        <f t="shared" si="36"/>
        <v>〇</v>
      </c>
      <c r="CD30" s="87" t="str">
        <f t="shared" si="37"/>
        <v>〇</v>
      </c>
      <c r="CE30" s="87" t="str">
        <f t="shared" si="38"/>
        <v>〇</v>
      </c>
      <c r="CF30" s="87" t="str">
        <f t="shared" si="39"/>
        <v>〇</v>
      </c>
      <c r="CG30" s="87" t="str">
        <f t="shared" si="40"/>
        <v>〇</v>
      </c>
      <c r="CH30" s="87" t="str">
        <f t="shared" si="41"/>
        <v>〇</v>
      </c>
      <c r="CI30" s="87" t="str">
        <f t="shared" si="42"/>
        <v>〇</v>
      </c>
      <c r="CJ30" s="87" t="str">
        <f t="shared" si="43"/>
        <v>〇</v>
      </c>
      <c r="CK30" s="87" t="str">
        <f t="shared" si="44"/>
        <v>〇</v>
      </c>
      <c r="CL30" s="87" t="str">
        <f t="shared" si="45"/>
        <v>〇</v>
      </c>
      <c r="CM30" s="87" t="str">
        <f t="shared" si="46"/>
        <v>〇</v>
      </c>
      <c r="CN30" s="87" t="str">
        <f t="shared" si="47"/>
        <v>〇</v>
      </c>
      <c r="CO30" s="87" t="str">
        <f t="shared" si="48"/>
        <v>〇</v>
      </c>
      <c r="CP30" s="87" t="str">
        <f t="shared" si="49"/>
        <v>〇</v>
      </c>
      <c r="CQ30" s="87" t="str">
        <f t="shared" si="50"/>
        <v>〇</v>
      </c>
      <c r="CS30" s="476"/>
      <c r="CT30" s="476"/>
      <c r="CU30" s="476"/>
      <c r="CV30" s="476"/>
    </row>
    <row r="31" spans="1:100" s="90" customFormat="1" ht="23.15" customHeight="1">
      <c r="A31" s="2">
        <v>25</v>
      </c>
      <c r="B31" s="14"/>
      <c r="C31" s="4"/>
      <c r="D31" s="5"/>
      <c r="E31" s="3"/>
      <c r="F31" s="6"/>
      <c r="G31" s="7"/>
      <c r="H31" s="8"/>
      <c r="I31" s="8"/>
      <c r="J31" s="8"/>
      <c r="K31" s="8"/>
      <c r="L31" s="8"/>
      <c r="M31" s="8"/>
      <c r="N31" s="8"/>
      <c r="O31" s="8"/>
      <c r="P31" s="8"/>
      <c r="Q31" s="9"/>
      <c r="R31" s="10"/>
      <c r="S31" s="11"/>
      <c r="T31" s="12"/>
      <c r="U31" s="11"/>
      <c r="V31" s="9"/>
      <c r="W31" s="12"/>
      <c r="X31" s="13"/>
      <c r="Y31" s="89" t="str">
        <f t="shared" si="18"/>
        <v/>
      </c>
      <c r="Z31" s="87">
        <f>IF(COUNTIF($E$7:E31,E31)=1,"",COUNTIF($E$7:E31,E31))</f>
        <v>0</v>
      </c>
      <c r="AA31" s="87" t="str">
        <f t="shared" si="1"/>
        <v/>
      </c>
      <c r="AC31" s="87" t="str">
        <f t="shared" si="19"/>
        <v/>
      </c>
      <c r="AD31" s="87" t="str">
        <f t="shared" si="19"/>
        <v/>
      </c>
      <c r="AE31" s="87" t="str">
        <f t="shared" si="19"/>
        <v/>
      </c>
      <c r="AF31" s="87" t="str">
        <f t="shared" si="19"/>
        <v/>
      </c>
      <c r="AG31" s="87" t="str">
        <f t="shared" si="19"/>
        <v/>
      </c>
      <c r="AH31" s="87" t="str">
        <f t="shared" si="19"/>
        <v/>
      </c>
      <c r="AI31" s="87" t="str">
        <f t="shared" si="19"/>
        <v/>
      </c>
      <c r="AJ31" s="87" t="str">
        <f t="shared" si="19"/>
        <v/>
      </c>
      <c r="AK31" s="87" t="str">
        <f t="shared" si="19"/>
        <v/>
      </c>
      <c r="AL31" s="87" t="str">
        <f t="shared" si="19"/>
        <v/>
      </c>
      <c r="AM31" s="87" t="str">
        <f t="shared" si="19"/>
        <v/>
      </c>
      <c r="AN31" s="87" t="str">
        <f t="shared" si="19"/>
        <v/>
      </c>
      <c r="AP31" s="87" t="str">
        <f t="shared" si="3"/>
        <v/>
      </c>
      <c r="AQ31" s="87" t="str">
        <f t="shared" si="4"/>
        <v/>
      </c>
      <c r="AR31" s="87" t="str">
        <f t="shared" si="5"/>
        <v/>
      </c>
      <c r="AS31" s="87" t="str">
        <f t="shared" si="6"/>
        <v/>
      </c>
      <c r="AT31" s="87" t="str">
        <f t="shared" si="7"/>
        <v/>
      </c>
      <c r="AU31" s="87" t="str">
        <f t="shared" si="8"/>
        <v/>
      </c>
      <c r="AV31" s="87" t="str">
        <f t="shared" si="9"/>
        <v/>
      </c>
      <c r="AW31" s="87" t="str">
        <f t="shared" si="10"/>
        <v/>
      </c>
      <c r="AX31" s="87" t="str">
        <f t="shared" si="11"/>
        <v/>
      </c>
      <c r="AY31" s="87" t="str">
        <f t="shared" si="12"/>
        <v/>
      </c>
      <c r="AZ31" s="87" t="str">
        <f t="shared" si="13"/>
        <v/>
      </c>
      <c r="BA31" s="87" t="str">
        <f t="shared" si="14"/>
        <v/>
      </c>
      <c r="BB31" s="90" t="str">
        <f t="shared" si="20"/>
        <v/>
      </c>
      <c r="BE31" s="87" t="str">
        <f t="shared" si="51"/>
        <v/>
      </c>
      <c r="BF31" s="87" t="str">
        <f t="shared" si="15"/>
        <v/>
      </c>
      <c r="BG31" s="87" t="str">
        <f t="shared" si="16"/>
        <v/>
      </c>
      <c r="BH31" s="87" t="str">
        <f t="shared" si="21"/>
        <v/>
      </c>
      <c r="BI31" s="87" t="str">
        <f t="shared" si="17"/>
        <v/>
      </c>
      <c r="BO31" s="87" t="str">
        <f t="shared" si="22"/>
        <v>〇</v>
      </c>
      <c r="BP31" s="87" t="str">
        <f t="shared" si="23"/>
        <v>〇</v>
      </c>
      <c r="BQ31" s="87" t="str">
        <f t="shared" si="24"/>
        <v>〇</v>
      </c>
      <c r="BR31" s="87" t="str">
        <f t="shared" si="25"/>
        <v>〇</v>
      </c>
      <c r="BS31" s="87" t="str">
        <f t="shared" si="26"/>
        <v>〇</v>
      </c>
      <c r="BT31" s="87" t="str">
        <f t="shared" si="27"/>
        <v>〇</v>
      </c>
      <c r="BU31" s="87" t="str">
        <f t="shared" si="28"/>
        <v>〇</v>
      </c>
      <c r="BV31" s="87" t="str">
        <f t="shared" si="29"/>
        <v>〇</v>
      </c>
      <c r="BW31" s="87" t="str">
        <f t="shared" si="30"/>
        <v>〇</v>
      </c>
      <c r="BX31" s="87" t="str">
        <f t="shared" si="31"/>
        <v>〇</v>
      </c>
      <c r="BY31" s="87" t="str">
        <f t="shared" si="32"/>
        <v>〇</v>
      </c>
      <c r="BZ31" s="87" t="str">
        <f t="shared" si="33"/>
        <v>〇</v>
      </c>
      <c r="CA31" s="87" t="str">
        <f t="shared" si="34"/>
        <v>〇</v>
      </c>
      <c r="CB31" s="87" t="str">
        <f t="shared" si="35"/>
        <v>〇</v>
      </c>
      <c r="CC31" s="87" t="str">
        <f t="shared" si="36"/>
        <v>〇</v>
      </c>
      <c r="CD31" s="87" t="str">
        <f t="shared" si="37"/>
        <v>〇</v>
      </c>
      <c r="CE31" s="87" t="str">
        <f t="shared" si="38"/>
        <v>〇</v>
      </c>
      <c r="CF31" s="87" t="str">
        <f t="shared" si="39"/>
        <v>〇</v>
      </c>
      <c r="CG31" s="87" t="str">
        <f t="shared" si="40"/>
        <v>〇</v>
      </c>
      <c r="CH31" s="87" t="str">
        <f t="shared" si="41"/>
        <v>〇</v>
      </c>
      <c r="CI31" s="87" t="str">
        <f t="shared" si="42"/>
        <v>〇</v>
      </c>
      <c r="CJ31" s="87" t="str">
        <f t="shared" si="43"/>
        <v>〇</v>
      </c>
      <c r="CK31" s="87" t="str">
        <f t="shared" si="44"/>
        <v>〇</v>
      </c>
      <c r="CL31" s="87" t="str">
        <f t="shared" si="45"/>
        <v>〇</v>
      </c>
      <c r="CM31" s="87" t="str">
        <f t="shared" si="46"/>
        <v>〇</v>
      </c>
      <c r="CN31" s="87" t="str">
        <f t="shared" si="47"/>
        <v>〇</v>
      </c>
      <c r="CO31" s="87" t="str">
        <f t="shared" si="48"/>
        <v>〇</v>
      </c>
      <c r="CP31" s="87" t="str">
        <f t="shared" si="49"/>
        <v>〇</v>
      </c>
      <c r="CQ31" s="87" t="str">
        <f t="shared" si="50"/>
        <v>〇</v>
      </c>
      <c r="CS31" s="476"/>
      <c r="CT31" s="476"/>
      <c r="CU31" s="476"/>
      <c r="CV31" s="476"/>
    </row>
    <row r="32" spans="1:100" s="90" customFormat="1" ht="23.15" customHeight="1">
      <c r="A32" s="2">
        <v>26</v>
      </c>
      <c r="B32" s="14"/>
      <c r="C32" s="4"/>
      <c r="D32" s="5"/>
      <c r="E32" s="3"/>
      <c r="F32" s="6"/>
      <c r="G32" s="7"/>
      <c r="H32" s="8"/>
      <c r="I32" s="8"/>
      <c r="J32" s="8"/>
      <c r="K32" s="8"/>
      <c r="L32" s="8"/>
      <c r="M32" s="8"/>
      <c r="N32" s="8"/>
      <c r="O32" s="8"/>
      <c r="P32" s="8"/>
      <c r="Q32" s="9"/>
      <c r="R32" s="10"/>
      <c r="S32" s="11"/>
      <c r="T32" s="9"/>
      <c r="U32" s="16"/>
      <c r="V32" s="9"/>
      <c r="W32" s="12"/>
      <c r="X32" s="13"/>
      <c r="Y32" s="89" t="str">
        <f t="shared" si="18"/>
        <v/>
      </c>
      <c r="Z32" s="87">
        <f>IF(COUNTIF($E$7:E32,E32)=1,"",COUNTIF($E$7:E32,E32))</f>
        <v>0</v>
      </c>
      <c r="AA32" s="87" t="str">
        <f t="shared" si="1"/>
        <v/>
      </c>
      <c r="AC32" s="87" t="str">
        <f t="shared" si="19"/>
        <v/>
      </c>
      <c r="AD32" s="87" t="str">
        <f t="shared" si="19"/>
        <v/>
      </c>
      <c r="AE32" s="87" t="str">
        <f t="shared" si="19"/>
        <v/>
      </c>
      <c r="AF32" s="87" t="str">
        <f t="shared" si="19"/>
        <v/>
      </c>
      <c r="AG32" s="87" t="str">
        <f t="shared" si="19"/>
        <v/>
      </c>
      <c r="AH32" s="87" t="str">
        <f t="shared" si="19"/>
        <v/>
      </c>
      <c r="AI32" s="87" t="str">
        <f t="shared" si="19"/>
        <v/>
      </c>
      <c r="AJ32" s="87" t="str">
        <f t="shared" si="19"/>
        <v/>
      </c>
      <c r="AK32" s="87" t="str">
        <f t="shared" si="19"/>
        <v/>
      </c>
      <c r="AL32" s="87" t="str">
        <f t="shared" si="19"/>
        <v/>
      </c>
      <c r="AM32" s="87" t="str">
        <f t="shared" si="19"/>
        <v/>
      </c>
      <c r="AN32" s="87" t="str">
        <f t="shared" si="19"/>
        <v/>
      </c>
      <c r="AP32" s="87" t="str">
        <f t="shared" si="3"/>
        <v/>
      </c>
      <c r="AQ32" s="87" t="str">
        <f t="shared" si="4"/>
        <v/>
      </c>
      <c r="AR32" s="87" t="str">
        <f t="shared" si="5"/>
        <v/>
      </c>
      <c r="AS32" s="87" t="str">
        <f t="shared" si="6"/>
        <v/>
      </c>
      <c r="AT32" s="87" t="str">
        <f t="shared" si="7"/>
        <v/>
      </c>
      <c r="AU32" s="87" t="str">
        <f t="shared" si="8"/>
        <v/>
      </c>
      <c r="AV32" s="87" t="str">
        <f t="shared" si="9"/>
        <v/>
      </c>
      <c r="AW32" s="87" t="str">
        <f t="shared" si="10"/>
        <v/>
      </c>
      <c r="AX32" s="87" t="str">
        <f t="shared" si="11"/>
        <v/>
      </c>
      <c r="AY32" s="87" t="str">
        <f t="shared" si="12"/>
        <v/>
      </c>
      <c r="AZ32" s="87" t="str">
        <f t="shared" si="13"/>
        <v/>
      </c>
      <c r="BA32" s="87" t="str">
        <f t="shared" si="14"/>
        <v/>
      </c>
      <c r="BB32" s="90" t="str">
        <f t="shared" si="20"/>
        <v/>
      </c>
      <c r="BE32" s="87" t="str">
        <f t="shared" si="51"/>
        <v/>
      </c>
      <c r="BF32" s="87" t="str">
        <f t="shared" si="15"/>
        <v/>
      </c>
      <c r="BG32" s="87" t="str">
        <f t="shared" si="16"/>
        <v/>
      </c>
      <c r="BH32" s="87" t="str">
        <f t="shared" si="21"/>
        <v/>
      </c>
      <c r="BI32" s="87" t="str">
        <f t="shared" si="17"/>
        <v/>
      </c>
      <c r="BO32" s="87" t="str">
        <f t="shared" si="22"/>
        <v>〇</v>
      </c>
      <c r="BP32" s="87" t="str">
        <f t="shared" si="23"/>
        <v>〇</v>
      </c>
      <c r="BQ32" s="87" t="str">
        <f t="shared" si="24"/>
        <v>〇</v>
      </c>
      <c r="BR32" s="87" t="str">
        <f t="shared" si="25"/>
        <v>〇</v>
      </c>
      <c r="BS32" s="87" t="str">
        <f t="shared" si="26"/>
        <v>〇</v>
      </c>
      <c r="BT32" s="87" t="str">
        <f t="shared" si="27"/>
        <v>〇</v>
      </c>
      <c r="BU32" s="87" t="str">
        <f t="shared" si="28"/>
        <v>〇</v>
      </c>
      <c r="BV32" s="87" t="str">
        <f t="shared" si="29"/>
        <v>〇</v>
      </c>
      <c r="BW32" s="87" t="str">
        <f t="shared" si="30"/>
        <v>〇</v>
      </c>
      <c r="BX32" s="87" t="str">
        <f t="shared" si="31"/>
        <v>〇</v>
      </c>
      <c r="BY32" s="87" t="str">
        <f t="shared" si="32"/>
        <v>〇</v>
      </c>
      <c r="BZ32" s="87" t="str">
        <f t="shared" si="33"/>
        <v>〇</v>
      </c>
      <c r="CA32" s="87" t="str">
        <f t="shared" si="34"/>
        <v>〇</v>
      </c>
      <c r="CB32" s="87" t="str">
        <f t="shared" si="35"/>
        <v>〇</v>
      </c>
      <c r="CC32" s="87" t="str">
        <f t="shared" si="36"/>
        <v>〇</v>
      </c>
      <c r="CD32" s="87" t="str">
        <f t="shared" si="37"/>
        <v>〇</v>
      </c>
      <c r="CE32" s="87" t="str">
        <f t="shared" si="38"/>
        <v>〇</v>
      </c>
      <c r="CF32" s="87" t="str">
        <f t="shared" si="39"/>
        <v>〇</v>
      </c>
      <c r="CG32" s="87" t="str">
        <f t="shared" si="40"/>
        <v>〇</v>
      </c>
      <c r="CH32" s="87" t="str">
        <f t="shared" si="41"/>
        <v>〇</v>
      </c>
      <c r="CI32" s="87" t="str">
        <f t="shared" si="42"/>
        <v>〇</v>
      </c>
      <c r="CJ32" s="87" t="str">
        <f t="shared" si="43"/>
        <v>〇</v>
      </c>
      <c r="CK32" s="87" t="str">
        <f t="shared" si="44"/>
        <v>〇</v>
      </c>
      <c r="CL32" s="87" t="str">
        <f t="shared" si="45"/>
        <v>〇</v>
      </c>
      <c r="CM32" s="87" t="str">
        <f t="shared" si="46"/>
        <v>〇</v>
      </c>
      <c r="CN32" s="87" t="str">
        <f t="shared" si="47"/>
        <v>〇</v>
      </c>
      <c r="CO32" s="87" t="str">
        <f t="shared" si="48"/>
        <v>〇</v>
      </c>
      <c r="CP32" s="87" t="str">
        <f t="shared" si="49"/>
        <v>〇</v>
      </c>
      <c r="CQ32" s="87" t="str">
        <f t="shared" si="50"/>
        <v>〇</v>
      </c>
      <c r="CS32" s="476"/>
      <c r="CT32" s="476"/>
      <c r="CU32" s="476"/>
      <c r="CV32" s="476"/>
    </row>
    <row r="33" spans="1:100" s="90" customFormat="1" ht="23.15" customHeight="1">
      <c r="A33" s="2">
        <v>27</v>
      </c>
      <c r="B33" s="14"/>
      <c r="C33" s="4"/>
      <c r="D33" s="5"/>
      <c r="E33" s="3"/>
      <c r="F33" s="6"/>
      <c r="G33" s="7"/>
      <c r="H33" s="8"/>
      <c r="I33" s="8"/>
      <c r="J33" s="8"/>
      <c r="K33" s="8"/>
      <c r="L33" s="8"/>
      <c r="M33" s="8"/>
      <c r="N33" s="8"/>
      <c r="O33" s="8"/>
      <c r="P33" s="8"/>
      <c r="Q33" s="9"/>
      <c r="R33" s="10"/>
      <c r="S33" s="11"/>
      <c r="T33" s="9"/>
      <c r="U33" s="16"/>
      <c r="V33" s="9"/>
      <c r="W33" s="12"/>
      <c r="X33" s="13"/>
      <c r="Y33" s="89" t="str">
        <f t="shared" si="18"/>
        <v/>
      </c>
      <c r="Z33" s="87">
        <f>IF(COUNTIF($E$7:E33,E33)=1,"",COUNTIF($E$7:E33,E33))</f>
        <v>0</v>
      </c>
      <c r="AA33" s="87" t="str">
        <f t="shared" si="1"/>
        <v/>
      </c>
      <c r="AC33" s="87" t="str">
        <f t="shared" si="19"/>
        <v/>
      </c>
      <c r="AD33" s="87" t="str">
        <f t="shared" si="19"/>
        <v/>
      </c>
      <c r="AE33" s="87" t="str">
        <f t="shared" si="19"/>
        <v/>
      </c>
      <c r="AF33" s="87" t="str">
        <f t="shared" si="19"/>
        <v/>
      </c>
      <c r="AG33" s="87" t="str">
        <f t="shared" si="19"/>
        <v/>
      </c>
      <c r="AH33" s="87" t="str">
        <f t="shared" si="19"/>
        <v/>
      </c>
      <c r="AI33" s="87" t="str">
        <f t="shared" si="19"/>
        <v/>
      </c>
      <c r="AJ33" s="87" t="str">
        <f t="shared" si="19"/>
        <v/>
      </c>
      <c r="AK33" s="87" t="str">
        <f t="shared" si="19"/>
        <v/>
      </c>
      <c r="AL33" s="87" t="str">
        <f t="shared" si="19"/>
        <v/>
      </c>
      <c r="AM33" s="87" t="str">
        <f t="shared" si="19"/>
        <v/>
      </c>
      <c r="AN33" s="87" t="str">
        <f t="shared" si="19"/>
        <v/>
      </c>
      <c r="AP33" s="87" t="str">
        <f t="shared" si="3"/>
        <v/>
      </c>
      <c r="AQ33" s="87" t="str">
        <f t="shared" si="4"/>
        <v/>
      </c>
      <c r="AR33" s="87" t="str">
        <f t="shared" si="5"/>
        <v/>
      </c>
      <c r="AS33" s="87" t="str">
        <f t="shared" si="6"/>
        <v/>
      </c>
      <c r="AT33" s="87" t="str">
        <f t="shared" si="7"/>
        <v/>
      </c>
      <c r="AU33" s="87" t="str">
        <f t="shared" si="8"/>
        <v/>
      </c>
      <c r="AV33" s="87" t="str">
        <f t="shared" si="9"/>
        <v/>
      </c>
      <c r="AW33" s="87" t="str">
        <f t="shared" si="10"/>
        <v/>
      </c>
      <c r="AX33" s="87" t="str">
        <f t="shared" si="11"/>
        <v/>
      </c>
      <c r="AY33" s="87" t="str">
        <f t="shared" si="12"/>
        <v/>
      </c>
      <c r="AZ33" s="87" t="str">
        <f t="shared" si="13"/>
        <v/>
      </c>
      <c r="BA33" s="87" t="str">
        <f t="shared" si="14"/>
        <v/>
      </c>
      <c r="BB33" s="90" t="str">
        <f t="shared" si="20"/>
        <v/>
      </c>
      <c r="BE33" s="87" t="str">
        <f t="shared" si="51"/>
        <v/>
      </c>
      <c r="BF33" s="87" t="str">
        <f t="shared" si="15"/>
        <v/>
      </c>
      <c r="BG33" s="87" t="str">
        <f t="shared" si="16"/>
        <v/>
      </c>
      <c r="BH33" s="87" t="str">
        <f t="shared" si="21"/>
        <v/>
      </c>
      <c r="BI33" s="87" t="str">
        <f t="shared" si="17"/>
        <v/>
      </c>
      <c r="BO33" s="87" t="str">
        <f t="shared" si="22"/>
        <v>〇</v>
      </c>
      <c r="BP33" s="87" t="str">
        <f t="shared" si="23"/>
        <v>〇</v>
      </c>
      <c r="BQ33" s="87" t="str">
        <f t="shared" si="24"/>
        <v>〇</v>
      </c>
      <c r="BR33" s="87" t="str">
        <f t="shared" si="25"/>
        <v>〇</v>
      </c>
      <c r="BS33" s="87" t="str">
        <f t="shared" si="26"/>
        <v>〇</v>
      </c>
      <c r="BT33" s="87" t="str">
        <f t="shared" si="27"/>
        <v>〇</v>
      </c>
      <c r="BU33" s="87" t="str">
        <f t="shared" si="28"/>
        <v>〇</v>
      </c>
      <c r="BV33" s="87" t="str">
        <f t="shared" si="29"/>
        <v>〇</v>
      </c>
      <c r="BW33" s="87" t="str">
        <f t="shared" si="30"/>
        <v>〇</v>
      </c>
      <c r="BX33" s="87" t="str">
        <f t="shared" si="31"/>
        <v>〇</v>
      </c>
      <c r="BY33" s="87" t="str">
        <f t="shared" si="32"/>
        <v>〇</v>
      </c>
      <c r="BZ33" s="87" t="str">
        <f t="shared" si="33"/>
        <v>〇</v>
      </c>
      <c r="CA33" s="87" t="str">
        <f t="shared" si="34"/>
        <v>〇</v>
      </c>
      <c r="CB33" s="87" t="str">
        <f t="shared" si="35"/>
        <v>〇</v>
      </c>
      <c r="CC33" s="87" t="str">
        <f t="shared" si="36"/>
        <v>〇</v>
      </c>
      <c r="CD33" s="87" t="str">
        <f t="shared" si="37"/>
        <v>〇</v>
      </c>
      <c r="CE33" s="87" t="str">
        <f t="shared" si="38"/>
        <v>〇</v>
      </c>
      <c r="CF33" s="87" t="str">
        <f t="shared" si="39"/>
        <v>〇</v>
      </c>
      <c r="CG33" s="87" t="str">
        <f t="shared" si="40"/>
        <v>〇</v>
      </c>
      <c r="CH33" s="87" t="str">
        <f t="shared" si="41"/>
        <v>〇</v>
      </c>
      <c r="CI33" s="87" t="str">
        <f t="shared" si="42"/>
        <v>〇</v>
      </c>
      <c r="CJ33" s="87" t="str">
        <f t="shared" si="43"/>
        <v>〇</v>
      </c>
      <c r="CK33" s="87" t="str">
        <f t="shared" si="44"/>
        <v>〇</v>
      </c>
      <c r="CL33" s="87" t="str">
        <f t="shared" si="45"/>
        <v>〇</v>
      </c>
      <c r="CM33" s="87" t="str">
        <f t="shared" si="46"/>
        <v>〇</v>
      </c>
      <c r="CN33" s="87" t="str">
        <f t="shared" si="47"/>
        <v>〇</v>
      </c>
      <c r="CO33" s="87" t="str">
        <f t="shared" si="48"/>
        <v>〇</v>
      </c>
      <c r="CP33" s="87" t="str">
        <f t="shared" si="49"/>
        <v>〇</v>
      </c>
      <c r="CQ33" s="87" t="str">
        <f t="shared" si="50"/>
        <v>〇</v>
      </c>
      <c r="CS33" s="476"/>
      <c r="CT33" s="476"/>
      <c r="CU33" s="476"/>
      <c r="CV33" s="476"/>
    </row>
    <row r="34" spans="1:100" s="90" customFormat="1" ht="23.15" customHeight="1">
      <c r="A34" s="2">
        <v>28</v>
      </c>
      <c r="B34" s="14"/>
      <c r="C34" s="4"/>
      <c r="D34" s="5"/>
      <c r="E34" s="3"/>
      <c r="F34" s="6"/>
      <c r="G34" s="7"/>
      <c r="H34" s="8"/>
      <c r="I34" s="8"/>
      <c r="J34" s="8"/>
      <c r="K34" s="8"/>
      <c r="L34" s="8"/>
      <c r="M34" s="8"/>
      <c r="N34" s="8"/>
      <c r="O34" s="8"/>
      <c r="P34" s="8"/>
      <c r="Q34" s="9"/>
      <c r="R34" s="10"/>
      <c r="S34" s="11"/>
      <c r="T34" s="9"/>
      <c r="U34" s="16"/>
      <c r="V34" s="9"/>
      <c r="W34" s="12"/>
      <c r="X34" s="13"/>
      <c r="Y34" s="89" t="str">
        <f>IF(E34="","",CONCATENATE(E34,Z34," (",AA34,")"))</f>
        <v/>
      </c>
      <c r="Z34" s="87">
        <f>IF(COUNTIF($E$7:E34,E34)=1,"",COUNTIF($E$7:E34,E34))</f>
        <v>0</v>
      </c>
      <c r="AA34" s="87" t="str">
        <f t="shared" si="1"/>
        <v/>
      </c>
      <c r="AC34" s="87" t="str">
        <f t="shared" si="19"/>
        <v/>
      </c>
      <c r="AD34" s="87" t="str">
        <f t="shared" si="19"/>
        <v/>
      </c>
      <c r="AE34" s="87" t="str">
        <f t="shared" si="19"/>
        <v/>
      </c>
      <c r="AF34" s="87" t="str">
        <f t="shared" si="19"/>
        <v/>
      </c>
      <c r="AG34" s="87" t="str">
        <f t="shared" si="19"/>
        <v/>
      </c>
      <c r="AH34" s="87" t="str">
        <f t="shared" si="19"/>
        <v/>
      </c>
      <c r="AI34" s="87" t="str">
        <f t="shared" si="19"/>
        <v/>
      </c>
      <c r="AJ34" s="87" t="str">
        <f t="shared" si="19"/>
        <v/>
      </c>
      <c r="AK34" s="87" t="str">
        <f t="shared" si="19"/>
        <v/>
      </c>
      <c r="AL34" s="87" t="str">
        <f t="shared" si="19"/>
        <v/>
      </c>
      <c r="AM34" s="87" t="str">
        <f t="shared" si="19"/>
        <v/>
      </c>
      <c r="AN34" s="87" t="str">
        <f t="shared" si="19"/>
        <v/>
      </c>
      <c r="AP34" s="87" t="str">
        <f t="shared" si="3"/>
        <v/>
      </c>
      <c r="AQ34" s="87" t="str">
        <f t="shared" si="4"/>
        <v/>
      </c>
      <c r="AR34" s="87" t="str">
        <f t="shared" si="5"/>
        <v/>
      </c>
      <c r="AS34" s="87" t="str">
        <f t="shared" si="6"/>
        <v/>
      </c>
      <c r="AT34" s="87" t="str">
        <f t="shared" si="7"/>
        <v/>
      </c>
      <c r="AU34" s="87" t="str">
        <f t="shared" si="8"/>
        <v/>
      </c>
      <c r="AV34" s="87" t="str">
        <f t="shared" si="9"/>
        <v/>
      </c>
      <c r="AW34" s="87" t="str">
        <f t="shared" si="10"/>
        <v/>
      </c>
      <c r="AX34" s="87" t="str">
        <f t="shared" si="11"/>
        <v/>
      </c>
      <c r="AY34" s="87" t="str">
        <f t="shared" si="12"/>
        <v/>
      </c>
      <c r="AZ34" s="87" t="str">
        <f t="shared" si="13"/>
        <v/>
      </c>
      <c r="BA34" s="87" t="str">
        <f t="shared" si="14"/>
        <v/>
      </c>
      <c r="BB34" s="90" t="str">
        <f t="shared" si="20"/>
        <v/>
      </c>
      <c r="BE34" s="87" t="str">
        <f t="shared" si="51"/>
        <v/>
      </c>
      <c r="BF34" s="87" t="str">
        <f t="shared" si="15"/>
        <v/>
      </c>
      <c r="BG34" s="87" t="str">
        <f t="shared" si="16"/>
        <v/>
      </c>
      <c r="BH34" s="87" t="str">
        <f t="shared" si="21"/>
        <v/>
      </c>
      <c r="BI34" s="87" t="str">
        <f t="shared" si="17"/>
        <v/>
      </c>
      <c r="BO34" s="87" t="str">
        <f t="shared" si="22"/>
        <v>〇</v>
      </c>
      <c r="BP34" s="87" t="str">
        <f t="shared" si="23"/>
        <v>〇</v>
      </c>
      <c r="BQ34" s="87" t="str">
        <f t="shared" si="24"/>
        <v>〇</v>
      </c>
      <c r="BR34" s="87" t="str">
        <f t="shared" si="25"/>
        <v>〇</v>
      </c>
      <c r="BS34" s="87" t="str">
        <f t="shared" si="26"/>
        <v>〇</v>
      </c>
      <c r="BT34" s="87" t="str">
        <f t="shared" si="27"/>
        <v>〇</v>
      </c>
      <c r="BU34" s="87" t="str">
        <f t="shared" si="28"/>
        <v>〇</v>
      </c>
      <c r="BV34" s="87" t="str">
        <f t="shared" si="29"/>
        <v>〇</v>
      </c>
      <c r="BW34" s="87" t="str">
        <f t="shared" si="30"/>
        <v>〇</v>
      </c>
      <c r="BX34" s="87" t="str">
        <f t="shared" si="31"/>
        <v>〇</v>
      </c>
      <c r="BY34" s="87" t="str">
        <f t="shared" si="32"/>
        <v>〇</v>
      </c>
      <c r="BZ34" s="87" t="str">
        <f t="shared" si="33"/>
        <v>〇</v>
      </c>
      <c r="CA34" s="87" t="str">
        <f t="shared" si="34"/>
        <v>〇</v>
      </c>
      <c r="CB34" s="87" t="str">
        <f t="shared" si="35"/>
        <v>〇</v>
      </c>
      <c r="CC34" s="87" t="str">
        <f t="shared" si="36"/>
        <v>〇</v>
      </c>
      <c r="CD34" s="87" t="str">
        <f t="shared" si="37"/>
        <v>〇</v>
      </c>
      <c r="CE34" s="87" t="str">
        <f t="shared" si="38"/>
        <v>〇</v>
      </c>
      <c r="CF34" s="87" t="str">
        <f t="shared" si="39"/>
        <v>〇</v>
      </c>
      <c r="CG34" s="87" t="str">
        <f t="shared" si="40"/>
        <v>〇</v>
      </c>
      <c r="CH34" s="87" t="str">
        <f t="shared" si="41"/>
        <v>〇</v>
      </c>
      <c r="CI34" s="87" t="str">
        <f t="shared" si="42"/>
        <v>〇</v>
      </c>
      <c r="CJ34" s="87" t="str">
        <f t="shared" si="43"/>
        <v>〇</v>
      </c>
      <c r="CK34" s="87" t="str">
        <f t="shared" si="44"/>
        <v>〇</v>
      </c>
      <c r="CL34" s="87" t="str">
        <f t="shared" si="45"/>
        <v>〇</v>
      </c>
      <c r="CM34" s="87" t="str">
        <f t="shared" si="46"/>
        <v>〇</v>
      </c>
      <c r="CN34" s="87" t="str">
        <f t="shared" si="47"/>
        <v>〇</v>
      </c>
      <c r="CO34" s="87" t="str">
        <f t="shared" si="48"/>
        <v>〇</v>
      </c>
      <c r="CP34" s="87" t="str">
        <f t="shared" si="49"/>
        <v>〇</v>
      </c>
      <c r="CQ34" s="87" t="str">
        <f t="shared" si="50"/>
        <v>〇</v>
      </c>
      <c r="CS34" s="476"/>
      <c r="CT34" s="476"/>
      <c r="CU34" s="476"/>
      <c r="CV34" s="476"/>
    </row>
    <row r="35" spans="1:100" s="90" customFormat="1" ht="23.15" customHeight="1">
      <c r="A35" s="2">
        <v>29</v>
      </c>
      <c r="B35" s="14"/>
      <c r="C35" s="4"/>
      <c r="D35" s="5"/>
      <c r="E35" s="3"/>
      <c r="F35" s="6"/>
      <c r="G35" s="7"/>
      <c r="H35" s="8"/>
      <c r="I35" s="8"/>
      <c r="J35" s="8"/>
      <c r="K35" s="8"/>
      <c r="L35" s="8"/>
      <c r="M35" s="8"/>
      <c r="N35" s="8"/>
      <c r="O35" s="8"/>
      <c r="P35" s="8"/>
      <c r="Q35" s="9"/>
      <c r="R35" s="10"/>
      <c r="S35" s="11"/>
      <c r="T35" s="9"/>
      <c r="U35" s="16"/>
      <c r="V35" s="9"/>
      <c r="W35" s="12"/>
      <c r="X35" s="13"/>
      <c r="Y35" s="89" t="str">
        <f t="shared" si="18"/>
        <v/>
      </c>
      <c r="Z35" s="87">
        <f>IF(COUNTIF($E$7:E35,E35)=1,"",COUNTIF($E$7:E35,E35))</f>
        <v>0</v>
      </c>
      <c r="AA35" s="87" t="str">
        <f t="shared" si="1"/>
        <v/>
      </c>
      <c r="AC35" s="87" t="str">
        <f t="shared" si="19"/>
        <v/>
      </c>
      <c r="AD35" s="87" t="str">
        <f t="shared" si="19"/>
        <v/>
      </c>
      <c r="AE35" s="87" t="str">
        <f t="shared" si="19"/>
        <v/>
      </c>
      <c r="AF35" s="87" t="str">
        <f t="shared" si="19"/>
        <v/>
      </c>
      <c r="AG35" s="87" t="str">
        <f t="shared" si="19"/>
        <v/>
      </c>
      <c r="AH35" s="87" t="str">
        <f t="shared" si="19"/>
        <v/>
      </c>
      <c r="AI35" s="87" t="str">
        <f t="shared" si="19"/>
        <v/>
      </c>
      <c r="AJ35" s="87" t="str">
        <f t="shared" si="19"/>
        <v/>
      </c>
      <c r="AK35" s="87" t="str">
        <f t="shared" si="19"/>
        <v/>
      </c>
      <c r="AL35" s="87" t="str">
        <f t="shared" si="19"/>
        <v/>
      </c>
      <c r="AM35" s="87" t="str">
        <f t="shared" si="19"/>
        <v/>
      </c>
      <c r="AN35" s="87" t="str">
        <f t="shared" si="19"/>
        <v/>
      </c>
      <c r="AP35" s="87" t="str">
        <f t="shared" si="3"/>
        <v/>
      </c>
      <c r="AQ35" s="87" t="str">
        <f t="shared" si="4"/>
        <v/>
      </c>
      <c r="AR35" s="87" t="str">
        <f t="shared" si="5"/>
        <v/>
      </c>
      <c r="AS35" s="87" t="str">
        <f t="shared" si="6"/>
        <v/>
      </c>
      <c r="AT35" s="87" t="str">
        <f t="shared" si="7"/>
        <v/>
      </c>
      <c r="AU35" s="87" t="str">
        <f t="shared" si="8"/>
        <v/>
      </c>
      <c r="AV35" s="87" t="str">
        <f t="shared" si="9"/>
        <v/>
      </c>
      <c r="AW35" s="87" t="str">
        <f t="shared" si="10"/>
        <v/>
      </c>
      <c r="AX35" s="87" t="str">
        <f t="shared" si="11"/>
        <v/>
      </c>
      <c r="AY35" s="87" t="str">
        <f t="shared" si="12"/>
        <v/>
      </c>
      <c r="AZ35" s="87" t="str">
        <f t="shared" si="13"/>
        <v/>
      </c>
      <c r="BA35" s="87" t="str">
        <f t="shared" si="14"/>
        <v/>
      </c>
      <c r="BB35" s="90" t="str">
        <f t="shared" si="20"/>
        <v/>
      </c>
      <c r="BE35" s="87" t="str">
        <f t="shared" si="51"/>
        <v/>
      </c>
      <c r="BF35" s="87" t="str">
        <f t="shared" si="15"/>
        <v/>
      </c>
      <c r="BG35" s="87" t="str">
        <f t="shared" si="16"/>
        <v/>
      </c>
      <c r="BH35" s="87" t="str">
        <f t="shared" si="21"/>
        <v/>
      </c>
      <c r="BI35" s="87" t="str">
        <f t="shared" si="17"/>
        <v/>
      </c>
      <c r="BO35" s="87" t="str">
        <f t="shared" si="22"/>
        <v>〇</v>
      </c>
      <c r="BP35" s="87" t="str">
        <f t="shared" si="23"/>
        <v>〇</v>
      </c>
      <c r="BQ35" s="87" t="str">
        <f t="shared" si="24"/>
        <v>〇</v>
      </c>
      <c r="BR35" s="87" t="str">
        <f t="shared" si="25"/>
        <v>〇</v>
      </c>
      <c r="BS35" s="87" t="str">
        <f t="shared" si="26"/>
        <v>〇</v>
      </c>
      <c r="BT35" s="87" t="str">
        <f t="shared" si="27"/>
        <v>〇</v>
      </c>
      <c r="BU35" s="87" t="str">
        <f t="shared" si="28"/>
        <v>〇</v>
      </c>
      <c r="BV35" s="87" t="str">
        <f t="shared" si="29"/>
        <v>〇</v>
      </c>
      <c r="BW35" s="87" t="str">
        <f t="shared" si="30"/>
        <v>〇</v>
      </c>
      <c r="BX35" s="87" t="str">
        <f t="shared" si="31"/>
        <v>〇</v>
      </c>
      <c r="BY35" s="87" t="str">
        <f t="shared" si="32"/>
        <v>〇</v>
      </c>
      <c r="BZ35" s="87" t="str">
        <f t="shared" si="33"/>
        <v>〇</v>
      </c>
      <c r="CA35" s="87" t="str">
        <f t="shared" si="34"/>
        <v>〇</v>
      </c>
      <c r="CB35" s="87" t="str">
        <f t="shared" si="35"/>
        <v>〇</v>
      </c>
      <c r="CC35" s="87" t="str">
        <f t="shared" si="36"/>
        <v>〇</v>
      </c>
      <c r="CD35" s="87" t="str">
        <f t="shared" si="37"/>
        <v>〇</v>
      </c>
      <c r="CE35" s="87" t="str">
        <f t="shared" si="38"/>
        <v>〇</v>
      </c>
      <c r="CF35" s="87" t="str">
        <f t="shared" si="39"/>
        <v>〇</v>
      </c>
      <c r="CG35" s="87" t="str">
        <f t="shared" si="40"/>
        <v>〇</v>
      </c>
      <c r="CH35" s="87" t="str">
        <f t="shared" si="41"/>
        <v>〇</v>
      </c>
      <c r="CI35" s="87" t="str">
        <f t="shared" si="42"/>
        <v>〇</v>
      </c>
      <c r="CJ35" s="87" t="str">
        <f t="shared" si="43"/>
        <v>〇</v>
      </c>
      <c r="CK35" s="87" t="str">
        <f t="shared" si="44"/>
        <v>〇</v>
      </c>
      <c r="CL35" s="87" t="str">
        <f t="shared" si="45"/>
        <v>〇</v>
      </c>
      <c r="CM35" s="87" t="str">
        <f t="shared" si="46"/>
        <v>〇</v>
      </c>
      <c r="CN35" s="87" t="str">
        <f t="shared" si="47"/>
        <v>〇</v>
      </c>
      <c r="CO35" s="87" t="str">
        <f t="shared" si="48"/>
        <v>〇</v>
      </c>
      <c r="CP35" s="87" t="str">
        <f t="shared" si="49"/>
        <v>〇</v>
      </c>
      <c r="CQ35" s="87" t="str">
        <f t="shared" si="50"/>
        <v>〇</v>
      </c>
      <c r="CS35" s="476"/>
      <c r="CT35" s="476"/>
      <c r="CU35" s="476"/>
      <c r="CV35" s="476"/>
    </row>
    <row r="36" spans="1:100" s="90" customFormat="1" ht="23.15" customHeight="1">
      <c r="A36" s="2">
        <v>30</v>
      </c>
      <c r="B36" s="14"/>
      <c r="C36" s="4"/>
      <c r="D36" s="5"/>
      <c r="E36" s="3"/>
      <c r="F36" s="6"/>
      <c r="G36" s="7"/>
      <c r="H36" s="8"/>
      <c r="I36" s="8"/>
      <c r="J36" s="8"/>
      <c r="K36" s="8"/>
      <c r="L36" s="8"/>
      <c r="M36" s="8"/>
      <c r="N36" s="8"/>
      <c r="O36" s="8"/>
      <c r="P36" s="8"/>
      <c r="Q36" s="9"/>
      <c r="R36" s="10"/>
      <c r="S36" s="11"/>
      <c r="T36" s="9"/>
      <c r="U36" s="16"/>
      <c r="V36" s="9"/>
      <c r="W36" s="12"/>
      <c r="X36" s="13"/>
      <c r="Y36" s="89" t="str">
        <f t="shared" si="18"/>
        <v/>
      </c>
      <c r="Z36" s="87">
        <f>IF(COUNTIF($E$7:E36,E36)=1,"",COUNTIF($E$7:E36,E36))</f>
        <v>0</v>
      </c>
      <c r="AA36" s="87" t="str">
        <f t="shared" si="1"/>
        <v/>
      </c>
      <c r="AC36" s="87" t="str">
        <f t="shared" si="19"/>
        <v/>
      </c>
      <c r="AD36" s="87" t="str">
        <f t="shared" si="19"/>
        <v/>
      </c>
      <c r="AE36" s="87" t="str">
        <f t="shared" si="19"/>
        <v/>
      </c>
      <c r="AF36" s="87" t="str">
        <f t="shared" si="19"/>
        <v/>
      </c>
      <c r="AG36" s="87" t="str">
        <f t="shared" si="19"/>
        <v/>
      </c>
      <c r="AH36" s="87" t="str">
        <f t="shared" si="19"/>
        <v/>
      </c>
      <c r="AI36" s="87" t="str">
        <f t="shared" si="19"/>
        <v/>
      </c>
      <c r="AJ36" s="87" t="str">
        <f t="shared" si="19"/>
        <v/>
      </c>
      <c r="AK36" s="87" t="str">
        <f t="shared" si="19"/>
        <v/>
      </c>
      <c r="AL36" s="87" t="str">
        <f t="shared" si="19"/>
        <v/>
      </c>
      <c r="AM36" s="87" t="str">
        <f t="shared" si="19"/>
        <v/>
      </c>
      <c r="AN36" s="87" t="str">
        <f t="shared" si="19"/>
        <v/>
      </c>
      <c r="AP36" s="87" t="str">
        <f t="shared" si="3"/>
        <v/>
      </c>
      <c r="AQ36" s="87" t="str">
        <f t="shared" si="4"/>
        <v/>
      </c>
      <c r="AR36" s="87" t="str">
        <f t="shared" si="5"/>
        <v/>
      </c>
      <c r="AS36" s="87" t="str">
        <f t="shared" si="6"/>
        <v/>
      </c>
      <c r="AT36" s="87" t="str">
        <f t="shared" si="7"/>
        <v/>
      </c>
      <c r="AU36" s="87" t="str">
        <f t="shared" si="8"/>
        <v/>
      </c>
      <c r="AV36" s="87" t="str">
        <f t="shared" si="9"/>
        <v/>
      </c>
      <c r="AW36" s="87" t="str">
        <f t="shared" si="10"/>
        <v/>
      </c>
      <c r="AX36" s="87" t="str">
        <f t="shared" si="11"/>
        <v/>
      </c>
      <c r="AY36" s="87" t="str">
        <f t="shared" si="12"/>
        <v/>
      </c>
      <c r="AZ36" s="87" t="str">
        <f t="shared" si="13"/>
        <v/>
      </c>
      <c r="BA36" s="87" t="str">
        <f t="shared" si="14"/>
        <v/>
      </c>
      <c r="BB36" s="90" t="str">
        <f t="shared" si="20"/>
        <v/>
      </c>
      <c r="BE36" s="87" t="str">
        <f t="shared" si="51"/>
        <v/>
      </c>
      <c r="BF36" s="87" t="str">
        <f t="shared" si="15"/>
        <v/>
      </c>
      <c r="BG36" s="87" t="str">
        <f t="shared" si="16"/>
        <v/>
      </c>
      <c r="BH36" s="87" t="str">
        <f t="shared" si="21"/>
        <v/>
      </c>
      <c r="BI36" s="87" t="str">
        <f t="shared" si="17"/>
        <v/>
      </c>
      <c r="BO36" s="87" t="str">
        <f t="shared" si="22"/>
        <v>〇</v>
      </c>
      <c r="BP36" s="87" t="str">
        <f t="shared" si="23"/>
        <v>〇</v>
      </c>
      <c r="BQ36" s="87" t="str">
        <f t="shared" si="24"/>
        <v>〇</v>
      </c>
      <c r="BR36" s="87" t="str">
        <f t="shared" si="25"/>
        <v>〇</v>
      </c>
      <c r="BS36" s="87" t="str">
        <f t="shared" si="26"/>
        <v>〇</v>
      </c>
      <c r="BT36" s="87" t="str">
        <f t="shared" si="27"/>
        <v>〇</v>
      </c>
      <c r="BU36" s="87" t="str">
        <f t="shared" si="28"/>
        <v>〇</v>
      </c>
      <c r="BV36" s="87" t="str">
        <f t="shared" si="29"/>
        <v>〇</v>
      </c>
      <c r="BW36" s="87" t="str">
        <f t="shared" si="30"/>
        <v>〇</v>
      </c>
      <c r="BX36" s="87" t="str">
        <f t="shared" si="31"/>
        <v>〇</v>
      </c>
      <c r="BY36" s="87" t="str">
        <f t="shared" si="32"/>
        <v>〇</v>
      </c>
      <c r="BZ36" s="87" t="str">
        <f t="shared" si="33"/>
        <v>〇</v>
      </c>
      <c r="CA36" s="87" t="str">
        <f t="shared" si="34"/>
        <v>〇</v>
      </c>
      <c r="CB36" s="87" t="str">
        <f t="shared" si="35"/>
        <v>〇</v>
      </c>
      <c r="CC36" s="87" t="str">
        <f t="shared" si="36"/>
        <v>〇</v>
      </c>
      <c r="CD36" s="87" t="str">
        <f t="shared" si="37"/>
        <v>〇</v>
      </c>
      <c r="CE36" s="87" t="str">
        <f t="shared" si="38"/>
        <v>〇</v>
      </c>
      <c r="CF36" s="87" t="str">
        <f t="shared" si="39"/>
        <v>〇</v>
      </c>
      <c r="CG36" s="87" t="str">
        <f t="shared" si="40"/>
        <v>〇</v>
      </c>
      <c r="CH36" s="87" t="str">
        <f t="shared" si="41"/>
        <v>〇</v>
      </c>
      <c r="CI36" s="87" t="str">
        <f t="shared" si="42"/>
        <v>〇</v>
      </c>
      <c r="CJ36" s="87" t="str">
        <f t="shared" si="43"/>
        <v>〇</v>
      </c>
      <c r="CK36" s="87" t="str">
        <f t="shared" si="44"/>
        <v>〇</v>
      </c>
      <c r="CL36" s="87" t="str">
        <f t="shared" si="45"/>
        <v>〇</v>
      </c>
      <c r="CM36" s="87" t="str">
        <f t="shared" si="46"/>
        <v>〇</v>
      </c>
      <c r="CN36" s="87" t="str">
        <f t="shared" si="47"/>
        <v>〇</v>
      </c>
      <c r="CO36" s="87" t="str">
        <f t="shared" si="48"/>
        <v>〇</v>
      </c>
      <c r="CP36" s="87" t="str">
        <f t="shared" si="49"/>
        <v>〇</v>
      </c>
      <c r="CQ36" s="87" t="str">
        <f t="shared" si="50"/>
        <v>〇</v>
      </c>
      <c r="CS36" s="476"/>
      <c r="CT36" s="476"/>
      <c r="CU36" s="476"/>
      <c r="CV36" s="476"/>
    </row>
    <row r="37" spans="1:100" s="90" customFormat="1" ht="23.15" customHeight="1">
      <c r="A37" s="2">
        <v>31</v>
      </c>
      <c r="B37" s="14"/>
      <c r="C37" s="4"/>
      <c r="D37" s="5"/>
      <c r="E37" s="3"/>
      <c r="F37" s="6"/>
      <c r="G37" s="7"/>
      <c r="H37" s="8"/>
      <c r="I37" s="8"/>
      <c r="J37" s="8"/>
      <c r="K37" s="8"/>
      <c r="L37" s="8"/>
      <c r="M37" s="8"/>
      <c r="N37" s="8"/>
      <c r="O37" s="8"/>
      <c r="P37" s="8"/>
      <c r="Q37" s="9"/>
      <c r="R37" s="10"/>
      <c r="S37" s="11"/>
      <c r="T37" s="9"/>
      <c r="U37" s="16"/>
      <c r="V37" s="9"/>
      <c r="W37" s="12"/>
      <c r="X37" s="13"/>
      <c r="Y37" s="89" t="str">
        <f t="shared" si="18"/>
        <v/>
      </c>
      <c r="Z37" s="87">
        <f>IF(COUNTIF($E$7:E37,E37)=1,"",COUNTIF($E$7:E37,E37))</f>
        <v>0</v>
      </c>
      <c r="AA37" s="87" t="str">
        <f>IFERROR(IF(OR(W37=$S$119,W37=$S$122),W37,INDEX($B$144:$C$149,MATCH(BB37,$B$144:$B$149,0),2)),"")</f>
        <v/>
      </c>
      <c r="AC37" s="87" t="str">
        <f t="shared" si="19"/>
        <v/>
      </c>
      <c r="AD37" s="87" t="str">
        <f t="shared" si="19"/>
        <v/>
      </c>
      <c r="AE37" s="87" t="str">
        <f t="shared" si="19"/>
        <v/>
      </c>
      <c r="AF37" s="87" t="str">
        <f t="shared" si="19"/>
        <v/>
      </c>
      <c r="AG37" s="87" t="str">
        <f t="shared" si="19"/>
        <v/>
      </c>
      <c r="AH37" s="87" t="str">
        <f t="shared" si="19"/>
        <v/>
      </c>
      <c r="AI37" s="87" t="str">
        <f t="shared" si="19"/>
        <v/>
      </c>
      <c r="AJ37" s="87" t="str">
        <f t="shared" si="19"/>
        <v/>
      </c>
      <c r="AK37" s="87" t="str">
        <f t="shared" si="19"/>
        <v/>
      </c>
      <c r="AL37" s="87" t="str">
        <f t="shared" si="19"/>
        <v/>
      </c>
      <c r="AM37" s="87" t="str">
        <f t="shared" si="19"/>
        <v/>
      </c>
      <c r="AN37" s="87" t="str">
        <f t="shared" si="19"/>
        <v/>
      </c>
      <c r="AP37" s="87" t="str">
        <f t="shared" si="3"/>
        <v/>
      </c>
      <c r="AQ37" s="87" t="str">
        <f t="shared" si="4"/>
        <v/>
      </c>
      <c r="AR37" s="87" t="str">
        <f t="shared" si="5"/>
        <v/>
      </c>
      <c r="AS37" s="87" t="str">
        <f t="shared" si="6"/>
        <v/>
      </c>
      <c r="AT37" s="87" t="str">
        <f t="shared" si="7"/>
        <v/>
      </c>
      <c r="AU37" s="87" t="str">
        <f t="shared" si="8"/>
        <v/>
      </c>
      <c r="AV37" s="87" t="str">
        <f t="shared" si="9"/>
        <v/>
      </c>
      <c r="AW37" s="87" t="str">
        <f t="shared" si="10"/>
        <v/>
      </c>
      <c r="AX37" s="87" t="str">
        <f t="shared" si="11"/>
        <v/>
      </c>
      <c r="AY37" s="87" t="str">
        <f t="shared" si="12"/>
        <v/>
      </c>
      <c r="AZ37" s="87" t="str">
        <f t="shared" si="13"/>
        <v/>
      </c>
      <c r="BA37" s="87" t="str">
        <f t="shared" si="14"/>
        <v/>
      </c>
      <c r="BB37" s="90" t="str">
        <f t="shared" si="20"/>
        <v/>
      </c>
      <c r="BE37" s="87" t="str">
        <f t="shared" si="51"/>
        <v/>
      </c>
      <c r="BF37" s="87" t="str">
        <f t="shared" si="15"/>
        <v/>
      </c>
      <c r="BG37" s="87" t="str">
        <f t="shared" si="16"/>
        <v/>
      </c>
      <c r="BH37" s="87" t="str">
        <f t="shared" si="21"/>
        <v/>
      </c>
      <c r="BI37" s="87" t="str">
        <f t="shared" si="17"/>
        <v/>
      </c>
      <c r="BO37" s="87" t="str">
        <f t="shared" si="22"/>
        <v>〇</v>
      </c>
      <c r="BP37" s="87" t="str">
        <f t="shared" si="23"/>
        <v>〇</v>
      </c>
      <c r="BQ37" s="87" t="str">
        <f t="shared" si="24"/>
        <v>〇</v>
      </c>
      <c r="BR37" s="87" t="str">
        <f t="shared" si="25"/>
        <v>〇</v>
      </c>
      <c r="BS37" s="87" t="str">
        <f t="shared" si="26"/>
        <v>〇</v>
      </c>
      <c r="BT37" s="87" t="str">
        <f t="shared" si="27"/>
        <v>〇</v>
      </c>
      <c r="BU37" s="87" t="str">
        <f t="shared" si="28"/>
        <v>〇</v>
      </c>
      <c r="BV37" s="87" t="str">
        <f t="shared" si="29"/>
        <v>〇</v>
      </c>
      <c r="BW37" s="87" t="str">
        <f t="shared" si="30"/>
        <v>〇</v>
      </c>
      <c r="BX37" s="87" t="str">
        <f t="shared" si="31"/>
        <v>〇</v>
      </c>
      <c r="BY37" s="87" t="str">
        <f t="shared" si="32"/>
        <v>〇</v>
      </c>
      <c r="BZ37" s="87" t="str">
        <f t="shared" si="33"/>
        <v>〇</v>
      </c>
      <c r="CA37" s="87" t="str">
        <f t="shared" si="34"/>
        <v>〇</v>
      </c>
      <c r="CB37" s="87" t="str">
        <f t="shared" si="35"/>
        <v>〇</v>
      </c>
      <c r="CC37" s="87" t="str">
        <f t="shared" si="36"/>
        <v>〇</v>
      </c>
      <c r="CD37" s="87" t="str">
        <f t="shared" si="37"/>
        <v>〇</v>
      </c>
      <c r="CE37" s="87" t="str">
        <f t="shared" si="38"/>
        <v>〇</v>
      </c>
      <c r="CF37" s="87" t="str">
        <f t="shared" si="39"/>
        <v>〇</v>
      </c>
      <c r="CG37" s="87" t="str">
        <f t="shared" si="40"/>
        <v>〇</v>
      </c>
      <c r="CH37" s="87" t="str">
        <f t="shared" si="41"/>
        <v>〇</v>
      </c>
      <c r="CI37" s="87" t="str">
        <f t="shared" si="42"/>
        <v>〇</v>
      </c>
      <c r="CJ37" s="87" t="str">
        <f t="shared" si="43"/>
        <v>〇</v>
      </c>
      <c r="CK37" s="87" t="str">
        <f t="shared" si="44"/>
        <v>〇</v>
      </c>
      <c r="CL37" s="87" t="str">
        <f t="shared" si="45"/>
        <v>〇</v>
      </c>
      <c r="CM37" s="87" t="str">
        <f t="shared" si="46"/>
        <v>〇</v>
      </c>
      <c r="CN37" s="87" t="str">
        <f t="shared" si="47"/>
        <v>〇</v>
      </c>
      <c r="CO37" s="87" t="str">
        <f t="shared" si="48"/>
        <v>〇</v>
      </c>
      <c r="CP37" s="87" t="str">
        <f t="shared" si="49"/>
        <v>〇</v>
      </c>
      <c r="CQ37" s="87" t="str">
        <f t="shared" si="50"/>
        <v>〇</v>
      </c>
      <c r="CS37" s="476"/>
      <c r="CT37" s="476"/>
      <c r="CU37" s="476"/>
      <c r="CV37" s="476"/>
    </row>
    <row r="38" spans="1:100" s="90" customFormat="1" ht="23.15" customHeight="1">
      <c r="A38" s="2">
        <v>32</v>
      </c>
      <c r="B38" s="14"/>
      <c r="C38" s="4"/>
      <c r="D38" s="5"/>
      <c r="E38" s="3"/>
      <c r="F38" s="6"/>
      <c r="G38" s="7"/>
      <c r="H38" s="8"/>
      <c r="I38" s="8"/>
      <c r="J38" s="8"/>
      <c r="K38" s="8"/>
      <c r="L38" s="8"/>
      <c r="M38" s="8"/>
      <c r="N38" s="8"/>
      <c r="O38" s="8"/>
      <c r="P38" s="8"/>
      <c r="Q38" s="9"/>
      <c r="R38" s="10"/>
      <c r="S38" s="11"/>
      <c r="T38" s="9"/>
      <c r="U38" s="16"/>
      <c r="V38" s="9"/>
      <c r="W38" s="12"/>
      <c r="X38" s="13"/>
      <c r="Y38" s="89" t="str">
        <f t="shared" si="18"/>
        <v/>
      </c>
      <c r="Z38" s="87">
        <f>IF(COUNTIF($E$7:E38,E38)=1,"",COUNTIF($E$7:E38,E38))</f>
        <v>0</v>
      </c>
      <c r="AA38" s="87" t="str">
        <f t="shared" si="1"/>
        <v/>
      </c>
      <c r="AC38" s="87" t="str">
        <f t="shared" si="19"/>
        <v/>
      </c>
      <c r="AD38" s="87" t="str">
        <f t="shared" si="19"/>
        <v/>
      </c>
      <c r="AE38" s="87" t="str">
        <f t="shared" si="19"/>
        <v/>
      </c>
      <c r="AF38" s="87" t="str">
        <f t="shared" si="19"/>
        <v/>
      </c>
      <c r="AG38" s="87" t="str">
        <f t="shared" si="19"/>
        <v/>
      </c>
      <c r="AH38" s="87" t="str">
        <f t="shared" si="19"/>
        <v/>
      </c>
      <c r="AI38" s="87" t="str">
        <f t="shared" si="19"/>
        <v/>
      </c>
      <c r="AJ38" s="87" t="str">
        <f t="shared" si="19"/>
        <v/>
      </c>
      <c r="AK38" s="87" t="str">
        <f t="shared" si="19"/>
        <v/>
      </c>
      <c r="AL38" s="87" t="str">
        <f t="shared" si="19"/>
        <v/>
      </c>
      <c r="AM38" s="87" t="str">
        <f t="shared" si="19"/>
        <v/>
      </c>
      <c r="AN38" s="87" t="str">
        <f t="shared" si="19"/>
        <v/>
      </c>
      <c r="AP38" s="87" t="str">
        <f t="shared" si="3"/>
        <v/>
      </c>
      <c r="AQ38" s="87" t="str">
        <f t="shared" si="4"/>
        <v/>
      </c>
      <c r="AR38" s="87" t="str">
        <f t="shared" si="5"/>
        <v/>
      </c>
      <c r="AS38" s="87" t="str">
        <f t="shared" si="6"/>
        <v/>
      </c>
      <c r="AT38" s="87" t="str">
        <f t="shared" si="7"/>
        <v/>
      </c>
      <c r="AU38" s="87" t="str">
        <f t="shared" si="8"/>
        <v/>
      </c>
      <c r="AV38" s="87" t="str">
        <f t="shared" si="9"/>
        <v/>
      </c>
      <c r="AW38" s="87" t="str">
        <f t="shared" si="10"/>
        <v/>
      </c>
      <c r="AX38" s="87" t="str">
        <f t="shared" si="11"/>
        <v/>
      </c>
      <c r="AY38" s="87" t="str">
        <f t="shared" si="12"/>
        <v/>
      </c>
      <c r="AZ38" s="87" t="str">
        <f t="shared" si="13"/>
        <v/>
      </c>
      <c r="BA38" s="87" t="str">
        <f t="shared" si="14"/>
        <v/>
      </c>
      <c r="BB38" s="90" t="str">
        <f t="shared" si="20"/>
        <v/>
      </c>
      <c r="BE38" s="87" t="str">
        <f t="shared" si="51"/>
        <v/>
      </c>
      <c r="BF38" s="87" t="str">
        <f t="shared" si="15"/>
        <v/>
      </c>
      <c r="BG38" s="87" t="str">
        <f t="shared" si="16"/>
        <v/>
      </c>
      <c r="BH38" s="87" t="str">
        <f t="shared" si="21"/>
        <v/>
      </c>
      <c r="BI38" s="87" t="str">
        <f t="shared" si="17"/>
        <v/>
      </c>
      <c r="BO38" s="87" t="str">
        <f t="shared" si="22"/>
        <v>〇</v>
      </c>
      <c r="BP38" s="87" t="str">
        <f t="shared" si="23"/>
        <v>〇</v>
      </c>
      <c r="BQ38" s="87" t="str">
        <f t="shared" si="24"/>
        <v>〇</v>
      </c>
      <c r="BR38" s="87" t="str">
        <f t="shared" si="25"/>
        <v>〇</v>
      </c>
      <c r="BS38" s="87" t="str">
        <f t="shared" si="26"/>
        <v>〇</v>
      </c>
      <c r="BT38" s="87" t="str">
        <f t="shared" si="27"/>
        <v>〇</v>
      </c>
      <c r="BU38" s="87" t="str">
        <f t="shared" si="28"/>
        <v>〇</v>
      </c>
      <c r="BV38" s="87" t="str">
        <f t="shared" si="29"/>
        <v>〇</v>
      </c>
      <c r="BW38" s="87" t="str">
        <f t="shared" si="30"/>
        <v>〇</v>
      </c>
      <c r="BX38" s="87" t="str">
        <f t="shared" si="31"/>
        <v>〇</v>
      </c>
      <c r="BY38" s="87" t="str">
        <f t="shared" si="32"/>
        <v>〇</v>
      </c>
      <c r="BZ38" s="87" t="str">
        <f t="shared" si="33"/>
        <v>〇</v>
      </c>
      <c r="CA38" s="87" t="str">
        <f t="shared" si="34"/>
        <v>〇</v>
      </c>
      <c r="CB38" s="87" t="str">
        <f t="shared" si="35"/>
        <v>〇</v>
      </c>
      <c r="CC38" s="87" t="str">
        <f t="shared" si="36"/>
        <v>〇</v>
      </c>
      <c r="CD38" s="87" t="str">
        <f t="shared" si="37"/>
        <v>〇</v>
      </c>
      <c r="CE38" s="87" t="str">
        <f t="shared" si="38"/>
        <v>〇</v>
      </c>
      <c r="CF38" s="87" t="str">
        <f t="shared" si="39"/>
        <v>〇</v>
      </c>
      <c r="CG38" s="87" t="str">
        <f t="shared" si="40"/>
        <v>〇</v>
      </c>
      <c r="CH38" s="87" t="str">
        <f t="shared" si="41"/>
        <v>〇</v>
      </c>
      <c r="CI38" s="87" t="str">
        <f t="shared" si="42"/>
        <v>〇</v>
      </c>
      <c r="CJ38" s="87" t="str">
        <f t="shared" si="43"/>
        <v>〇</v>
      </c>
      <c r="CK38" s="87" t="str">
        <f t="shared" si="44"/>
        <v>〇</v>
      </c>
      <c r="CL38" s="87" t="str">
        <f t="shared" si="45"/>
        <v>〇</v>
      </c>
      <c r="CM38" s="87" t="str">
        <f t="shared" si="46"/>
        <v>〇</v>
      </c>
      <c r="CN38" s="87" t="str">
        <f t="shared" si="47"/>
        <v>〇</v>
      </c>
      <c r="CO38" s="87" t="str">
        <f t="shared" si="48"/>
        <v>〇</v>
      </c>
      <c r="CP38" s="87" t="str">
        <f t="shared" si="49"/>
        <v>〇</v>
      </c>
      <c r="CQ38" s="87" t="str">
        <f t="shared" si="50"/>
        <v>〇</v>
      </c>
      <c r="CS38" s="476"/>
      <c r="CT38" s="476"/>
      <c r="CU38" s="476"/>
      <c r="CV38" s="476"/>
    </row>
    <row r="39" spans="1:100" s="90" customFormat="1" ht="23.15" customHeight="1">
      <c r="A39" s="2">
        <v>33</v>
      </c>
      <c r="B39" s="14"/>
      <c r="C39" s="4"/>
      <c r="D39" s="5"/>
      <c r="E39" s="3"/>
      <c r="F39" s="6"/>
      <c r="G39" s="7"/>
      <c r="H39" s="8"/>
      <c r="I39" s="8"/>
      <c r="J39" s="8"/>
      <c r="K39" s="8"/>
      <c r="L39" s="8"/>
      <c r="M39" s="8"/>
      <c r="N39" s="8"/>
      <c r="O39" s="8"/>
      <c r="P39" s="8"/>
      <c r="Q39" s="9"/>
      <c r="R39" s="10"/>
      <c r="S39" s="11"/>
      <c r="T39" s="9"/>
      <c r="U39" s="16"/>
      <c r="V39" s="9"/>
      <c r="W39" s="12"/>
      <c r="X39" s="13"/>
      <c r="Y39" s="89" t="str">
        <f t="shared" si="18"/>
        <v/>
      </c>
      <c r="Z39" s="87">
        <f>IF(COUNTIF($E$7:E39,E39)=1,"",COUNTIF($E$7:E39,E39))</f>
        <v>0</v>
      </c>
      <c r="AA39" s="87" t="str">
        <f t="shared" ref="AA39:AA70" si="52">IFERROR(IF(OR(W39=$S$119,W39=$S$122),W39,INDEX($B$144:$C$149,MATCH(BB39,$B$144:$B$149,0),2)),"")</f>
        <v/>
      </c>
      <c r="AC39" s="87" t="str">
        <f t="shared" si="19"/>
        <v/>
      </c>
      <c r="AD39" s="87" t="str">
        <f t="shared" si="19"/>
        <v/>
      </c>
      <c r="AE39" s="87" t="str">
        <f t="shared" si="19"/>
        <v/>
      </c>
      <c r="AF39" s="87" t="str">
        <f t="shared" si="19"/>
        <v/>
      </c>
      <c r="AG39" s="87" t="str">
        <f t="shared" si="19"/>
        <v/>
      </c>
      <c r="AH39" s="87" t="str">
        <f t="shared" si="19"/>
        <v/>
      </c>
      <c r="AI39" s="87" t="str">
        <f t="shared" si="19"/>
        <v/>
      </c>
      <c r="AJ39" s="87" t="str">
        <f t="shared" si="19"/>
        <v/>
      </c>
      <c r="AK39" s="87" t="str">
        <f t="shared" si="19"/>
        <v/>
      </c>
      <c r="AL39" s="87" t="str">
        <f t="shared" si="19"/>
        <v/>
      </c>
      <c r="AM39" s="87" t="str">
        <f t="shared" si="19"/>
        <v/>
      </c>
      <c r="AN39" s="87" t="str">
        <f t="shared" si="19"/>
        <v/>
      </c>
      <c r="AP39" s="87" t="str">
        <f t="shared" ref="AP39:AP70" si="53">IF(AND($H39="有",AC39="○"),"A",IF(AC39="●","B",IF(AND(AC39="○",OR($L39="有",$M39="有",$N39="有")),"C",IF(AND(AC39="○",$O39="有"),"D",IF(OR(AND(AC39="○",$P39="有"),AND(AC39="○",$W39=$S$129,$O39="")),"E",IF(AND(AC39="○",OR($W39=$S$132,$W39=$S$133,$W39=$S$131,$W39=$S$139)),"F",""))))))</f>
        <v/>
      </c>
      <c r="AQ39" s="87" t="str">
        <f t="shared" ref="AQ39:AQ70" si="54">IF(AND($H39="有",AD39="○"),"A",IF(AD39="●","B",IF(AND(AD39="○",OR($L39="有",$M39="有",$N39="有")),"C",IF(AND(AD39="○",$O39="有"),"D",IF(OR(AND(AD39="○",$P39="有"),AND(AD39="○",$W39=$S$129,$O39="")),"E",IF(AND(AD39="○",OR($W39=$S$132,$W39=$S$133,$W39=$S$131,$W39=$S$139)),"F",""))))))</f>
        <v/>
      </c>
      <c r="AR39" s="87" t="str">
        <f t="shared" ref="AR39:AR70" si="55">IF(AND($H39="有",AE39="○"),"A",IF(AE39="●","B",IF(AND(AE39="○",OR($L39="有",$M39="有",$N39="有")),"C",IF(AND(AE39="○",$O39="有"),"D",IF(OR(AND(AE39="○",$P39="有"),AND(AE39="○",$W39=$S$129,$O39="")),"E",IF(AND(AE39="○",OR($W39=$S$132,$W39=$S$133,$W39=$S$131,$W39=$S$139)),"F",""))))))</f>
        <v/>
      </c>
      <c r="AS39" s="87" t="str">
        <f t="shared" ref="AS39:AS70" si="56">IF(AND($H39="有",AF39="○"),"A",IF(AF39="●","B",IF(AND(AF39="○",OR($L39="有",$M39="有",$N39="有")),"C",IF(AND(AF39="○",$O39="有"),"D",IF(OR(AND(AF39="○",$P39="有"),AND(AF39="○",$W39=$S$129,$O39="")),"E",IF(AND(AF39="○",OR($W39=$S$132,$W39=$S$133,$W39=$S$131,$W39=$S$139)),"F",""))))))</f>
        <v/>
      </c>
      <c r="AT39" s="87" t="str">
        <f t="shared" ref="AT39:AT70" si="57">IF(AND($H39="有",AG39="○"),"A",IF(AG39="●","B",IF(AND(AG39="○",OR($L39="有",$M39="有",$N39="有")),"C",IF(AND(AG39="○",$O39="有"),"D",IF(OR(AND(AG39="○",$P39="有"),AND(AG39="○",$W39=$S$129,$O39="")),"E",IF(AND(AG39="○",OR($W39=$S$132,$W39=$S$133,$W39=$S$131,$W39=$S$139)),"F",""))))))</f>
        <v/>
      </c>
      <c r="AU39" s="87" t="str">
        <f t="shared" ref="AU39:AU70" si="58">IF(AND($H39="有",AH39="○"),"A",IF(AH39="●","B",IF(AND(AH39="○",OR($L39="有",$M39="有",$N39="有")),"C",IF(AND(AH39="○",$O39="有"),"D",IF(OR(AND(AH39="○",$P39="有"),AND(AH39="○",$W39=$S$129,$O39="")),"E",IF(AND(AH39="○",OR($W39=$S$132,$W39=$S$133,$W39=$S$131,$W39=$S$139)),"F",""))))))</f>
        <v/>
      </c>
      <c r="AV39" s="87" t="str">
        <f t="shared" ref="AV39:AV70" si="59">IF(AND($H39="有",AI39="○"),"A",IF(AI39="●","B",IF(AND(AI39="○",OR($L39="有",$M39="有",$N39="有")),"C",IF(AND(AI39="○",$O39="有"),"D",IF(OR(AND(AI39="○",$P39="有"),AND(AI39="○",$W39=$S$129,$O39="")),"E",IF(AND(AI39="○",OR($W39=$S$132,$W39=$S$133,$W39=$S$131,$W39=$S$139)),"F",""))))))</f>
        <v/>
      </c>
      <c r="AW39" s="87" t="str">
        <f t="shared" ref="AW39:AW70" si="60">IF(AND($H39="有",AJ39="○"),"A",IF(AJ39="●","B",IF(AND(AJ39="○",OR($L39="有",$M39="有",$N39="有")),"C",IF(AND(AJ39="○",$O39="有"),"D",IF(OR(AND(AJ39="○",$P39="有"),AND(AJ39="○",$W39=$S$129,$O39="")),"E",IF(AND(AJ39="○",OR($W39=$S$132,$W39=$S$133,$W39=$S$131,$W39=$S$139)),"F",""))))))</f>
        <v/>
      </c>
      <c r="AX39" s="87" t="str">
        <f t="shared" ref="AX39:AX70" si="61">IF(AND($H39="有",AK39="○"),"A",IF(AK39="●","B",IF(AND(AK39="○",OR($L39="有",$M39="有",$N39="有")),"C",IF(AND(AK39="○",$O39="有"),"D",IF(OR(AND(AK39="○",$P39="有"),AND(AK39="○",$W39=$S$129,$O39="")),"E",IF(AND(AK39="○",OR($W39=$S$132,$W39=$S$133,$W39=$S$131,$W39=$S$139)),"F",""))))))</f>
        <v/>
      </c>
      <c r="AY39" s="87" t="str">
        <f t="shared" ref="AY39:AY70" si="62">IF(AND($H39="有",AL39="○"),"A",IF(AL39="●","B",IF(AND(AL39="○",OR($L39="有",$M39="有",$N39="有")),"C",IF(AND(AL39="○",$O39="有"),"D",IF(OR(AND(AL39="○",$P39="有"),AND(AL39="○",$W39=$S$129,$O39="")),"E",IF(AND(AL39="○",OR($W39=$S$132,$W39=$S$133,$W39=$S$131,$W39=$S$139)),"F",""))))))</f>
        <v/>
      </c>
      <c r="AZ39" s="87" t="str">
        <f t="shared" ref="AZ39:AZ70" si="63">IF(AND($H39="有",AM39="○"),"A",IF(AM39="●","B",IF(AND(AM39="○",OR($L39="有",$M39="有",$N39="有")),"C",IF(AND(AM39="○",$O39="有"),"D",IF(OR(AND(AM39="○",$P39="有"),AND(AM39="○",$W39=$S$129,$O39="")),"E",IF(AND(AM39="○",OR($W39=$S$132,$W39=$S$133,$W39=$S$131,$W39=$S$139)),"F",""))))))</f>
        <v/>
      </c>
      <c r="BA39" s="87" t="str">
        <f t="shared" ref="BA39:BA70" si="64">IF(AND($H39="有",AN39="○"),"A",IF(AN39="●","B",IF(AND(AN39="○",OR($L39="有",$M39="有",$N39="有")),"C",IF(AND(AN39="○",$O39="有"),"D",IF(OR(AND(AN39="○",$P39="有"),AND(AN39="○",$W39=$S$129,$O39="")),"E",IF(AND(AN39="○",OR($W39=$S$132,$W39=$S$133,$W39=$S$131,$W39=$S$139)),"F",""))))))</f>
        <v/>
      </c>
      <c r="BB39" s="90" t="str">
        <f t="shared" si="20"/>
        <v/>
      </c>
      <c r="BE39" s="87" t="str">
        <f t="shared" ref="BE39:BE70" si="65">IF(B39="園長","園長",IF(C39="正","正規職員",IF(AND(C39="パート",D39="常"),"常勤的非常勤",IF(AND(C39="パート",D39="非"),"短時間非常勤",IF(AND(C39="嘱託等",D39="常"),"嘱託常勤",IF(AND(C39="嘱託等",D39="非"),"嘱託非常勤",""))))))</f>
        <v/>
      </c>
      <c r="BF39" s="87" t="str">
        <f t="shared" ref="BF39:BF70" si="66">IF(AND(OR(I39="有",J39="有",K39="有"),R39&lt;&gt;""),"○","")</f>
        <v/>
      </c>
      <c r="BG39" s="87" t="str">
        <f t="shared" ref="BG39:BG70" si="67">IF(AND(BF39="",R39&lt;&gt;""),"○","")</f>
        <v/>
      </c>
      <c r="BH39" s="87" t="str">
        <f t="shared" si="21"/>
        <v/>
      </c>
      <c r="BI39" s="87" t="str">
        <f t="shared" ref="BI39:BI70" si="68">IF($S39="","",IF($R39&lt;&gt;"",IF($S39&gt;=$BI$5,"○",""),""))</f>
        <v/>
      </c>
      <c r="BO39" s="87" t="str">
        <f t="shared" si="22"/>
        <v>〇</v>
      </c>
      <c r="BP39" s="87" t="str">
        <f t="shared" si="23"/>
        <v>〇</v>
      </c>
      <c r="BQ39" s="87" t="str">
        <f t="shared" si="24"/>
        <v>〇</v>
      </c>
      <c r="BR39" s="87" t="str">
        <f t="shared" si="25"/>
        <v>〇</v>
      </c>
      <c r="BS39" s="87" t="str">
        <f t="shared" si="26"/>
        <v>〇</v>
      </c>
      <c r="BT39" s="87" t="str">
        <f t="shared" si="27"/>
        <v>〇</v>
      </c>
      <c r="BU39" s="87" t="str">
        <f t="shared" si="28"/>
        <v>〇</v>
      </c>
      <c r="BV39" s="87" t="str">
        <f t="shared" si="29"/>
        <v>〇</v>
      </c>
      <c r="BW39" s="87" t="str">
        <f t="shared" si="30"/>
        <v>〇</v>
      </c>
      <c r="BX39" s="87" t="str">
        <f t="shared" si="31"/>
        <v>〇</v>
      </c>
      <c r="BY39" s="87" t="str">
        <f t="shared" si="32"/>
        <v>〇</v>
      </c>
      <c r="BZ39" s="87" t="str">
        <f t="shared" si="33"/>
        <v>〇</v>
      </c>
      <c r="CA39" s="87" t="str">
        <f t="shared" si="34"/>
        <v>〇</v>
      </c>
      <c r="CB39" s="87" t="str">
        <f t="shared" si="35"/>
        <v>〇</v>
      </c>
      <c r="CC39" s="87" t="str">
        <f t="shared" si="36"/>
        <v>〇</v>
      </c>
      <c r="CD39" s="87" t="str">
        <f t="shared" si="37"/>
        <v>〇</v>
      </c>
      <c r="CE39" s="87" t="str">
        <f t="shared" si="38"/>
        <v>〇</v>
      </c>
      <c r="CF39" s="87" t="str">
        <f t="shared" si="39"/>
        <v>〇</v>
      </c>
      <c r="CG39" s="87" t="str">
        <f t="shared" si="40"/>
        <v>〇</v>
      </c>
      <c r="CH39" s="87" t="str">
        <f t="shared" si="41"/>
        <v>〇</v>
      </c>
      <c r="CI39" s="87" t="str">
        <f t="shared" si="42"/>
        <v>〇</v>
      </c>
      <c r="CJ39" s="87" t="str">
        <f t="shared" si="43"/>
        <v>〇</v>
      </c>
      <c r="CK39" s="87" t="str">
        <f t="shared" si="44"/>
        <v>〇</v>
      </c>
      <c r="CL39" s="87" t="str">
        <f t="shared" si="45"/>
        <v>〇</v>
      </c>
      <c r="CM39" s="87" t="str">
        <f t="shared" si="46"/>
        <v>〇</v>
      </c>
      <c r="CN39" s="87" t="str">
        <f t="shared" si="47"/>
        <v>〇</v>
      </c>
      <c r="CO39" s="87" t="str">
        <f t="shared" si="48"/>
        <v>〇</v>
      </c>
      <c r="CP39" s="87" t="str">
        <f t="shared" si="49"/>
        <v>〇</v>
      </c>
      <c r="CQ39" s="87" t="str">
        <f t="shared" si="50"/>
        <v>〇</v>
      </c>
      <c r="CS39" s="476"/>
      <c r="CT39" s="476"/>
      <c r="CU39" s="476"/>
      <c r="CV39" s="476"/>
    </row>
    <row r="40" spans="1:100" s="90" customFormat="1" ht="23.15" customHeight="1">
      <c r="A40" s="2">
        <v>34</v>
      </c>
      <c r="B40" s="14"/>
      <c r="C40" s="4"/>
      <c r="D40" s="5"/>
      <c r="E40" s="3"/>
      <c r="F40" s="6"/>
      <c r="G40" s="7"/>
      <c r="H40" s="8"/>
      <c r="I40" s="8"/>
      <c r="J40" s="8"/>
      <c r="K40" s="8"/>
      <c r="L40" s="8"/>
      <c r="M40" s="8"/>
      <c r="N40" s="8"/>
      <c r="O40" s="8"/>
      <c r="P40" s="8"/>
      <c r="Q40" s="9"/>
      <c r="R40" s="10"/>
      <c r="S40" s="11"/>
      <c r="T40" s="9"/>
      <c r="U40" s="16"/>
      <c r="V40" s="9"/>
      <c r="W40" s="12"/>
      <c r="X40" s="13"/>
      <c r="Y40" s="89" t="str">
        <f t="shared" si="18"/>
        <v/>
      </c>
      <c r="Z40" s="87">
        <f>IF(COUNTIF($E$7:E40,E40)=1,"",COUNTIF($E$7:E40,E40))</f>
        <v>0</v>
      </c>
      <c r="AA40" s="87" t="str">
        <f t="shared" si="52"/>
        <v/>
      </c>
      <c r="AC40" s="87" t="str">
        <f t="shared" ref="AC40:AN61" si="69">IF(OR($W40=$S$137,$W40=$S$130,$W40=$S$134,$W40=$S$135,$W40=$S$136,$W40=$S$138),"",IF($S40="","",IF($U40="",IF($R40="",IF($S40&lt;=AC$6,"○",""),IF(AND($R40&lt;=AC$6,$S40&lt;=AC$6),"●",IF($S40&lt;=AC$6,"○",""))),IF($U40&gt;=AC$6,IF($R40="",IF($S40&lt;=AC$6,"○",""),IF(AND($R40&lt;=AC$6,$S40&lt;=AC$6),"●",IF($S40&lt;=AC$6,"○",""))),""))))</f>
        <v/>
      </c>
      <c r="AD40" s="87" t="str">
        <f t="shared" si="69"/>
        <v/>
      </c>
      <c r="AE40" s="87" t="str">
        <f t="shared" si="69"/>
        <v/>
      </c>
      <c r="AF40" s="87" t="str">
        <f t="shared" si="69"/>
        <v/>
      </c>
      <c r="AG40" s="87" t="str">
        <f t="shared" si="69"/>
        <v/>
      </c>
      <c r="AH40" s="87" t="str">
        <f t="shared" si="69"/>
        <v/>
      </c>
      <c r="AI40" s="87" t="str">
        <f t="shared" si="69"/>
        <v/>
      </c>
      <c r="AJ40" s="87" t="str">
        <f t="shared" si="69"/>
        <v/>
      </c>
      <c r="AK40" s="87" t="str">
        <f t="shared" si="69"/>
        <v/>
      </c>
      <c r="AL40" s="87" t="str">
        <f t="shared" si="69"/>
        <v/>
      </c>
      <c r="AM40" s="87" t="str">
        <f t="shared" si="69"/>
        <v/>
      </c>
      <c r="AN40" s="87" t="str">
        <f t="shared" si="69"/>
        <v/>
      </c>
      <c r="AP40" s="87" t="str">
        <f t="shared" si="53"/>
        <v/>
      </c>
      <c r="AQ40" s="87" t="str">
        <f t="shared" si="54"/>
        <v/>
      </c>
      <c r="AR40" s="87" t="str">
        <f t="shared" si="55"/>
        <v/>
      </c>
      <c r="AS40" s="87" t="str">
        <f t="shared" si="56"/>
        <v/>
      </c>
      <c r="AT40" s="87" t="str">
        <f t="shared" si="57"/>
        <v/>
      </c>
      <c r="AU40" s="87" t="str">
        <f t="shared" si="58"/>
        <v/>
      </c>
      <c r="AV40" s="87" t="str">
        <f t="shared" si="59"/>
        <v/>
      </c>
      <c r="AW40" s="87" t="str">
        <f t="shared" si="60"/>
        <v/>
      </c>
      <c r="AX40" s="87" t="str">
        <f t="shared" si="61"/>
        <v/>
      </c>
      <c r="AY40" s="87" t="str">
        <f t="shared" si="62"/>
        <v/>
      </c>
      <c r="AZ40" s="87" t="str">
        <f t="shared" si="63"/>
        <v/>
      </c>
      <c r="BA40" s="87" t="str">
        <f t="shared" si="64"/>
        <v/>
      </c>
      <c r="BB40" s="90" t="str">
        <f t="shared" si="20"/>
        <v/>
      </c>
      <c r="BE40" s="87" t="str">
        <f t="shared" si="65"/>
        <v/>
      </c>
      <c r="BF40" s="87" t="str">
        <f t="shared" si="66"/>
        <v/>
      </c>
      <c r="BG40" s="87" t="str">
        <f t="shared" si="67"/>
        <v/>
      </c>
      <c r="BH40" s="87" t="str">
        <f t="shared" si="21"/>
        <v/>
      </c>
      <c r="BI40" s="87" t="str">
        <f t="shared" si="68"/>
        <v/>
      </c>
      <c r="BO40" s="87" t="str">
        <f t="shared" si="22"/>
        <v>〇</v>
      </c>
      <c r="BP40" s="87" t="str">
        <f t="shared" si="23"/>
        <v>〇</v>
      </c>
      <c r="BQ40" s="87" t="str">
        <f t="shared" si="24"/>
        <v>〇</v>
      </c>
      <c r="BR40" s="87" t="str">
        <f t="shared" si="25"/>
        <v>〇</v>
      </c>
      <c r="BS40" s="87" t="str">
        <f t="shared" si="26"/>
        <v>〇</v>
      </c>
      <c r="BT40" s="87" t="str">
        <f t="shared" si="27"/>
        <v>〇</v>
      </c>
      <c r="BU40" s="87" t="str">
        <f t="shared" si="28"/>
        <v>〇</v>
      </c>
      <c r="BV40" s="87" t="str">
        <f t="shared" si="29"/>
        <v>〇</v>
      </c>
      <c r="BW40" s="87" t="str">
        <f t="shared" si="30"/>
        <v>〇</v>
      </c>
      <c r="BX40" s="87" t="str">
        <f t="shared" si="31"/>
        <v>〇</v>
      </c>
      <c r="BY40" s="87" t="str">
        <f t="shared" si="32"/>
        <v>〇</v>
      </c>
      <c r="BZ40" s="87" t="str">
        <f t="shared" si="33"/>
        <v>〇</v>
      </c>
      <c r="CA40" s="87" t="str">
        <f t="shared" si="34"/>
        <v>〇</v>
      </c>
      <c r="CB40" s="87" t="str">
        <f t="shared" si="35"/>
        <v>〇</v>
      </c>
      <c r="CC40" s="87" t="str">
        <f t="shared" si="36"/>
        <v>〇</v>
      </c>
      <c r="CD40" s="87" t="str">
        <f t="shared" si="37"/>
        <v>〇</v>
      </c>
      <c r="CE40" s="87" t="str">
        <f t="shared" si="38"/>
        <v>〇</v>
      </c>
      <c r="CF40" s="87" t="str">
        <f t="shared" si="39"/>
        <v>〇</v>
      </c>
      <c r="CG40" s="87" t="str">
        <f t="shared" si="40"/>
        <v>〇</v>
      </c>
      <c r="CH40" s="87" t="str">
        <f t="shared" si="41"/>
        <v>〇</v>
      </c>
      <c r="CI40" s="87" t="str">
        <f t="shared" si="42"/>
        <v>〇</v>
      </c>
      <c r="CJ40" s="87" t="str">
        <f t="shared" si="43"/>
        <v>〇</v>
      </c>
      <c r="CK40" s="87" t="str">
        <f t="shared" si="44"/>
        <v>〇</v>
      </c>
      <c r="CL40" s="87" t="str">
        <f t="shared" si="45"/>
        <v>〇</v>
      </c>
      <c r="CM40" s="87" t="str">
        <f t="shared" si="46"/>
        <v>〇</v>
      </c>
      <c r="CN40" s="87" t="str">
        <f t="shared" si="47"/>
        <v>〇</v>
      </c>
      <c r="CO40" s="87" t="str">
        <f t="shared" si="48"/>
        <v>〇</v>
      </c>
      <c r="CP40" s="87" t="str">
        <f t="shared" si="49"/>
        <v>〇</v>
      </c>
      <c r="CQ40" s="87" t="str">
        <f t="shared" si="50"/>
        <v>〇</v>
      </c>
      <c r="CS40" s="476"/>
      <c r="CT40" s="476"/>
      <c r="CU40" s="476"/>
      <c r="CV40" s="476"/>
    </row>
    <row r="41" spans="1:100" s="90" customFormat="1" ht="23.15" customHeight="1">
      <c r="A41" s="2">
        <v>35</v>
      </c>
      <c r="B41" s="14"/>
      <c r="C41" s="4"/>
      <c r="D41" s="5"/>
      <c r="E41" s="3"/>
      <c r="F41" s="6"/>
      <c r="G41" s="7"/>
      <c r="H41" s="8"/>
      <c r="I41" s="8"/>
      <c r="J41" s="8"/>
      <c r="K41" s="8"/>
      <c r="L41" s="8"/>
      <c r="M41" s="8"/>
      <c r="N41" s="8"/>
      <c r="O41" s="8"/>
      <c r="P41" s="8"/>
      <c r="Q41" s="9"/>
      <c r="R41" s="10"/>
      <c r="S41" s="11"/>
      <c r="T41" s="9"/>
      <c r="U41" s="16"/>
      <c r="V41" s="9"/>
      <c r="W41" s="12"/>
      <c r="X41" s="13"/>
      <c r="Y41" s="89" t="str">
        <f t="shared" si="18"/>
        <v/>
      </c>
      <c r="Z41" s="87">
        <f>IF(COUNTIF($E$7:E41,E41)=1,"",COUNTIF($E$7:E41,E41))</f>
        <v>0</v>
      </c>
      <c r="AA41" s="87" t="str">
        <f t="shared" si="52"/>
        <v/>
      </c>
      <c r="AC41" s="87" t="str">
        <f t="shared" si="69"/>
        <v/>
      </c>
      <c r="AD41" s="87" t="str">
        <f t="shared" si="69"/>
        <v/>
      </c>
      <c r="AE41" s="87" t="str">
        <f t="shared" si="69"/>
        <v/>
      </c>
      <c r="AF41" s="87" t="str">
        <f t="shared" si="69"/>
        <v/>
      </c>
      <c r="AG41" s="87" t="str">
        <f t="shared" si="69"/>
        <v/>
      </c>
      <c r="AH41" s="87" t="str">
        <f t="shared" si="69"/>
        <v/>
      </c>
      <c r="AI41" s="87" t="str">
        <f t="shared" si="69"/>
        <v/>
      </c>
      <c r="AJ41" s="87" t="str">
        <f t="shared" si="69"/>
        <v/>
      </c>
      <c r="AK41" s="87" t="str">
        <f t="shared" si="69"/>
        <v/>
      </c>
      <c r="AL41" s="87" t="str">
        <f t="shared" si="69"/>
        <v/>
      </c>
      <c r="AM41" s="87" t="str">
        <f t="shared" si="69"/>
        <v/>
      </c>
      <c r="AN41" s="87" t="str">
        <f t="shared" si="69"/>
        <v/>
      </c>
      <c r="AP41" s="87" t="str">
        <f t="shared" si="53"/>
        <v/>
      </c>
      <c r="AQ41" s="87" t="str">
        <f t="shared" si="54"/>
        <v/>
      </c>
      <c r="AR41" s="87" t="str">
        <f t="shared" si="55"/>
        <v/>
      </c>
      <c r="AS41" s="87" t="str">
        <f t="shared" si="56"/>
        <v/>
      </c>
      <c r="AT41" s="87" t="str">
        <f t="shared" si="57"/>
        <v/>
      </c>
      <c r="AU41" s="87" t="str">
        <f t="shared" si="58"/>
        <v/>
      </c>
      <c r="AV41" s="87" t="str">
        <f t="shared" si="59"/>
        <v/>
      </c>
      <c r="AW41" s="87" t="str">
        <f t="shared" si="60"/>
        <v/>
      </c>
      <c r="AX41" s="87" t="str">
        <f t="shared" si="61"/>
        <v/>
      </c>
      <c r="AY41" s="87" t="str">
        <f t="shared" si="62"/>
        <v/>
      </c>
      <c r="AZ41" s="87" t="str">
        <f t="shared" si="63"/>
        <v/>
      </c>
      <c r="BA41" s="87" t="str">
        <f t="shared" si="64"/>
        <v/>
      </c>
      <c r="BB41" s="90" t="str">
        <f t="shared" si="20"/>
        <v/>
      </c>
      <c r="BE41" s="87" t="str">
        <f t="shared" si="65"/>
        <v/>
      </c>
      <c r="BF41" s="87" t="str">
        <f t="shared" si="66"/>
        <v/>
      </c>
      <c r="BG41" s="87" t="str">
        <f t="shared" si="67"/>
        <v/>
      </c>
      <c r="BH41" s="87" t="str">
        <f t="shared" si="21"/>
        <v/>
      </c>
      <c r="BI41" s="87" t="str">
        <f t="shared" si="68"/>
        <v/>
      </c>
      <c r="BO41" s="87" t="str">
        <f t="shared" si="22"/>
        <v>〇</v>
      </c>
      <c r="BP41" s="87" t="str">
        <f t="shared" si="23"/>
        <v>〇</v>
      </c>
      <c r="BQ41" s="87" t="str">
        <f t="shared" si="24"/>
        <v>〇</v>
      </c>
      <c r="BR41" s="87" t="str">
        <f t="shared" si="25"/>
        <v>〇</v>
      </c>
      <c r="BS41" s="87" t="str">
        <f t="shared" si="26"/>
        <v>〇</v>
      </c>
      <c r="BT41" s="87" t="str">
        <f t="shared" si="27"/>
        <v>〇</v>
      </c>
      <c r="BU41" s="87" t="str">
        <f t="shared" si="28"/>
        <v>〇</v>
      </c>
      <c r="BV41" s="87" t="str">
        <f t="shared" si="29"/>
        <v>〇</v>
      </c>
      <c r="BW41" s="87" t="str">
        <f t="shared" si="30"/>
        <v>〇</v>
      </c>
      <c r="BX41" s="87" t="str">
        <f t="shared" si="31"/>
        <v>〇</v>
      </c>
      <c r="BY41" s="87" t="str">
        <f t="shared" si="32"/>
        <v>〇</v>
      </c>
      <c r="BZ41" s="87" t="str">
        <f t="shared" si="33"/>
        <v>〇</v>
      </c>
      <c r="CA41" s="87" t="str">
        <f t="shared" si="34"/>
        <v>〇</v>
      </c>
      <c r="CB41" s="87" t="str">
        <f t="shared" si="35"/>
        <v>〇</v>
      </c>
      <c r="CC41" s="87" t="str">
        <f t="shared" si="36"/>
        <v>〇</v>
      </c>
      <c r="CD41" s="87" t="str">
        <f t="shared" si="37"/>
        <v>〇</v>
      </c>
      <c r="CE41" s="87" t="str">
        <f t="shared" si="38"/>
        <v>〇</v>
      </c>
      <c r="CF41" s="87" t="str">
        <f t="shared" si="39"/>
        <v>〇</v>
      </c>
      <c r="CG41" s="87" t="str">
        <f t="shared" si="40"/>
        <v>〇</v>
      </c>
      <c r="CH41" s="87" t="str">
        <f t="shared" si="41"/>
        <v>〇</v>
      </c>
      <c r="CI41" s="87" t="str">
        <f t="shared" si="42"/>
        <v>〇</v>
      </c>
      <c r="CJ41" s="87" t="str">
        <f t="shared" si="43"/>
        <v>〇</v>
      </c>
      <c r="CK41" s="87" t="str">
        <f t="shared" si="44"/>
        <v>〇</v>
      </c>
      <c r="CL41" s="87" t="str">
        <f t="shared" si="45"/>
        <v>〇</v>
      </c>
      <c r="CM41" s="87" t="str">
        <f t="shared" si="46"/>
        <v>〇</v>
      </c>
      <c r="CN41" s="87" t="str">
        <f t="shared" si="47"/>
        <v>〇</v>
      </c>
      <c r="CO41" s="87" t="str">
        <f t="shared" si="48"/>
        <v>〇</v>
      </c>
      <c r="CP41" s="87" t="str">
        <f t="shared" si="49"/>
        <v>〇</v>
      </c>
      <c r="CQ41" s="87" t="str">
        <f t="shared" si="50"/>
        <v>〇</v>
      </c>
      <c r="CS41" s="476"/>
      <c r="CT41" s="476"/>
      <c r="CU41" s="476"/>
      <c r="CV41" s="476"/>
    </row>
    <row r="42" spans="1:100" s="90" customFormat="1" ht="23.15" customHeight="1">
      <c r="A42" s="2">
        <v>36</v>
      </c>
      <c r="B42" s="14"/>
      <c r="C42" s="4"/>
      <c r="D42" s="5"/>
      <c r="E42" s="3"/>
      <c r="F42" s="6"/>
      <c r="G42" s="7"/>
      <c r="H42" s="8"/>
      <c r="I42" s="8"/>
      <c r="J42" s="8"/>
      <c r="K42" s="8"/>
      <c r="L42" s="8"/>
      <c r="M42" s="8"/>
      <c r="N42" s="8"/>
      <c r="O42" s="8"/>
      <c r="P42" s="8"/>
      <c r="Q42" s="9"/>
      <c r="R42" s="10"/>
      <c r="S42" s="11"/>
      <c r="T42" s="9"/>
      <c r="U42" s="16"/>
      <c r="V42" s="9"/>
      <c r="W42" s="12"/>
      <c r="X42" s="13"/>
      <c r="Y42" s="89" t="str">
        <f t="shared" si="18"/>
        <v/>
      </c>
      <c r="Z42" s="87">
        <f>IF(COUNTIF($E$7:E42,E42)=1,"",COUNTIF($E$7:E42,E42))</f>
        <v>0</v>
      </c>
      <c r="AA42" s="87" t="str">
        <f t="shared" si="52"/>
        <v/>
      </c>
      <c r="AC42" s="87" t="str">
        <f t="shared" si="69"/>
        <v/>
      </c>
      <c r="AD42" s="87" t="str">
        <f t="shared" si="69"/>
        <v/>
      </c>
      <c r="AE42" s="87" t="str">
        <f t="shared" si="69"/>
        <v/>
      </c>
      <c r="AF42" s="87" t="str">
        <f t="shared" si="69"/>
        <v/>
      </c>
      <c r="AG42" s="87" t="str">
        <f t="shared" si="69"/>
        <v/>
      </c>
      <c r="AH42" s="87" t="str">
        <f t="shared" si="69"/>
        <v/>
      </c>
      <c r="AI42" s="87" t="str">
        <f t="shared" si="69"/>
        <v/>
      </c>
      <c r="AJ42" s="87" t="str">
        <f t="shared" si="69"/>
        <v/>
      </c>
      <c r="AK42" s="87" t="str">
        <f t="shared" si="69"/>
        <v/>
      </c>
      <c r="AL42" s="87" t="str">
        <f t="shared" si="69"/>
        <v/>
      </c>
      <c r="AM42" s="87" t="str">
        <f t="shared" si="69"/>
        <v/>
      </c>
      <c r="AN42" s="87" t="str">
        <f t="shared" si="69"/>
        <v/>
      </c>
      <c r="AP42" s="87" t="str">
        <f t="shared" si="53"/>
        <v/>
      </c>
      <c r="AQ42" s="87" t="str">
        <f t="shared" si="54"/>
        <v/>
      </c>
      <c r="AR42" s="87" t="str">
        <f t="shared" si="55"/>
        <v/>
      </c>
      <c r="AS42" s="87" t="str">
        <f t="shared" si="56"/>
        <v/>
      </c>
      <c r="AT42" s="87" t="str">
        <f t="shared" si="57"/>
        <v/>
      </c>
      <c r="AU42" s="87" t="str">
        <f t="shared" si="58"/>
        <v/>
      </c>
      <c r="AV42" s="87" t="str">
        <f t="shared" si="59"/>
        <v/>
      </c>
      <c r="AW42" s="87" t="str">
        <f t="shared" si="60"/>
        <v/>
      </c>
      <c r="AX42" s="87" t="str">
        <f t="shared" si="61"/>
        <v/>
      </c>
      <c r="AY42" s="87" t="str">
        <f t="shared" si="62"/>
        <v/>
      </c>
      <c r="AZ42" s="87" t="str">
        <f t="shared" si="63"/>
        <v/>
      </c>
      <c r="BA42" s="87" t="str">
        <f t="shared" si="64"/>
        <v/>
      </c>
      <c r="BB42" s="90" t="str">
        <f t="shared" si="20"/>
        <v/>
      </c>
      <c r="BE42" s="87" t="str">
        <f t="shared" si="65"/>
        <v/>
      </c>
      <c r="BF42" s="87" t="str">
        <f t="shared" si="66"/>
        <v/>
      </c>
      <c r="BG42" s="87" t="str">
        <f t="shared" si="67"/>
        <v/>
      </c>
      <c r="BH42" s="87" t="str">
        <f t="shared" si="21"/>
        <v/>
      </c>
      <c r="BI42" s="87" t="str">
        <f t="shared" si="68"/>
        <v/>
      </c>
      <c r="BO42" s="87" t="str">
        <f t="shared" si="22"/>
        <v>〇</v>
      </c>
      <c r="BP42" s="87" t="str">
        <f t="shared" si="23"/>
        <v>〇</v>
      </c>
      <c r="BQ42" s="87" t="str">
        <f t="shared" si="24"/>
        <v>〇</v>
      </c>
      <c r="BR42" s="87" t="str">
        <f t="shared" si="25"/>
        <v>〇</v>
      </c>
      <c r="BS42" s="87" t="str">
        <f t="shared" si="26"/>
        <v>〇</v>
      </c>
      <c r="BT42" s="87" t="str">
        <f t="shared" si="27"/>
        <v>〇</v>
      </c>
      <c r="BU42" s="87" t="str">
        <f t="shared" si="28"/>
        <v>〇</v>
      </c>
      <c r="BV42" s="87" t="str">
        <f t="shared" si="29"/>
        <v>〇</v>
      </c>
      <c r="BW42" s="87" t="str">
        <f t="shared" si="30"/>
        <v>〇</v>
      </c>
      <c r="BX42" s="87" t="str">
        <f t="shared" si="31"/>
        <v>〇</v>
      </c>
      <c r="BY42" s="87" t="str">
        <f t="shared" si="32"/>
        <v>〇</v>
      </c>
      <c r="BZ42" s="87" t="str">
        <f t="shared" si="33"/>
        <v>〇</v>
      </c>
      <c r="CA42" s="87" t="str">
        <f t="shared" si="34"/>
        <v>〇</v>
      </c>
      <c r="CB42" s="87" t="str">
        <f t="shared" si="35"/>
        <v>〇</v>
      </c>
      <c r="CC42" s="87" t="str">
        <f t="shared" si="36"/>
        <v>〇</v>
      </c>
      <c r="CD42" s="87" t="str">
        <f t="shared" si="37"/>
        <v>〇</v>
      </c>
      <c r="CE42" s="87" t="str">
        <f t="shared" si="38"/>
        <v>〇</v>
      </c>
      <c r="CF42" s="87" t="str">
        <f t="shared" si="39"/>
        <v>〇</v>
      </c>
      <c r="CG42" s="87" t="str">
        <f t="shared" si="40"/>
        <v>〇</v>
      </c>
      <c r="CH42" s="87" t="str">
        <f t="shared" si="41"/>
        <v>〇</v>
      </c>
      <c r="CI42" s="87" t="str">
        <f t="shared" si="42"/>
        <v>〇</v>
      </c>
      <c r="CJ42" s="87" t="str">
        <f t="shared" si="43"/>
        <v>〇</v>
      </c>
      <c r="CK42" s="87" t="str">
        <f t="shared" si="44"/>
        <v>〇</v>
      </c>
      <c r="CL42" s="87" t="str">
        <f t="shared" si="45"/>
        <v>〇</v>
      </c>
      <c r="CM42" s="87" t="str">
        <f t="shared" si="46"/>
        <v>〇</v>
      </c>
      <c r="CN42" s="87" t="str">
        <f t="shared" si="47"/>
        <v>〇</v>
      </c>
      <c r="CO42" s="87" t="str">
        <f t="shared" si="48"/>
        <v>〇</v>
      </c>
      <c r="CP42" s="87" t="str">
        <f t="shared" si="49"/>
        <v>〇</v>
      </c>
      <c r="CQ42" s="87" t="str">
        <f t="shared" si="50"/>
        <v>〇</v>
      </c>
      <c r="CS42" s="476"/>
      <c r="CT42" s="476"/>
      <c r="CU42" s="476"/>
      <c r="CV42" s="476"/>
    </row>
    <row r="43" spans="1:100" s="90" customFormat="1" ht="23.15" customHeight="1">
      <c r="A43" s="2">
        <v>37</v>
      </c>
      <c r="B43" s="14"/>
      <c r="C43" s="4"/>
      <c r="D43" s="5"/>
      <c r="E43" s="3"/>
      <c r="F43" s="6"/>
      <c r="G43" s="7"/>
      <c r="H43" s="8"/>
      <c r="I43" s="8"/>
      <c r="J43" s="8"/>
      <c r="K43" s="8"/>
      <c r="L43" s="8"/>
      <c r="M43" s="8"/>
      <c r="N43" s="8"/>
      <c r="O43" s="8"/>
      <c r="P43" s="8"/>
      <c r="Q43" s="9"/>
      <c r="R43" s="10"/>
      <c r="S43" s="11"/>
      <c r="T43" s="9"/>
      <c r="U43" s="16"/>
      <c r="V43" s="9"/>
      <c r="W43" s="12"/>
      <c r="X43" s="13"/>
      <c r="Y43" s="89" t="str">
        <f t="shared" si="18"/>
        <v/>
      </c>
      <c r="Z43" s="87">
        <f>IF(COUNTIF($E$7:E43,E43)=1,"",COUNTIF($E$7:E43,E43))</f>
        <v>0</v>
      </c>
      <c r="AA43" s="87" t="str">
        <f t="shared" si="52"/>
        <v/>
      </c>
      <c r="AC43" s="87" t="str">
        <f t="shared" si="69"/>
        <v/>
      </c>
      <c r="AD43" s="87" t="str">
        <f t="shared" si="69"/>
        <v/>
      </c>
      <c r="AE43" s="87" t="str">
        <f t="shared" si="69"/>
        <v/>
      </c>
      <c r="AF43" s="87" t="str">
        <f t="shared" si="69"/>
        <v/>
      </c>
      <c r="AG43" s="87" t="str">
        <f t="shared" si="69"/>
        <v/>
      </c>
      <c r="AH43" s="87" t="str">
        <f t="shared" si="69"/>
        <v/>
      </c>
      <c r="AI43" s="87" t="str">
        <f t="shared" si="69"/>
        <v/>
      </c>
      <c r="AJ43" s="87" t="str">
        <f t="shared" si="69"/>
        <v/>
      </c>
      <c r="AK43" s="87" t="str">
        <f t="shared" si="69"/>
        <v/>
      </c>
      <c r="AL43" s="87" t="str">
        <f t="shared" si="69"/>
        <v/>
      </c>
      <c r="AM43" s="87" t="str">
        <f t="shared" si="69"/>
        <v/>
      </c>
      <c r="AN43" s="87" t="str">
        <f t="shared" si="69"/>
        <v/>
      </c>
      <c r="AP43" s="87" t="str">
        <f t="shared" si="53"/>
        <v/>
      </c>
      <c r="AQ43" s="87" t="str">
        <f t="shared" si="54"/>
        <v/>
      </c>
      <c r="AR43" s="87" t="str">
        <f t="shared" si="55"/>
        <v/>
      </c>
      <c r="AS43" s="87" t="str">
        <f t="shared" si="56"/>
        <v/>
      </c>
      <c r="AT43" s="87" t="str">
        <f t="shared" si="57"/>
        <v/>
      </c>
      <c r="AU43" s="87" t="str">
        <f t="shared" si="58"/>
        <v/>
      </c>
      <c r="AV43" s="87" t="str">
        <f t="shared" si="59"/>
        <v/>
      </c>
      <c r="AW43" s="87" t="str">
        <f t="shared" si="60"/>
        <v/>
      </c>
      <c r="AX43" s="87" t="str">
        <f t="shared" si="61"/>
        <v/>
      </c>
      <c r="AY43" s="87" t="str">
        <f t="shared" si="62"/>
        <v/>
      </c>
      <c r="AZ43" s="87" t="str">
        <f t="shared" si="63"/>
        <v/>
      </c>
      <c r="BA43" s="87" t="str">
        <f t="shared" si="64"/>
        <v/>
      </c>
      <c r="BB43" s="90" t="str">
        <f t="shared" si="20"/>
        <v/>
      </c>
      <c r="BE43" s="87" t="str">
        <f t="shared" si="65"/>
        <v/>
      </c>
      <c r="BF43" s="87" t="str">
        <f t="shared" si="66"/>
        <v/>
      </c>
      <c r="BG43" s="87" t="str">
        <f t="shared" si="67"/>
        <v/>
      </c>
      <c r="BH43" s="87" t="str">
        <f t="shared" si="21"/>
        <v/>
      </c>
      <c r="BI43" s="87" t="str">
        <f t="shared" si="68"/>
        <v/>
      </c>
      <c r="BO43" s="87" t="str">
        <f t="shared" si="22"/>
        <v>〇</v>
      </c>
      <c r="BP43" s="87" t="str">
        <f t="shared" si="23"/>
        <v>〇</v>
      </c>
      <c r="BQ43" s="87" t="str">
        <f t="shared" si="24"/>
        <v>〇</v>
      </c>
      <c r="BR43" s="87" t="str">
        <f t="shared" si="25"/>
        <v>〇</v>
      </c>
      <c r="BS43" s="87" t="str">
        <f t="shared" si="26"/>
        <v>〇</v>
      </c>
      <c r="BT43" s="87" t="str">
        <f t="shared" si="27"/>
        <v>〇</v>
      </c>
      <c r="BU43" s="87" t="str">
        <f t="shared" si="28"/>
        <v>〇</v>
      </c>
      <c r="BV43" s="87" t="str">
        <f t="shared" si="29"/>
        <v>〇</v>
      </c>
      <c r="BW43" s="87" t="str">
        <f t="shared" si="30"/>
        <v>〇</v>
      </c>
      <c r="BX43" s="87" t="str">
        <f t="shared" si="31"/>
        <v>〇</v>
      </c>
      <c r="BY43" s="87" t="str">
        <f t="shared" si="32"/>
        <v>〇</v>
      </c>
      <c r="BZ43" s="87" t="str">
        <f t="shared" si="33"/>
        <v>〇</v>
      </c>
      <c r="CA43" s="87" t="str">
        <f t="shared" si="34"/>
        <v>〇</v>
      </c>
      <c r="CB43" s="87" t="str">
        <f t="shared" si="35"/>
        <v>〇</v>
      </c>
      <c r="CC43" s="87" t="str">
        <f t="shared" si="36"/>
        <v>〇</v>
      </c>
      <c r="CD43" s="87" t="str">
        <f t="shared" si="37"/>
        <v>〇</v>
      </c>
      <c r="CE43" s="87" t="str">
        <f t="shared" si="38"/>
        <v>〇</v>
      </c>
      <c r="CF43" s="87" t="str">
        <f t="shared" si="39"/>
        <v>〇</v>
      </c>
      <c r="CG43" s="87" t="str">
        <f t="shared" si="40"/>
        <v>〇</v>
      </c>
      <c r="CH43" s="87" t="str">
        <f t="shared" si="41"/>
        <v>〇</v>
      </c>
      <c r="CI43" s="87" t="str">
        <f t="shared" si="42"/>
        <v>〇</v>
      </c>
      <c r="CJ43" s="87" t="str">
        <f t="shared" si="43"/>
        <v>〇</v>
      </c>
      <c r="CK43" s="87" t="str">
        <f t="shared" si="44"/>
        <v>〇</v>
      </c>
      <c r="CL43" s="87" t="str">
        <f t="shared" si="45"/>
        <v>〇</v>
      </c>
      <c r="CM43" s="87" t="str">
        <f t="shared" si="46"/>
        <v>〇</v>
      </c>
      <c r="CN43" s="87" t="str">
        <f t="shared" si="47"/>
        <v>〇</v>
      </c>
      <c r="CO43" s="87" t="str">
        <f t="shared" si="48"/>
        <v>〇</v>
      </c>
      <c r="CP43" s="87" t="str">
        <f t="shared" si="49"/>
        <v>〇</v>
      </c>
      <c r="CQ43" s="87" t="str">
        <f t="shared" si="50"/>
        <v>〇</v>
      </c>
      <c r="CS43" s="476"/>
      <c r="CT43" s="476"/>
      <c r="CU43" s="476"/>
      <c r="CV43" s="476"/>
    </row>
    <row r="44" spans="1:100" s="90" customFormat="1" ht="23.15" customHeight="1">
      <c r="A44" s="2">
        <v>38</v>
      </c>
      <c r="B44" s="14"/>
      <c r="C44" s="4"/>
      <c r="D44" s="5"/>
      <c r="E44" s="3"/>
      <c r="F44" s="6"/>
      <c r="G44" s="7"/>
      <c r="H44" s="8"/>
      <c r="I44" s="8"/>
      <c r="J44" s="8"/>
      <c r="K44" s="8"/>
      <c r="L44" s="8"/>
      <c r="M44" s="8"/>
      <c r="N44" s="8"/>
      <c r="O44" s="8"/>
      <c r="P44" s="8"/>
      <c r="Q44" s="9"/>
      <c r="R44" s="10"/>
      <c r="S44" s="11"/>
      <c r="T44" s="9"/>
      <c r="U44" s="16"/>
      <c r="V44" s="9"/>
      <c r="W44" s="12"/>
      <c r="X44" s="13"/>
      <c r="Y44" s="89" t="str">
        <f t="shared" si="18"/>
        <v/>
      </c>
      <c r="Z44" s="87">
        <f>IF(COUNTIF($E$7:E44,E44)=1,"",COUNTIF($E$7:E44,E44))</f>
        <v>0</v>
      </c>
      <c r="AA44" s="87" t="str">
        <f t="shared" si="52"/>
        <v/>
      </c>
      <c r="AC44" s="87" t="str">
        <f t="shared" si="69"/>
        <v/>
      </c>
      <c r="AD44" s="87" t="str">
        <f t="shared" si="69"/>
        <v/>
      </c>
      <c r="AE44" s="87" t="str">
        <f t="shared" si="69"/>
        <v/>
      </c>
      <c r="AF44" s="87" t="str">
        <f t="shared" si="69"/>
        <v/>
      </c>
      <c r="AG44" s="87" t="str">
        <f t="shared" si="69"/>
        <v/>
      </c>
      <c r="AH44" s="87" t="str">
        <f t="shared" si="69"/>
        <v/>
      </c>
      <c r="AI44" s="87" t="str">
        <f t="shared" si="69"/>
        <v/>
      </c>
      <c r="AJ44" s="87" t="str">
        <f t="shared" si="69"/>
        <v/>
      </c>
      <c r="AK44" s="87" t="str">
        <f t="shared" si="69"/>
        <v/>
      </c>
      <c r="AL44" s="87" t="str">
        <f t="shared" si="69"/>
        <v/>
      </c>
      <c r="AM44" s="87" t="str">
        <f t="shared" si="69"/>
        <v/>
      </c>
      <c r="AN44" s="87" t="str">
        <f t="shared" si="69"/>
        <v/>
      </c>
      <c r="AP44" s="87" t="str">
        <f t="shared" si="53"/>
        <v/>
      </c>
      <c r="AQ44" s="87" t="str">
        <f t="shared" si="54"/>
        <v/>
      </c>
      <c r="AR44" s="87" t="str">
        <f t="shared" si="55"/>
        <v/>
      </c>
      <c r="AS44" s="87" t="str">
        <f t="shared" si="56"/>
        <v/>
      </c>
      <c r="AT44" s="87" t="str">
        <f t="shared" si="57"/>
        <v/>
      </c>
      <c r="AU44" s="87" t="str">
        <f t="shared" si="58"/>
        <v/>
      </c>
      <c r="AV44" s="87" t="str">
        <f t="shared" si="59"/>
        <v/>
      </c>
      <c r="AW44" s="87" t="str">
        <f t="shared" si="60"/>
        <v/>
      </c>
      <c r="AX44" s="87" t="str">
        <f t="shared" si="61"/>
        <v/>
      </c>
      <c r="AY44" s="87" t="str">
        <f t="shared" si="62"/>
        <v/>
      </c>
      <c r="AZ44" s="87" t="str">
        <f t="shared" si="63"/>
        <v/>
      </c>
      <c r="BA44" s="87" t="str">
        <f t="shared" si="64"/>
        <v/>
      </c>
      <c r="BB44" s="90" t="str">
        <f t="shared" si="20"/>
        <v/>
      </c>
      <c r="BE44" s="87" t="str">
        <f t="shared" si="65"/>
        <v/>
      </c>
      <c r="BF44" s="87" t="str">
        <f t="shared" si="66"/>
        <v/>
      </c>
      <c r="BG44" s="87" t="str">
        <f t="shared" si="67"/>
        <v/>
      </c>
      <c r="BH44" s="87" t="str">
        <f t="shared" si="21"/>
        <v/>
      </c>
      <c r="BI44" s="87" t="str">
        <f t="shared" si="68"/>
        <v/>
      </c>
      <c r="BO44" s="87" t="str">
        <f t="shared" si="22"/>
        <v>〇</v>
      </c>
      <c r="BP44" s="87" t="str">
        <f t="shared" si="23"/>
        <v>〇</v>
      </c>
      <c r="BQ44" s="87" t="str">
        <f t="shared" si="24"/>
        <v>〇</v>
      </c>
      <c r="BR44" s="87" t="str">
        <f t="shared" si="25"/>
        <v>〇</v>
      </c>
      <c r="BS44" s="87" t="str">
        <f t="shared" si="26"/>
        <v>〇</v>
      </c>
      <c r="BT44" s="87" t="str">
        <f t="shared" si="27"/>
        <v>〇</v>
      </c>
      <c r="BU44" s="87" t="str">
        <f t="shared" si="28"/>
        <v>〇</v>
      </c>
      <c r="BV44" s="87" t="str">
        <f t="shared" si="29"/>
        <v>〇</v>
      </c>
      <c r="BW44" s="87" t="str">
        <f t="shared" si="30"/>
        <v>〇</v>
      </c>
      <c r="BX44" s="87" t="str">
        <f t="shared" si="31"/>
        <v>〇</v>
      </c>
      <c r="BY44" s="87" t="str">
        <f t="shared" si="32"/>
        <v>〇</v>
      </c>
      <c r="BZ44" s="87" t="str">
        <f t="shared" si="33"/>
        <v>〇</v>
      </c>
      <c r="CA44" s="87" t="str">
        <f t="shared" si="34"/>
        <v>〇</v>
      </c>
      <c r="CB44" s="87" t="str">
        <f t="shared" si="35"/>
        <v>〇</v>
      </c>
      <c r="CC44" s="87" t="str">
        <f t="shared" si="36"/>
        <v>〇</v>
      </c>
      <c r="CD44" s="87" t="str">
        <f t="shared" si="37"/>
        <v>〇</v>
      </c>
      <c r="CE44" s="87" t="str">
        <f t="shared" si="38"/>
        <v>〇</v>
      </c>
      <c r="CF44" s="87" t="str">
        <f t="shared" si="39"/>
        <v>〇</v>
      </c>
      <c r="CG44" s="87" t="str">
        <f t="shared" si="40"/>
        <v>〇</v>
      </c>
      <c r="CH44" s="87" t="str">
        <f t="shared" si="41"/>
        <v>〇</v>
      </c>
      <c r="CI44" s="87" t="str">
        <f t="shared" si="42"/>
        <v>〇</v>
      </c>
      <c r="CJ44" s="87" t="str">
        <f t="shared" si="43"/>
        <v>〇</v>
      </c>
      <c r="CK44" s="87" t="str">
        <f t="shared" si="44"/>
        <v>〇</v>
      </c>
      <c r="CL44" s="87" t="str">
        <f t="shared" si="45"/>
        <v>〇</v>
      </c>
      <c r="CM44" s="87" t="str">
        <f t="shared" si="46"/>
        <v>〇</v>
      </c>
      <c r="CN44" s="87" t="str">
        <f t="shared" si="47"/>
        <v>〇</v>
      </c>
      <c r="CO44" s="87" t="str">
        <f t="shared" si="48"/>
        <v>〇</v>
      </c>
      <c r="CP44" s="87" t="str">
        <f t="shared" si="49"/>
        <v>〇</v>
      </c>
      <c r="CQ44" s="87" t="str">
        <f t="shared" si="50"/>
        <v>〇</v>
      </c>
      <c r="CS44" s="476"/>
      <c r="CT44" s="476"/>
      <c r="CU44" s="476"/>
      <c r="CV44" s="476"/>
    </row>
    <row r="45" spans="1:100" s="90" customFormat="1" ht="23.15" customHeight="1">
      <c r="A45" s="2">
        <v>39</v>
      </c>
      <c r="B45" s="14"/>
      <c r="C45" s="4"/>
      <c r="D45" s="5"/>
      <c r="E45" s="3"/>
      <c r="F45" s="6"/>
      <c r="G45" s="7"/>
      <c r="H45" s="8"/>
      <c r="I45" s="8"/>
      <c r="J45" s="8"/>
      <c r="K45" s="8"/>
      <c r="L45" s="8"/>
      <c r="M45" s="8"/>
      <c r="N45" s="8"/>
      <c r="O45" s="8"/>
      <c r="P45" s="8"/>
      <c r="Q45" s="9"/>
      <c r="R45" s="10"/>
      <c r="S45" s="11"/>
      <c r="T45" s="9"/>
      <c r="U45" s="16"/>
      <c r="V45" s="9"/>
      <c r="W45" s="12"/>
      <c r="X45" s="13"/>
      <c r="Y45" s="89" t="str">
        <f t="shared" si="18"/>
        <v/>
      </c>
      <c r="Z45" s="87">
        <f>IF(COUNTIF($E$7:E45,E45)=1,"",COUNTIF($E$7:E45,E45))</f>
        <v>0</v>
      </c>
      <c r="AA45" s="87" t="str">
        <f t="shared" si="52"/>
        <v/>
      </c>
      <c r="AC45" s="87" t="str">
        <f t="shared" si="69"/>
        <v/>
      </c>
      <c r="AD45" s="87" t="str">
        <f t="shared" si="69"/>
        <v/>
      </c>
      <c r="AE45" s="87" t="str">
        <f t="shared" si="69"/>
        <v/>
      </c>
      <c r="AF45" s="87" t="str">
        <f t="shared" si="69"/>
        <v/>
      </c>
      <c r="AG45" s="87" t="str">
        <f t="shared" si="69"/>
        <v/>
      </c>
      <c r="AH45" s="87" t="str">
        <f t="shared" si="69"/>
        <v/>
      </c>
      <c r="AI45" s="87" t="str">
        <f t="shared" si="69"/>
        <v/>
      </c>
      <c r="AJ45" s="87" t="str">
        <f t="shared" si="69"/>
        <v/>
      </c>
      <c r="AK45" s="87" t="str">
        <f t="shared" si="69"/>
        <v/>
      </c>
      <c r="AL45" s="87" t="str">
        <f t="shared" si="69"/>
        <v/>
      </c>
      <c r="AM45" s="87" t="str">
        <f t="shared" si="69"/>
        <v/>
      </c>
      <c r="AN45" s="87" t="str">
        <f t="shared" si="69"/>
        <v/>
      </c>
      <c r="AP45" s="87" t="str">
        <f t="shared" si="53"/>
        <v/>
      </c>
      <c r="AQ45" s="87" t="str">
        <f t="shared" si="54"/>
        <v/>
      </c>
      <c r="AR45" s="87" t="str">
        <f t="shared" si="55"/>
        <v/>
      </c>
      <c r="AS45" s="87" t="str">
        <f t="shared" si="56"/>
        <v/>
      </c>
      <c r="AT45" s="87" t="str">
        <f t="shared" si="57"/>
        <v/>
      </c>
      <c r="AU45" s="87" t="str">
        <f t="shared" si="58"/>
        <v/>
      </c>
      <c r="AV45" s="87" t="str">
        <f t="shared" si="59"/>
        <v/>
      </c>
      <c r="AW45" s="87" t="str">
        <f t="shared" si="60"/>
        <v/>
      </c>
      <c r="AX45" s="87" t="str">
        <f t="shared" si="61"/>
        <v/>
      </c>
      <c r="AY45" s="87" t="str">
        <f t="shared" si="62"/>
        <v/>
      </c>
      <c r="AZ45" s="87" t="str">
        <f t="shared" si="63"/>
        <v/>
      </c>
      <c r="BA45" s="87" t="str">
        <f t="shared" si="64"/>
        <v/>
      </c>
      <c r="BB45" s="90" t="str">
        <f t="shared" si="20"/>
        <v/>
      </c>
      <c r="BE45" s="87" t="str">
        <f t="shared" si="65"/>
        <v/>
      </c>
      <c r="BF45" s="87" t="str">
        <f t="shared" si="66"/>
        <v/>
      </c>
      <c r="BG45" s="87" t="str">
        <f t="shared" si="67"/>
        <v/>
      </c>
      <c r="BH45" s="87" t="str">
        <f t="shared" si="21"/>
        <v/>
      </c>
      <c r="BI45" s="87" t="str">
        <f t="shared" si="68"/>
        <v/>
      </c>
      <c r="BO45" s="87" t="str">
        <f t="shared" si="22"/>
        <v>〇</v>
      </c>
      <c r="BP45" s="87" t="str">
        <f t="shared" si="23"/>
        <v>〇</v>
      </c>
      <c r="BQ45" s="87" t="str">
        <f t="shared" si="24"/>
        <v>〇</v>
      </c>
      <c r="BR45" s="87" t="str">
        <f t="shared" si="25"/>
        <v>〇</v>
      </c>
      <c r="BS45" s="87" t="str">
        <f t="shared" si="26"/>
        <v>〇</v>
      </c>
      <c r="BT45" s="87" t="str">
        <f t="shared" si="27"/>
        <v>〇</v>
      </c>
      <c r="BU45" s="87" t="str">
        <f t="shared" si="28"/>
        <v>〇</v>
      </c>
      <c r="BV45" s="87" t="str">
        <f t="shared" si="29"/>
        <v>〇</v>
      </c>
      <c r="BW45" s="87" t="str">
        <f t="shared" si="30"/>
        <v>〇</v>
      </c>
      <c r="BX45" s="87" t="str">
        <f t="shared" si="31"/>
        <v>〇</v>
      </c>
      <c r="BY45" s="87" t="str">
        <f t="shared" si="32"/>
        <v>〇</v>
      </c>
      <c r="BZ45" s="87" t="str">
        <f t="shared" si="33"/>
        <v>〇</v>
      </c>
      <c r="CA45" s="87" t="str">
        <f t="shared" si="34"/>
        <v>〇</v>
      </c>
      <c r="CB45" s="87" t="str">
        <f t="shared" si="35"/>
        <v>〇</v>
      </c>
      <c r="CC45" s="87" t="str">
        <f t="shared" si="36"/>
        <v>〇</v>
      </c>
      <c r="CD45" s="87" t="str">
        <f t="shared" si="37"/>
        <v>〇</v>
      </c>
      <c r="CE45" s="87" t="str">
        <f t="shared" si="38"/>
        <v>〇</v>
      </c>
      <c r="CF45" s="87" t="str">
        <f t="shared" si="39"/>
        <v>〇</v>
      </c>
      <c r="CG45" s="87" t="str">
        <f t="shared" si="40"/>
        <v>〇</v>
      </c>
      <c r="CH45" s="87" t="str">
        <f t="shared" si="41"/>
        <v>〇</v>
      </c>
      <c r="CI45" s="87" t="str">
        <f t="shared" si="42"/>
        <v>〇</v>
      </c>
      <c r="CJ45" s="87" t="str">
        <f t="shared" si="43"/>
        <v>〇</v>
      </c>
      <c r="CK45" s="87" t="str">
        <f t="shared" si="44"/>
        <v>〇</v>
      </c>
      <c r="CL45" s="87" t="str">
        <f t="shared" si="45"/>
        <v>〇</v>
      </c>
      <c r="CM45" s="87" t="str">
        <f t="shared" si="46"/>
        <v>〇</v>
      </c>
      <c r="CN45" s="87" t="str">
        <f t="shared" si="47"/>
        <v>〇</v>
      </c>
      <c r="CO45" s="87" t="str">
        <f t="shared" si="48"/>
        <v>〇</v>
      </c>
      <c r="CP45" s="87" t="str">
        <f t="shared" si="49"/>
        <v>〇</v>
      </c>
      <c r="CQ45" s="87" t="str">
        <f t="shared" si="50"/>
        <v>〇</v>
      </c>
      <c r="CS45" s="476"/>
      <c r="CT45" s="476"/>
      <c r="CU45" s="476"/>
      <c r="CV45" s="476"/>
    </row>
    <row r="46" spans="1:100" s="90" customFormat="1" ht="23.15" customHeight="1">
      <c r="A46" s="2">
        <v>40</v>
      </c>
      <c r="B46" s="14"/>
      <c r="C46" s="4"/>
      <c r="D46" s="5"/>
      <c r="E46" s="3"/>
      <c r="F46" s="6"/>
      <c r="G46" s="7"/>
      <c r="H46" s="8"/>
      <c r="I46" s="8"/>
      <c r="J46" s="8"/>
      <c r="K46" s="8"/>
      <c r="L46" s="8"/>
      <c r="M46" s="8"/>
      <c r="N46" s="8"/>
      <c r="O46" s="8"/>
      <c r="P46" s="8"/>
      <c r="Q46" s="9"/>
      <c r="R46" s="10"/>
      <c r="S46" s="11"/>
      <c r="T46" s="9"/>
      <c r="U46" s="16"/>
      <c r="V46" s="9"/>
      <c r="W46" s="12"/>
      <c r="X46" s="13"/>
      <c r="Y46" s="89" t="str">
        <f t="shared" si="18"/>
        <v/>
      </c>
      <c r="Z46" s="87">
        <f>IF(COUNTIF($E$7:E46,E46)=1,"",COUNTIF($E$7:E46,E46))</f>
        <v>0</v>
      </c>
      <c r="AA46" s="87" t="str">
        <f t="shared" si="52"/>
        <v/>
      </c>
      <c r="AC46" s="87" t="str">
        <f t="shared" si="69"/>
        <v/>
      </c>
      <c r="AD46" s="87" t="str">
        <f t="shared" si="69"/>
        <v/>
      </c>
      <c r="AE46" s="87" t="str">
        <f t="shared" si="69"/>
        <v/>
      </c>
      <c r="AF46" s="87" t="str">
        <f t="shared" si="69"/>
        <v/>
      </c>
      <c r="AG46" s="87" t="str">
        <f t="shared" si="69"/>
        <v/>
      </c>
      <c r="AH46" s="87" t="str">
        <f t="shared" si="69"/>
        <v/>
      </c>
      <c r="AI46" s="87" t="str">
        <f t="shared" si="69"/>
        <v/>
      </c>
      <c r="AJ46" s="87" t="str">
        <f t="shared" si="69"/>
        <v/>
      </c>
      <c r="AK46" s="87" t="str">
        <f t="shared" si="69"/>
        <v/>
      </c>
      <c r="AL46" s="87" t="str">
        <f t="shared" si="69"/>
        <v/>
      </c>
      <c r="AM46" s="87" t="str">
        <f t="shared" si="69"/>
        <v/>
      </c>
      <c r="AN46" s="87" t="str">
        <f t="shared" si="69"/>
        <v/>
      </c>
      <c r="AP46" s="87" t="str">
        <f t="shared" si="53"/>
        <v/>
      </c>
      <c r="AQ46" s="87" t="str">
        <f t="shared" si="54"/>
        <v/>
      </c>
      <c r="AR46" s="87" t="str">
        <f t="shared" si="55"/>
        <v/>
      </c>
      <c r="AS46" s="87" t="str">
        <f t="shared" si="56"/>
        <v/>
      </c>
      <c r="AT46" s="87" t="str">
        <f t="shared" si="57"/>
        <v/>
      </c>
      <c r="AU46" s="87" t="str">
        <f t="shared" si="58"/>
        <v/>
      </c>
      <c r="AV46" s="87" t="str">
        <f t="shared" si="59"/>
        <v/>
      </c>
      <c r="AW46" s="87" t="str">
        <f t="shared" si="60"/>
        <v/>
      </c>
      <c r="AX46" s="87" t="str">
        <f t="shared" si="61"/>
        <v/>
      </c>
      <c r="AY46" s="87" t="str">
        <f t="shared" si="62"/>
        <v/>
      </c>
      <c r="AZ46" s="87" t="str">
        <f t="shared" si="63"/>
        <v/>
      </c>
      <c r="BA46" s="87" t="str">
        <f t="shared" si="64"/>
        <v/>
      </c>
      <c r="BB46" s="90" t="str">
        <f t="shared" si="20"/>
        <v/>
      </c>
      <c r="BE46" s="87" t="str">
        <f t="shared" si="65"/>
        <v/>
      </c>
      <c r="BF46" s="87" t="str">
        <f t="shared" si="66"/>
        <v/>
      </c>
      <c r="BG46" s="87" t="str">
        <f t="shared" si="67"/>
        <v/>
      </c>
      <c r="BH46" s="87" t="str">
        <f t="shared" si="21"/>
        <v/>
      </c>
      <c r="BI46" s="87" t="str">
        <f t="shared" si="68"/>
        <v/>
      </c>
      <c r="BO46" s="87" t="str">
        <f t="shared" si="22"/>
        <v>〇</v>
      </c>
      <c r="BP46" s="87" t="str">
        <f t="shared" si="23"/>
        <v>〇</v>
      </c>
      <c r="BQ46" s="87" t="str">
        <f t="shared" si="24"/>
        <v>〇</v>
      </c>
      <c r="BR46" s="87" t="str">
        <f t="shared" si="25"/>
        <v>〇</v>
      </c>
      <c r="BS46" s="87" t="str">
        <f t="shared" si="26"/>
        <v>〇</v>
      </c>
      <c r="BT46" s="87" t="str">
        <f t="shared" si="27"/>
        <v>〇</v>
      </c>
      <c r="BU46" s="87" t="str">
        <f t="shared" si="28"/>
        <v>〇</v>
      </c>
      <c r="BV46" s="87" t="str">
        <f t="shared" si="29"/>
        <v>〇</v>
      </c>
      <c r="BW46" s="87" t="str">
        <f t="shared" si="30"/>
        <v>〇</v>
      </c>
      <c r="BX46" s="87" t="str">
        <f t="shared" si="31"/>
        <v>〇</v>
      </c>
      <c r="BY46" s="87" t="str">
        <f t="shared" si="32"/>
        <v>〇</v>
      </c>
      <c r="BZ46" s="87" t="str">
        <f t="shared" si="33"/>
        <v>〇</v>
      </c>
      <c r="CA46" s="87" t="str">
        <f t="shared" si="34"/>
        <v>〇</v>
      </c>
      <c r="CB46" s="87" t="str">
        <f t="shared" si="35"/>
        <v>〇</v>
      </c>
      <c r="CC46" s="87" t="str">
        <f t="shared" si="36"/>
        <v>〇</v>
      </c>
      <c r="CD46" s="87" t="str">
        <f t="shared" si="37"/>
        <v>〇</v>
      </c>
      <c r="CE46" s="87" t="str">
        <f t="shared" si="38"/>
        <v>〇</v>
      </c>
      <c r="CF46" s="87" t="str">
        <f t="shared" si="39"/>
        <v>〇</v>
      </c>
      <c r="CG46" s="87" t="str">
        <f t="shared" si="40"/>
        <v>〇</v>
      </c>
      <c r="CH46" s="87" t="str">
        <f t="shared" si="41"/>
        <v>〇</v>
      </c>
      <c r="CI46" s="87" t="str">
        <f t="shared" si="42"/>
        <v>〇</v>
      </c>
      <c r="CJ46" s="87" t="str">
        <f t="shared" si="43"/>
        <v>〇</v>
      </c>
      <c r="CK46" s="87" t="str">
        <f t="shared" si="44"/>
        <v>〇</v>
      </c>
      <c r="CL46" s="87" t="str">
        <f t="shared" si="45"/>
        <v>〇</v>
      </c>
      <c r="CM46" s="87" t="str">
        <f t="shared" si="46"/>
        <v>〇</v>
      </c>
      <c r="CN46" s="87" t="str">
        <f t="shared" si="47"/>
        <v>〇</v>
      </c>
      <c r="CO46" s="87" t="str">
        <f t="shared" si="48"/>
        <v>〇</v>
      </c>
      <c r="CP46" s="87" t="str">
        <f t="shared" si="49"/>
        <v>〇</v>
      </c>
      <c r="CQ46" s="87" t="str">
        <f t="shared" si="50"/>
        <v>〇</v>
      </c>
      <c r="CS46" s="476"/>
      <c r="CT46" s="476"/>
      <c r="CU46" s="476"/>
      <c r="CV46" s="476"/>
    </row>
    <row r="47" spans="1:100" s="90" customFormat="1" ht="23.15" customHeight="1">
      <c r="A47" s="2">
        <v>41</v>
      </c>
      <c r="B47" s="14"/>
      <c r="C47" s="4"/>
      <c r="D47" s="5"/>
      <c r="E47" s="3"/>
      <c r="F47" s="6"/>
      <c r="G47" s="7"/>
      <c r="H47" s="8"/>
      <c r="I47" s="8"/>
      <c r="J47" s="8"/>
      <c r="K47" s="8"/>
      <c r="L47" s="8"/>
      <c r="M47" s="8"/>
      <c r="N47" s="8"/>
      <c r="O47" s="8"/>
      <c r="P47" s="8"/>
      <c r="Q47" s="9"/>
      <c r="R47" s="10"/>
      <c r="S47" s="11"/>
      <c r="T47" s="9"/>
      <c r="U47" s="16"/>
      <c r="V47" s="9"/>
      <c r="W47" s="12"/>
      <c r="X47" s="13"/>
      <c r="Y47" s="89" t="str">
        <f t="shared" si="18"/>
        <v/>
      </c>
      <c r="Z47" s="87">
        <f>IF(COUNTIF($E$7:E47,E47)=1,"",COUNTIF($E$7:E47,E47))</f>
        <v>0</v>
      </c>
      <c r="AA47" s="87" t="str">
        <f t="shared" si="52"/>
        <v/>
      </c>
      <c r="AC47" s="87" t="str">
        <f t="shared" si="69"/>
        <v/>
      </c>
      <c r="AD47" s="87" t="str">
        <f t="shared" si="69"/>
        <v/>
      </c>
      <c r="AE47" s="87" t="str">
        <f t="shared" si="69"/>
        <v/>
      </c>
      <c r="AF47" s="87" t="str">
        <f t="shared" si="69"/>
        <v/>
      </c>
      <c r="AG47" s="87" t="str">
        <f t="shared" si="69"/>
        <v/>
      </c>
      <c r="AH47" s="87" t="str">
        <f t="shared" si="69"/>
        <v/>
      </c>
      <c r="AI47" s="87" t="str">
        <f t="shared" si="69"/>
        <v/>
      </c>
      <c r="AJ47" s="87" t="str">
        <f t="shared" si="69"/>
        <v/>
      </c>
      <c r="AK47" s="87" t="str">
        <f t="shared" si="69"/>
        <v/>
      </c>
      <c r="AL47" s="87" t="str">
        <f t="shared" si="69"/>
        <v/>
      </c>
      <c r="AM47" s="87" t="str">
        <f t="shared" si="69"/>
        <v/>
      </c>
      <c r="AN47" s="87" t="str">
        <f t="shared" si="69"/>
        <v/>
      </c>
      <c r="AP47" s="87" t="str">
        <f t="shared" si="53"/>
        <v/>
      </c>
      <c r="AQ47" s="87" t="str">
        <f t="shared" si="54"/>
        <v/>
      </c>
      <c r="AR47" s="87" t="str">
        <f t="shared" si="55"/>
        <v/>
      </c>
      <c r="AS47" s="87" t="str">
        <f t="shared" si="56"/>
        <v/>
      </c>
      <c r="AT47" s="87" t="str">
        <f t="shared" si="57"/>
        <v/>
      </c>
      <c r="AU47" s="87" t="str">
        <f t="shared" si="58"/>
        <v/>
      </c>
      <c r="AV47" s="87" t="str">
        <f t="shared" si="59"/>
        <v/>
      </c>
      <c r="AW47" s="87" t="str">
        <f t="shared" si="60"/>
        <v/>
      </c>
      <c r="AX47" s="87" t="str">
        <f t="shared" si="61"/>
        <v/>
      </c>
      <c r="AY47" s="87" t="str">
        <f t="shared" si="62"/>
        <v/>
      </c>
      <c r="AZ47" s="87" t="str">
        <f t="shared" si="63"/>
        <v/>
      </c>
      <c r="BA47" s="87" t="str">
        <f t="shared" si="64"/>
        <v/>
      </c>
      <c r="BB47" s="90" t="str">
        <f t="shared" si="20"/>
        <v/>
      </c>
      <c r="BE47" s="87" t="str">
        <f t="shared" si="65"/>
        <v/>
      </c>
      <c r="BF47" s="87" t="str">
        <f t="shared" si="66"/>
        <v/>
      </c>
      <c r="BG47" s="87" t="str">
        <f t="shared" si="67"/>
        <v/>
      </c>
      <c r="BH47" s="87" t="str">
        <f t="shared" si="21"/>
        <v/>
      </c>
      <c r="BI47" s="87" t="str">
        <f t="shared" si="68"/>
        <v/>
      </c>
      <c r="BO47" s="87" t="str">
        <f t="shared" si="22"/>
        <v>〇</v>
      </c>
      <c r="BP47" s="87" t="str">
        <f t="shared" si="23"/>
        <v>〇</v>
      </c>
      <c r="BQ47" s="87" t="str">
        <f t="shared" si="24"/>
        <v>〇</v>
      </c>
      <c r="BR47" s="87" t="str">
        <f t="shared" si="25"/>
        <v>〇</v>
      </c>
      <c r="BS47" s="87" t="str">
        <f t="shared" si="26"/>
        <v>〇</v>
      </c>
      <c r="BT47" s="87" t="str">
        <f t="shared" si="27"/>
        <v>〇</v>
      </c>
      <c r="BU47" s="87" t="str">
        <f t="shared" si="28"/>
        <v>〇</v>
      </c>
      <c r="BV47" s="87" t="str">
        <f t="shared" si="29"/>
        <v>〇</v>
      </c>
      <c r="BW47" s="87" t="str">
        <f t="shared" si="30"/>
        <v>〇</v>
      </c>
      <c r="BX47" s="87" t="str">
        <f t="shared" si="31"/>
        <v>〇</v>
      </c>
      <c r="BY47" s="87" t="str">
        <f t="shared" si="32"/>
        <v>〇</v>
      </c>
      <c r="BZ47" s="87" t="str">
        <f t="shared" si="33"/>
        <v>〇</v>
      </c>
      <c r="CA47" s="87" t="str">
        <f t="shared" si="34"/>
        <v>〇</v>
      </c>
      <c r="CB47" s="87" t="str">
        <f t="shared" si="35"/>
        <v>〇</v>
      </c>
      <c r="CC47" s="87" t="str">
        <f t="shared" si="36"/>
        <v>〇</v>
      </c>
      <c r="CD47" s="87" t="str">
        <f t="shared" si="37"/>
        <v>〇</v>
      </c>
      <c r="CE47" s="87" t="str">
        <f t="shared" si="38"/>
        <v>〇</v>
      </c>
      <c r="CF47" s="87" t="str">
        <f t="shared" si="39"/>
        <v>〇</v>
      </c>
      <c r="CG47" s="87" t="str">
        <f t="shared" si="40"/>
        <v>〇</v>
      </c>
      <c r="CH47" s="87" t="str">
        <f t="shared" si="41"/>
        <v>〇</v>
      </c>
      <c r="CI47" s="87" t="str">
        <f t="shared" si="42"/>
        <v>〇</v>
      </c>
      <c r="CJ47" s="87" t="str">
        <f t="shared" si="43"/>
        <v>〇</v>
      </c>
      <c r="CK47" s="87" t="str">
        <f t="shared" si="44"/>
        <v>〇</v>
      </c>
      <c r="CL47" s="87" t="str">
        <f t="shared" si="45"/>
        <v>〇</v>
      </c>
      <c r="CM47" s="87" t="str">
        <f t="shared" si="46"/>
        <v>〇</v>
      </c>
      <c r="CN47" s="87" t="str">
        <f t="shared" si="47"/>
        <v>〇</v>
      </c>
      <c r="CO47" s="87" t="str">
        <f t="shared" si="48"/>
        <v>〇</v>
      </c>
      <c r="CP47" s="87" t="str">
        <f t="shared" si="49"/>
        <v>〇</v>
      </c>
      <c r="CQ47" s="87" t="str">
        <f t="shared" si="50"/>
        <v>〇</v>
      </c>
      <c r="CS47" s="476"/>
      <c r="CT47" s="476"/>
      <c r="CU47" s="476"/>
      <c r="CV47" s="476"/>
    </row>
    <row r="48" spans="1:100" s="90" customFormat="1" ht="23.15" customHeight="1">
      <c r="A48" s="2">
        <v>42</v>
      </c>
      <c r="B48" s="14"/>
      <c r="C48" s="4"/>
      <c r="D48" s="5"/>
      <c r="E48" s="3"/>
      <c r="F48" s="6"/>
      <c r="G48" s="7"/>
      <c r="H48" s="8"/>
      <c r="I48" s="8"/>
      <c r="J48" s="8"/>
      <c r="K48" s="8"/>
      <c r="L48" s="8"/>
      <c r="M48" s="8"/>
      <c r="N48" s="8"/>
      <c r="O48" s="8"/>
      <c r="P48" s="8"/>
      <c r="Q48" s="9"/>
      <c r="R48" s="10"/>
      <c r="S48" s="11"/>
      <c r="T48" s="9"/>
      <c r="U48" s="16"/>
      <c r="V48" s="9"/>
      <c r="W48" s="12"/>
      <c r="X48" s="13"/>
      <c r="Y48" s="89" t="str">
        <f t="shared" si="18"/>
        <v/>
      </c>
      <c r="Z48" s="87">
        <f>IF(COUNTIF($E$7:E48,E48)=1,"",COUNTIF($E$7:E48,E48))</f>
        <v>0</v>
      </c>
      <c r="AA48" s="87" t="str">
        <f t="shared" si="52"/>
        <v/>
      </c>
      <c r="AC48" s="87" t="str">
        <f t="shared" si="69"/>
        <v/>
      </c>
      <c r="AD48" s="87" t="str">
        <f t="shared" si="69"/>
        <v/>
      </c>
      <c r="AE48" s="87" t="str">
        <f t="shared" si="69"/>
        <v/>
      </c>
      <c r="AF48" s="87" t="str">
        <f t="shared" si="69"/>
        <v/>
      </c>
      <c r="AG48" s="87" t="str">
        <f t="shared" si="69"/>
        <v/>
      </c>
      <c r="AH48" s="87" t="str">
        <f t="shared" si="69"/>
        <v/>
      </c>
      <c r="AI48" s="87" t="str">
        <f t="shared" si="69"/>
        <v/>
      </c>
      <c r="AJ48" s="87" t="str">
        <f t="shared" si="69"/>
        <v/>
      </c>
      <c r="AK48" s="87" t="str">
        <f t="shared" si="69"/>
        <v/>
      </c>
      <c r="AL48" s="87" t="str">
        <f t="shared" si="69"/>
        <v/>
      </c>
      <c r="AM48" s="87" t="str">
        <f t="shared" si="69"/>
        <v/>
      </c>
      <c r="AN48" s="87" t="str">
        <f t="shared" si="69"/>
        <v/>
      </c>
      <c r="AP48" s="87" t="str">
        <f t="shared" si="53"/>
        <v/>
      </c>
      <c r="AQ48" s="87" t="str">
        <f t="shared" si="54"/>
        <v/>
      </c>
      <c r="AR48" s="87" t="str">
        <f t="shared" si="55"/>
        <v/>
      </c>
      <c r="AS48" s="87" t="str">
        <f t="shared" si="56"/>
        <v/>
      </c>
      <c r="AT48" s="87" t="str">
        <f t="shared" si="57"/>
        <v/>
      </c>
      <c r="AU48" s="87" t="str">
        <f t="shared" si="58"/>
        <v/>
      </c>
      <c r="AV48" s="87" t="str">
        <f t="shared" si="59"/>
        <v/>
      </c>
      <c r="AW48" s="87" t="str">
        <f t="shared" si="60"/>
        <v/>
      </c>
      <c r="AX48" s="87" t="str">
        <f t="shared" si="61"/>
        <v/>
      </c>
      <c r="AY48" s="87" t="str">
        <f t="shared" si="62"/>
        <v/>
      </c>
      <c r="AZ48" s="87" t="str">
        <f t="shared" si="63"/>
        <v/>
      </c>
      <c r="BA48" s="87" t="str">
        <f t="shared" si="64"/>
        <v/>
      </c>
      <c r="BB48" s="90" t="str">
        <f t="shared" si="20"/>
        <v/>
      </c>
      <c r="BE48" s="87" t="str">
        <f t="shared" si="65"/>
        <v/>
      </c>
      <c r="BF48" s="87" t="str">
        <f t="shared" si="66"/>
        <v/>
      </c>
      <c r="BG48" s="87" t="str">
        <f t="shared" si="67"/>
        <v/>
      </c>
      <c r="BH48" s="87" t="str">
        <f t="shared" si="21"/>
        <v/>
      </c>
      <c r="BI48" s="87" t="str">
        <f t="shared" si="68"/>
        <v/>
      </c>
      <c r="BO48" s="87" t="str">
        <f t="shared" si="22"/>
        <v>〇</v>
      </c>
      <c r="BP48" s="87" t="str">
        <f t="shared" si="23"/>
        <v>〇</v>
      </c>
      <c r="BQ48" s="87" t="str">
        <f t="shared" si="24"/>
        <v>〇</v>
      </c>
      <c r="BR48" s="87" t="str">
        <f t="shared" si="25"/>
        <v>〇</v>
      </c>
      <c r="BS48" s="87" t="str">
        <f t="shared" si="26"/>
        <v>〇</v>
      </c>
      <c r="BT48" s="87" t="str">
        <f t="shared" si="27"/>
        <v>〇</v>
      </c>
      <c r="BU48" s="87" t="str">
        <f t="shared" si="28"/>
        <v>〇</v>
      </c>
      <c r="BV48" s="87" t="str">
        <f t="shared" si="29"/>
        <v>〇</v>
      </c>
      <c r="BW48" s="87" t="str">
        <f t="shared" si="30"/>
        <v>〇</v>
      </c>
      <c r="BX48" s="87" t="str">
        <f t="shared" si="31"/>
        <v>〇</v>
      </c>
      <c r="BY48" s="87" t="str">
        <f t="shared" si="32"/>
        <v>〇</v>
      </c>
      <c r="BZ48" s="87" t="str">
        <f t="shared" si="33"/>
        <v>〇</v>
      </c>
      <c r="CA48" s="87" t="str">
        <f t="shared" si="34"/>
        <v>〇</v>
      </c>
      <c r="CB48" s="87" t="str">
        <f t="shared" si="35"/>
        <v>〇</v>
      </c>
      <c r="CC48" s="87" t="str">
        <f t="shared" si="36"/>
        <v>〇</v>
      </c>
      <c r="CD48" s="87" t="str">
        <f t="shared" si="37"/>
        <v>〇</v>
      </c>
      <c r="CE48" s="87" t="str">
        <f t="shared" si="38"/>
        <v>〇</v>
      </c>
      <c r="CF48" s="87" t="str">
        <f t="shared" si="39"/>
        <v>〇</v>
      </c>
      <c r="CG48" s="87" t="str">
        <f t="shared" si="40"/>
        <v>〇</v>
      </c>
      <c r="CH48" s="87" t="str">
        <f t="shared" si="41"/>
        <v>〇</v>
      </c>
      <c r="CI48" s="87" t="str">
        <f t="shared" si="42"/>
        <v>〇</v>
      </c>
      <c r="CJ48" s="87" t="str">
        <f t="shared" si="43"/>
        <v>〇</v>
      </c>
      <c r="CK48" s="87" t="str">
        <f t="shared" si="44"/>
        <v>〇</v>
      </c>
      <c r="CL48" s="87" t="str">
        <f t="shared" si="45"/>
        <v>〇</v>
      </c>
      <c r="CM48" s="87" t="str">
        <f t="shared" si="46"/>
        <v>〇</v>
      </c>
      <c r="CN48" s="87" t="str">
        <f t="shared" si="47"/>
        <v>〇</v>
      </c>
      <c r="CO48" s="87" t="str">
        <f t="shared" si="48"/>
        <v>〇</v>
      </c>
      <c r="CP48" s="87" t="str">
        <f t="shared" si="49"/>
        <v>〇</v>
      </c>
      <c r="CQ48" s="87" t="str">
        <f t="shared" si="50"/>
        <v>〇</v>
      </c>
      <c r="CS48" s="476"/>
      <c r="CT48" s="476"/>
      <c r="CU48" s="476"/>
      <c r="CV48" s="476"/>
    </row>
    <row r="49" spans="1:100" s="90" customFormat="1" ht="23.15" customHeight="1">
      <c r="A49" s="2">
        <v>43</v>
      </c>
      <c r="B49" s="14"/>
      <c r="C49" s="4"/>
      <c r="D49" s="5"/>
      <c r="E49" s="3"/>
      <c r="F49" s="6"/>
      <c r="G49" s="7"/>
      <c r="H49" s="8"/>
      <c r="I49" s="8"/>
      <c r="J49" s="8"/>
      <c r="K49" s="8"/>
      <c r="L49" s="8"/>
      <c r="M49" s="8"/>
      <c r="N49" s="8"/>
      <c r="O49" s="8"/>
      <c r="P49" s="8"/>
      <c r="Q49" s="9"/>
      <c r="R49" s="10"/>
      <c r="S49" s="11"/>
      <c r="T49" s="9"/>
      <c r="U49" s="16"/>
      <c r="V49" s="9"/>
      <c r="W49" s="12"/>
      <c r="X49" s="13"/>
      <c r="Y49" s="89" t="str">
        <f t="shared" si="18"/>
        <v/>
      </c>
      <c r="Z49" s="87">
        <f>IF(COUNTIF($E$7:E49,E49)=1,"",COUNTIF($E$7:E49,E49))</f>
        <v>0</v>
      </c>
      <c r="AA49" s="87" t="str">
        <f t="shared" si="52"/>
        <v/>
      </c>
      <c r="AC49" s="87" t="str">
        <f t="shared" si="69"/>
        <v/>
      </c>
      <c r="AD49" s="87" t="str">
        <f t="shared" si="69"/>
        <v/>
      </c>
      <c r="AE49" s="87" t="str">
        <f t="shared" si="69"/>
        <v/>
      </c>
      <c r="AF49" s="87" t="str">
        <f t="shared" si="69"/>
        <v/>
      </c>
      <c r="AG49" s="87" t="str">
        <f t="shared" si="69"/>
        <v/>
      </c>
      <c r="AH49" s="87" t="str">
        <f t="shared" si="69"/>
        <v/>
      </c>
      <c r="AI49" s="87" t="str">
        <f t="shared" si="69"/>
        <v/>
      </c>
      <c r="AJ49" s="87" t="str">
        <f t="shared" si="69"/>
        <v/>
      </c>
      <c r="AK49" s="87" t="str">
        <f t="shared" si="69"/>
        <v/>
      </c>
      <c r="AL49" s="87" t="str">
        <f t="shared" si="69"/>
        <v/>
      </c>
      <c r="AM49" s="87" t="str">
        <f t="shared" si="69"/>
        <v/>
      </c>
      <c r="AN49" s="87" t="str">
        <f t="shared" si="69"/>
        <v/>
      </c>
      <c r="AP49" s="87" t="str">
        <f t="shared" si="53"/>
        <v/>
      </c>
      <c r="AQ49" s="87" t="str">
        <f t="shared" si="54"/>
        <v/>
      </c>
      <c r="AR49" s="87" t="str">
        <f t="shared" si="55"/>
        <v/>
      </c>
      <c r="AS49" s="87" t="str">
        <f t="shared" si="56"/>
        <v/>
      </c>
      <c r="AT49" s="87" t="str">
        <f t="shared" si="57"/>
        <v/>
      </c>
      <c r="AU49" s="87" t="str">
        <f t="shared" si="58"/>
        <v/>
      </c>
      <c r="AV49" s="87" t="str">
        <f t="shared" si="59"/>
        <v/>
      </c>
      <c r="AW49" s="87" t="str">
        <f t="shared" si="60"/>
        <v/>
      </c>
      <c r="AX49" s="87" t="str">
        <f t="shared" si="61"/>
        <v/>
      </c>
      <c r="AY49" s="87" t="str">
        <f t="shared" si="62"/>
        <v/>
      </c>
      <c r="AZ49" s="87" t="str">
        <f t="shared" si="63"/>
        <v/>
      </c>
      <c r="BA49" s="87" t="str">
        <f t="shared" si="64"/>
        <v/>
      </c>
      <c r="BB49" s="90" t="str">
        <f t="shared" si="20"/>
        <v/>
      </c>
      <c r="BE49" s="87" t="str">
        <f t="shared" si="65"/>
        <v/>
      </c>
      <c r="BF49" s="87" t="str">
        <f t="shared" si="66"/>
        <v/>
      </c>
      <c r="BG49" s="87" t="str">
        <f t="shared" si="67"/>
        <v/>
      </c>
      <c r="BH49" s="87" t="str">
        <f t="shared" si="21"/>
        <v/>
      </c>
      <c r="BI49" s="87" t="str">
        <f t="shared" si="68"/>
        <v/>
      </c>
      <c r="BO49" s="87" t="str">
        <f t="shared" si="22"/>
        <v>〇</v>
      </c>
      <c r="BP49" s="87" t="str">
        <f t="shared" si="23"/>
        <v>〇</v>
      </c>
      <c r="BQ49" s="87" t="str">
        <f t="shared" si="24"/>
        <v>〇</v>
      </c>
      <c r="BR49" s="87" t="str">
        <f t="shared" si="25"/>
        <v>〇</v>
      </c>
      <c r="BS49" s="87" t="str">
        <f t="shared" si="26"/>
        <v>〇</v>
      </c>
      <c r="BT49" s="87" t="str">
        <f t="shared" si="27"/>
        <v>〇</v>
      </c>
      <c r="BU49" s="87" t="str">
        <f t="shared" si="28"/>
        <v>〇</v>
      </c>
      <c r="BV49" s="87" t="str">
        <f t="shared" si="29"/>
        <v>〇</v>
      </c>
      <c r="BW49" s="87" t="str">
        <f t="shared" si="30"/>
        <v>〇</v>
      </c>
      <c r="BX49" s="87" t="str">
        <f t="shared" si="31"/>
        <v>〇</v>
      </c>
      <c r="BY49" s="87" t="str">
        <f t="shared" si="32"/>
        <v>〇</v>
      </c>
      <c r="BZ49" s="87" t="str">
        <f t="shared" si="33"/>
        <v>〇</v>
      </c>
      <c r="CA49" s="87" t="str">
        <f t="shared" si="34"/>
        <v>〇</v>
      </c>
      <c r="CB49" s="87" t="str">
        <f t="shared" si="35"/>
        <v>〇</v>
      </c>
      <c r="CC49" s="87" t="str">
        <f t="shared" si="36"/>
        <v>〇</v>
      </c>
      <c r="CD49" s="87" t="str">
        <f t="shared" si="37"/>
        <v>〇</v>
      </c>
      <c r="CE49" s="87" t="str">
        <f t="shared" si="38"/>
        <v>〇</v>
      </c>
      <c r="CF49" s="87" t="str">
        <f t="shared" si="39"/>
        <v>〇</v>
      </c>
      <c r="CG49" s="87" t="str">
        <f t="shared" si="40"/>
        <v>〇</v>
      </c>
      <c r="CH49" s="87" t="str">
        <f t="shared" si="41"/>
        <v>〇</v>
      </c>
      <c r="CI49" s="87" t="str">
        <f t="shared" si="42"/>
        <v>〇</v>
      </c>
      <c r="CJ49" s="87" t="str">
        <f t="shared" si="43"/>
        <v>〇</v>
      </c>
      <c r="CK49" s="87" t="str">
        <f t="shared" si="44"/>
        <v>〇</v>
      </c>
      <c r="CL49" s="87" t="str">
        <f t="shared" si="45"/>
        <v>〇</v>
      </c>
      <c r="CM49" s="87" t="str">
        <f t="shared" si="46"/>
        <v>〇</v>
      </c>
      <c r="CN49" s="87" t="str">
        <f t="shared" si="47"/>
        <v>〇</v>
      </c>
      <c r="CO49" s="87" t="str">
        <f t="shared" si="48"/>
        <v>〇</v>
      </c>
      <c r="CP49" s="87" t="str">
        <f t="shared" si="49"/>
        <v>〇</v>
      </c>
      <c r="CQ49" s="87" t="str">
        <f t="shared" si="50"/>
        <v>〇</v>
      </c>
      <c r="CS49" s="476"/>
      <c r="CT49" s="476"/>
      <c r="CU49" s="476"/>
      <c r="CV49" s="476"/>
    </row>
    <row r="50" spans="1:100" s="90" customFormat="1" ht="23.15" customHeight="1">
      <c r="A50" s="2">
        <v>44</v>
      </c>
      <c r="B50" s="14"/>
      <c r="C50" s="4"/>
      <c r="D50" s="5"/>
      <c r="E50" s="3"/>
      <c r="F50" s="6"/>
      <c r="G50" s="7"/>
      <c r="H50" s="8"/>
      <c r="I50" s="8"/>
      <c r="J50" s="8"/>
      <c r="K50" s="8"/>
      <c r="L50" s="8"/>
      <c r="M50" s="8"/>
      <c r="N50" s="8"/>
      <c r="O50" s="8"/>
      <c r="P50" s="8"/>
      <c r="Q50" s="9"/>
      <c r="R50" s="10"/>
      <c r="S50" s="11"/>
      <c r="T50" s="9"/>
      <c r="U50" s="16"/>
      <c r="V50" s="9"/>
      <c r="W50" s="12"/>
      <c r="X50" s="13"/>
      <c r="Y50" s="89" t="str">
        <f t="shared" si="18"/>
        <v/>
      </c>
      <c r="Z50" s="87">
        <f>IF(COUNTIF($E$7:E50,E50)=1,"",COUNTIF($E$7:E50,E50))</f>
        <v>0</v>
      </c>
      <c r="AA50" s="87" t="str">
        <f t="shared" si="52"/>
        <v/>
      </c>
      <c r="AC50" s="87" t="str">
        <f t="shared" si="69"/>
        <v/>
      </c>
      <c r="AD50" s="87" t="str">
        <f t="shared" si="69"/>
        <v/>
      </c>
      <c r="AE50" s="87" t="str">
        <f t="shared" si="69"/>
        <v/>
      </c>
      <c r="AF50" s="87" t="str">
        <f t="shared" si="69"/>
        <v/>
      </c>
      <c r="AG50" s="87" t="str">
        <f t="shared" si="69"/>
        <v/>
      </c>
      <c r="AH50" s="87" t="str">
        <f t="shared" si="69"/>
        <v/>
      </c>
      <c r="AI50" s="87" t="str">
        <f t="shared" si="69"/>
        <v/>
      </c>
      <c r="AJ50" s="87" t="str">
        <f t="shared" si="69"/>
        <v/>
      </c>
      <c r="AK50" s="87" t="str">
        <f t="shared" si="69"/>
        <v/>
      </c>
      <c r="AL50" s="87" t="str">
        <f t="shared" si="69"/>
        <v/>
      </c>
      <c r="AM50" s="87" t="str">
        <f t="shared" si="69"/>
        <v/>
      </c>
      <c r="AN50" s="87" t="str">
        <f t="shared" si="69"/>
        <v/>
      </c>
      <c r="AP50" s="87" t="str">
        <f t="shared" si="53"/>
        <v/>
      </c>
      <c r="AQ50" s="87" t="str">
        <f t="shared" si="54"/>
        <v/>
      </c>
      <c r="AR50" s="87" t="str">
        <f t="shared" si="55"/>
        <v/>
      </c>
      <c r="AS50" s="87" t="str">
        <f t="shared" si="56"/>
        <v/>
      </c>
      <c r="AT50" s="87" t="str">
        <f t="shared" si="57"/>
        <v/>
      </c>
      <c r="AU50" s="87" t="str">
        <f t="shared" si="58"/>
        <v/>
      </c>
      <c r="AV50" s="87" t="str">
        <f t="shared" si="59"/>
        <v/>
      </c>
      <c r="AW50" s="87" t="str">
        <f t="shared" si="60"/>
        <v/>
      </c>
      <c r="AX50" s="87" t="str">
        <f t="shared" si="61"/>
        <v/>
      </c>
      <c r="AY50" s="87" t="str">
        <f t="shared" si="62"/>
        <v/>
      </c>
      <c r="AZ50" s="87" t="str">
        <f t="shared" si="63"/>
        <v/>
      </c>
      <c r="BA50" s="87" t="str">
        <f t="shared" si="64"/>
        <v/>
      </c>
      <c r="BB50" s="90" t="str">
        <f t="shared" si="20"/>
        <v/>
      </c>
      <c r="BE50" s="87" t="str">
        <f t="shared" si="65"/>
        <v/>
      </c>
      <c r="BF50" s="87" t="str">
        <f t="shared" si="66"/>
        <v/>
      </c>
      <c r="BG50" s="87" t="str">
        <f t="shared" si="67"/>
        <v/>
      </c>
      <c r="BH50" s="87" t="str">
        <f t="shared" si="21"/>
        <v/>
      </c>
      <c r="BI50" s="87" t="str">
        <f t="shared" si="68"/>
        <v/>
      </c>
      <c r="BO50" s="87" t="str">
        <f t="shared" si="22"/>
        <v>〇</v>
      </c>
      <c r="BP50" s="87" t="str">
        <f t="shared" si="23"/>
        <v>〇</v>
      </c>
      <c r="BQ50" s="87" t="str">
        <f t="shared" si="24"/>
        <v>〇</v>
      </c>
      <c r="BR50" s="87" t="str">
        <f t="shared" si="25"/>
        <v>〇</v>
      </c>
      <c r="BS50" s="87" t="str">
        <f t="shared" si="26"/>
        <v>〇</v>
      </c>
      <c r="BT50" s="87" t="str">
        <f t="shared" si="27"/>
        <v>〇</v>
      </c>
      <c r="BU50" s="87" t="str">
        <f t="shared" si="28"/>
        <v>〇</v>
      </c>
      <c r="BV50" s="87" t="str">
        <f t="shared" si="29"/>
        <v>〇</v>
      </c>
      <c r="BW50" s="87" t="str">
        <f t="shared" si="30"/>
        <v>〇</v>
      </c>
      <c r="BX50" s="87" t="str">
        <f t="shared" si="31"/>
        <v>〇</v>
      </c>
      <c r="BY50" s="87" t="str">
        <f t="shared" si="32"/>
        <v>〇</v>
      </c>
      <c r="BZ50" s="87" t="str">
        <f t="shared" si="33"/>
        <v>〇</v>
      </c>
      <c r="CA50" s="87" t="str">
        <f t="shared" si="34"/>
        <v>〇</v>
      </c>
      <c r="CB50" s="87" t="str">
        <f t="shared" si="35"/>
        <v>〇</v>
      </c>
      <c r="CC50" s="87" t="str">
        <f t="shared" si="36"/>
        <v>〇</v>
      </c>
      <c r="CD50" s="87" t="str">
        <f t="shared" si="37"/>
        <v>〇</v>
      </c>
      <c r="CE50" s="87" t="str">
        <f t="shared" si="38"/>
        <v>〇</v>
      </c>
      <c r="CF50" s="87" t="str">
        <f t="shared" si="39"/>
        <v>〇</v>
      </c>
      <c r="CG50" s="87" t="str">
        <f t="shared" si="40"/>
        <v>〇</v>
      </c>
      <c r="CH50" s="87" t="str">
        <f t="shared" si="41"/>
        <v>〇</v>
      </c>
      <c r="CI50" s="87" t="str">
        <f t="shared" si="42"/>
        <v>〇</v>
      </c>
      <c r="CJ50" s="87" t="str">
        <f t="shared" si="43"/>
        <v>〇</v>
      </c>
      <c r="CK50" s="87" t="str">
        <f t="shared" si="44"/>
        <v>〇</v>
      </c>
      <c r="CL50" s="87" t="str">
        <f t="shared" si="45"/>
        <v>〇</v>
      </c>
      <c r="CM50" s="87" t="str">
        <f t="shared" si="46"/>
        <v>〇</v>
      </c>
      <c r="CN50" s="87" t="str">
        <f t="shared" si="47"/>
        <v>〇</v>
      </c>
      <c r="CO50" s="87" t="str">
        <f t="shared" si="48"/>
        <v>〇</v>
      </c>
      <c r="CP50" s="87" t="str">
        <f t="shared" si="49"/>
        <v>〇</v>
      </c>
      <c r="CQ50" s="87" t="str">
        <f t="shared" si="50"/>
        <v>〇</v>
      </c>
      <c r="CS50" s="476"/>
      <c r="CT50" s="476"/>
      <c r="CU50" s="476"/>
      <c r="CV50" s="476"/>
    </row>
    <row r="51" spans="1:100" s="90" customFormat="1" ht="23.15" customHeight="1">
      <c r="A51" s="2">
        <v>45</v>
      </c>
      <c r="B51" s="14"/>
      <c r="C51" s="4"/>
      <c r="D51" s="5"/>
      <c r="E51" s="3"/>
      <c r="F51" s="6"/>
      <c r="G51" s="7"/>
      <c r="H51" s="8"/>
      <c r="I51" s="8"/>
      <c r="J51" s="8"/>
      <c r="K51" s="8"/>
      <c r="L51" s="8"/>
      <c r="M51" s="8"/>
      <c r="N51" s="8"/>
      <c r="O51" s="8"/>
      <c r="P51" s="8"/>
      <c r="Q51" s="15"/>
      <c r="R51" s="10"/>
      <c r="S51" s="11"/>
      <c r="T51" s="12"/>
      <c r="U51" s="16"/>
      <c r="V51" s="9"/>
      <c r="W51" s="12"/>
      <c r="X51" s="13"/>
      <c r="Y51" s="89" t="str">
        <f t="shared" si="18"/>
        <v/>
      </c>
      <c r="Z51" s="87">
        <f>IF(COUNTIF($E$7:E51,E51)=1,"",COUNTIF($E$7:E51,E51))</f>
        <v>0</v>
      </c>
      <c r="AA51" s="87" t="str">
        <f t="shared" si="52"/>
        <v/>
      </c>
      <c r="AC51" s="87" t="str">
        <f t="shared" si="69"/>
        <v/>
      </c>
      <c r="AD51" s="87" t="str">
        <f t="shared" si="69"/>
        <v/>
      </c>
      <c r="AE51" s="87" t="str">
        <f t="shared" si="69"/>
        <v/>
      </c>
      <c r="AF51" s="87" t="str">
        <f t="shared" si="69"/>
        <v/>
      </c>
      <c r="AG51" s="87" t="str">
        <f t="shared" si="69"/>
        <v/>
      </c>
      <c r="AH51" s="87" t="str">
        <f t="shared" si="69"/>
        <v/>
      </c>
      <c r="AI51" s="87" t="str">
        <f t="shared" si="69"/>
        <v/>
      </c>
      <c r="AJ51" s="87" t="str">
        <f t="shared" si="69"/>
        <v/>
      </c>
      <c r="AK51" s="87" t="str">
        <f t="shared" si="69"/>
        <v/>
      </c>
      <c r="AL51" s="87" t="str">
        <f t="shared" si="69"/>
        <v/>
      </c>
      <c r="AM51" s="87" t="str">
        <f t="shared" si="69"/>
        <v/>
      </c>
      <c r="AN51" s="87" t="str">
        <f t="shared" si="69"/>
        <v/>
      </c>
      <c r="AP51" s="87" t="str">
        <f t="shared" si="53"/>
        <v/>
      </c>
      <c r="AQ51" s="87" t="str">
        <f t="shared" si="54"/>
        <v/>
      </c>
      <c r="AR51" s="87" t="str">
        <f t="shared" si="55"/>
        <v/>
      </c>
      <c r="AS51" s="87" t="str">
        <f t="shared" si="56"/>
        <v/>
      </c>
      <c r="AT51" s="87" t="str">
        <f t="shared" si="57"/>
        <v/>
      </c>
      <c r="AU51" s="87" t="str">
        <f t="shared" si="58"/>
        <v/>
      </c>
      <c r="AV51" s="87" t="str">
        <f t="shared" si="59"/>
        <v/>
      </c>
      <c r="AW51" s="87" t="str">
        <f t="shared" si="60"/>
        <v/>
      </c>
      <c r="AX51" s="87" t="str">
        <f t="shared" si="61"/>
        <v/>
      </c>
      <c r="AY51" s="87" t="str">
        <f t="shared" si="62"/>
        <v/>
      </c>
      <c r="AZ51" s="87" t="str">
        <f t="shared" si="63"/>
        <v/>
      </c>
      <c r="BA51" s="87" t="str">
        <f t="shared" si="64"/>
        <v/>
      </c>
      <c r="BB51" s="90" t="str">
        <f t="shared" si="20"/>
        <v/>
      </c>
      <c r="BE51" s="87" t="str">
        <f t="shared" si="65"/>
        <v/>
      </c>
      <c r="BF51" s="87" t="str">
        <f t="shared" si="66"/>
        <v/>
      </c>
      <c r="BG51" s="87" t="str">
        <f t="shared" si="67"/>
        <v/>
      </c>
      <c r="BH51" s="87" t="str">
        <f t="shared" si="21"/>
        <v/>
      </c>
      <c r="BI51" s="87" t="str">
        <f t="shared" si="68"/>
        <v/>
      </c>
      <c r="BO51" s="87" t="str">
        <f t="shared" si="22"/>
        <v>〇</v>
      </c>
      <c r="BP51" s="87" t="str">
        <f t="shared" si="23"/>
        <v>〇</v>
      </c>
      <c r="BQ51" s="87" t="str">
        <f t="shared" si="24"/>
        <v>〇</v>
      </c>
      <c r="BR51" s="87" t="str">
        <f t="shared" si="25"/>
        <v>〇</v>
      </c>
      <c r="BS51" s="87" t="str">
        <f t="shared" si="26"/>
        <v>〇</v>
      </c>
      <c r="BT51" s="87" t="str">
        <f t="shared" si="27"/>
        <v>〇</v>
      </c>
      <c r="BU51" s="87" t="str">
        <f t="shared" si="28"/>
        <v>〇</v>
      </c>
      <c r="BV51" s="87" t="str">
        <f t="shared" si="29"/>
        <v>〇</v>
      </c>
      <c r="BW51" s="87" t="str">
        <f t="shared" si="30"/>
        <v>〇</v>
      </c>
      <c r="BX51" s="87" t="str">
        <f t="shared" si="31"/>
        <v>〇</v>
      </c>
      <c r="BY51" s="87" t="str">
        <f t="shared" si="32"/>
        <v>〇</v>
      </c>
      <c r="BZ51" s="87" t="str">
        <f t="shared" si="33"/>
        <v>〇</v>
      </c>
      <c r="CA51" s="87" t="str">
        <f t="shared" si="34"/>
        <v>〇</v>
      </c>
      <c r="CB51" s="87" t="str">
        <f t="shared" si="35"/>
        <v>〇</v>
      </c>
      <c r="CC51" s="87" t="str">
        <f t="shared" si="36"/>
        <v>〇</v>
      </c>
      <c r="CD51" s="87" t="str">
        <f t="shared" si="37"/>
        <v>〇</v>
      </c>
      <c r="CE51" s="87" t="str">
        <f t="shared" si="38"/>
        <v>〇</v>
      </c>
      <c r="CF51" s="87" t="str">
        <f t="shared" si="39"/>
        <v>〇</v>
      </c>
      <c r="CG51" s="87" t="str">
        <f t="shared" si="40"/>
        <v>〇</v>
      </c>
      <c r="CH51" s="87" t="str">
        <f t="shared" si="41"/>
        <v>〇</v>
      </c>
      <c r="CI51" s="87" t="str">
        <f t="shared" si="42"/>
        <v>〇</v>
      </c>
      <c r="CJ51" s="87" t="str">
        <f t="shared" si="43"/>
        <v>〇</v>
      </c>
      <c r="CK51" s="87" t="str">
        <f t="shared" si="44"/>
        <v>〇</v>
      </c>
      <c r="CL51" s="87" t="str">
        <f t="shared" si="45"/>
        <v>〇</v>
      </c>
      <c r="CM51" s="87" t="str">
        <f t="shared" si="46"/>
        <v>〇</v>
      </c>
      <c r="CN51" s="87" t="str">
        <f t="shared" si="47"/>
        <v>〇</v>
      </c>
      <c r="CO51" s="87" t="str">
        <f t="shared" si="48"/>
        <v>〇</v>
      </c>
      <c r="CP51" s="87" t="str">
        <f t="shared" si="49"/>
        <v>〇</v>
      </c>
      <c r="CQ51" s="87" t="str">
        <f t="shared" si="50"/>
        <v>〇</v>
      </c>
      <c r="CS51" s="476"/>
      <c r="CT51" s="476"/>
      <c r="CU51" s="476"/>
      <c r="CV51" s="476"/>
    </row>
    <row r="52" spans="1:100" s="90" customFormat="1" ht="23.15" customHeight="1">
      <c r="A52" s="2">
        <v>46</v>
      </c>
      <c r="B52" s="14"/>
      <c r="C52" s="4"/>
      <c r="D52" s="5"/>
      <c r="E52" s="3"/>
      <c r="F52" s="6"/>
      <c r="G52" s="7"/>
      <c r="H52" s="8"/>
      <c r="I52" s="8"/>
      <c r="J52" s="8"/>
      <c r="K52" s="8"/>
      <c r="L52" s="8"/>
      <c r="M52" s="8"/>
      <c r="N52" s="8"/>
      <c r="O52" s="8"/>
      <c r="P52" s="8"/>
      <c r="Q52" s="9"/>
      <c r="R52" s="10"/>
      <c r="S52" s="11"/>
      <c r="T52" s="9"/>
      <c r="U52" s="16"/>
      <c r="V52" s="9"/>
      <c r="W52" s="12"/>
      <c r="X52" s="13"/>
      <c r="Y52" s="89" t="str">
        <f t="shared" si="18"/>
        <v/>
      </c>
      <c r="Z52" s="87">
        <f>IF(COUNTIF($E$7:E52,E52)=1,"",COUNTIF($E$7:E52,E52))</f>
        <v>0</v>
      </c>
      <c r="AA52" s="87" t="str">
        <f t="shared" si="52"/>
        <v/>
      </c>
      <c r="AC52" s="87" t="str">
        <f t="shared" si="69"/>
        <v/>
      </c>
      <c r="AD52" s="87" t="str">
        <f t="shared" si="69"/>
        <v/>
      </c>
      <c r="AE52" s="87" t="str">
        <f t="shared" si="69"/>
        <v/>
      </c>
      <c r="AF52" s="87" t="str">
        <f t="shared" si="69"/>
        <v/>
      </c>
      <c r="AG52" s="87" t="str">
        <f t="shared" si="69"/>
        <v/>
      </c>
      <c r="AH52" s="87" t="str">
        <f t="shared" si="69"/>
        <v/>
      </c>
      <c r="AI52" s="87" t="str">
        <f t="shared" si="69"/>
        <v/>
      </c>
      <c r="AJ52" s="87" t="str">
        <f t="shared" si="69"/>
        <v/>
      </c>
      <c r="AK52" s="87" t="str">
        <f t="shared" si="69"/>
        <v/>
      </c>
      <c r="AL52" s="87" t="str">
        <f t="shared" si="69"/>
        <v/>
      </c>
      <c r="AM52" s="87" t="str">
        <f t="shared" si="69"/>
        <v/>
      </c>
      <c r="AN52" s="87" t="str">
        <f t="shared" si="69"/>
        <v/>
      </c>
      <c r="AP52" s="87" t="str">
        <f t="shared" si="53"/>
        <v/>
      </c>
      <c r="AQ52" s="87" t="str">
        <f t="shared" si="54"/>
        <v/>
      </c>
      <c r="AR52" s="87" t="str">
        <f t="shared" si="55"/>
        <v/>
      </c>
      <c r="AS52" s="87" t="str">
        <f t="shared" si="56"/>
        <v/>
      </c>
      <c r="AT52" s="87" t="str">
        <f t="shared" si="57"/>
        <v/>
      </c>
      <c r="AU52" s="87" t="str">
        <f t="shared" si="58"/>
        <v/>
      </c>
      <c r="AV52" s="87" t="str">
        <f t="shared" si="59"/>
        <v/>
      </c>
      <c r="AW52" s="87" t="str">
        <f t="shared" si="60"/>
        <v/>
      </c>
      <c r="AX52" s="87" t="str">
        <f t="shared" si="61"/>
        <v/>
      </c>
      <c r="AY52" s="87" t="str">
        <f t="shared" si="62"/>
        <v/>
      </c>
      <c r="AZ52" s="87" t="str">
        <f t="shared" si="63"/>
        <v/>
      </c>
      <c r="BA52" s="87" t="str">
        <f t="shared" si="64"/>
        <v/>
      </c>
      <c r="BB52" s="90" t="str">
        <f t="shared" si="20"/>
        <v/>
      </c>
      <c r="BE52" s="87" t="str">
        <f t="shared" si="65"/>
        <v/>
      </c>
      <c r="BF52" s="87" t="str">
        <f t="shared" si="66"/>
        <v/>
      </c>
      <c r="BG52" s="87" t="str">
        <f t="shared" si="67"/>
        <v/>
      </c>
      <c r="BH52" s="87" t="str">
        <f t="shared" si="21"/>
        <v/>
      </c>
      <c r="BI52" s="87" t="str">
        <f t="shared" si="68"/>
        <v/>
      </c>
      <c r="BO52" s="87" t="str">
        <f t="shared" si="22"/>
        <v>〇</v>
      </c>
      <c r="BP52" s="87" t="str">
        <f t="shared" si="23"/>
        <v>〇</v>
      </c>
      <c r="BQ52" s="87" t="str">
        <f t="shared" si="24"/>
        <v>〇</v>
      </c>
      <c r="BR52" s="87" t="str">
        <f t="shared" si="25"/>
        <v>〇</v>
      </c>
      <c r="BS52" s="87" t="str">
        <f t="shared" si="26"/>
        <v>〇</v>
      </c>
      <c r="BT52" s="87" t="str">
        <f t="shared" si="27"/>
        <v>〇</v>
      </c>
      <c r="BU52" s="87" t="str">
        <f t="shared" si="28"/>
        <v>〇</v>
      </c>
      <c r="BV52" s="87" t="str">
        <f t="shared" si="29"/>
        <v>〇</v>
      </c>
      <c r="BW52" s="87" t="str">
        <f t="shared" si="30"/>
        <v>〇</v>
      </c>
      <c r="BX52" s="87" t="str">
        <f t="shared" si="31"/>
        <v>〇</v>
      </c>
      <c r="BY52" s="87" t="str">
        <f t="shared" si="32"/>
        <v>〇</v>
      </c>
      <c r="BZ52" s="87" t="str">
        <f t="shared" si="33"/>
        <v>〇</v>
      </c>
      <c r="CA52" s="87" t="str">
        <f t="shared" si="34"/>
        <v>〇</v>
      </c>
      <c r="CB52" s="87" t="str">
        <f t="shared" si="35"/>
        <v>〇</v>
      </c>
      <c r="CC52" s="87" t="str">
        <f t="shared" si="36"/>
        <v>〇</v>
      </c>
      <c r="CD52" s="87" t="str">
        <f t="shared" si="37"/>
        <v>〇</v>
      </c>
      <c r="CE52" s="87" t="str">
        <f t="shared" si="38"/>
        <v>〇</v>
      </c>
      <c r="CF52" s="87" t="str">
        <f t="shared" si="39"/>
        <v>〇</v>
      </c>
      <c r="CG52" s="87" t="str">
        <f t="shared" si="40"/>
        <v>〇</v>
      </c>
      <c r="CH52" s="87" t="str">
        <f t="shared" si="41"/>
        <v>〇</v>
      </c>
      <c r="CI52" s="87" t="str">
        <f t="shared" si="42"/>
        <v>〇</v>
      </c>
      <c r="CJ52" s="87" t="str">
        <f t="shared" si="43"/>
        <v>〇</v>
      </c>
      <c r="CK52" s="87" t="str">
        <f t="shared" si="44"/>
        <v>〇</v>
      </c>
      <c r="CL52" s="87" t="str">
        <f t="shared" si="45"/>
        <v>〇</v>
      </c>
      <c r="CM52" s="87" t="str">
        <f t="shared" si="46"/>
        <v>〇</v>
      </c>
      <c r="CN52" s="87" t="str">
        <f t="shared" si="47"/>
        <v>〇</v>
      </c>
      <c r="CO52" s="87" t="str">
        <f t="shared" si="48"/>
        <v>〇</v>
      </c>
      <c r="CP52" s="87" t="str">
        <f t="shared" si="49"/>
        <v>〇</v>
      </c>
      <c r="CQ52" s="87" t="str">
        <f t="shared" si="50"/>
        <v>〇</v>
      </c>
      <c r="CS52" s="476"/>
      <c r="CT52" s="476"/>
      <c r="CU52" s="476"/>
      <c r="CV52" s="476"/>
    </row>
    <row r="53" spans="1:100" s="90" customFormat="1" ht="23.15" customHeight="1">
      <c r="A53" s="2">
        <v>47</v>
      </c>
      <c r="B53" s="14"/>
      <c r="C53" s="4"/>
      <c r="D53" s="5"/>
      <c r="E53" s="3"/>
      <c r="F53" s="6"/>
      <c r="G53" s="7"/>
      <c r="H53" s="8"/>
      <c r="I53" s="8"/>
      <c r="J53" s="8"/>
      <c r="K53" s="8"/>
      <c r="L53" s="8"/>
      <c r="M53" s="8"/>
      <c r="N53" s="8"/>
      <c r="O53" s="8"/>
      <c r="P53" s="8"/>
      <c r="Q53" s="9"/>
      <c r="R53" s="10"/>
      <c r="S53" s="11"/>
      <c r="T53" s="9"/>
      <c r="U53" s="16"/>
      <c r="V53" s="9"/>
      <c r="W53" s="12"/>
      <c r="X53" s="13"/>
      <c r="Y53" s="89" t="str">
        <f t="shared" si="18"/>
        <v/>
      </c>
      <c r="Z53" s="87">
        <f>IF(COUNTIF($E$7:E53,E53)=1,"",COUNTIF($E$7:E53,E53))</f>
        <v>0</v>
      </c>
      <c r="AA53" s="87" t="str">
        <f t="shared" si="52"/>
        <v/>
      </c>
      <c r="AC53" s="87" t="str">
        <f t="shared" si="69"/>
        <v/>
      </c>
      <c r="AD53" s="87" t="str">
        <f t="shared" si="69"/>
        <v/>
      </c>
      <c r="AE53" s="87" t="str">
        <f t="shared" si="69"/>
        <v/>
      </c>
      <c r="AF53" s="87" t="str">
        <f t="shared" si="69"/>
        <v/>
      </c>
      <c r="AG53" s="87" t="str">
        <f t="shared" si="69"/>
        <v/>
      </c>
      <c r="AH53" s="87" t="str">
        <f t="shared" si="69"/>
        <v/>
      </c>
      <c r="AI53" s="87" t="str">
        <f t="shared" si="69"/>
        <v/>
      </c>
      <c r="AJ53" s="87" t="str">
        <f t="shared" si="69"/>
        <v/>
      </c>
      <c r="AK53" s="87" t="str">
        <f t="shared" si="69"/>
        <v/>
      </c>
      <c r="AL53" s="87" t="str">
        <f t="shared" si="69"/>
        <v/>
      </c>
      <c r="AM53" s="87" t="str">
        <f t="shared" si="69"/>
        <v/>
      </c>
      <c r="AN53" s="87" t="str">
        <f t="shared" si="69"/>
        <v/>
      </c>
      <c r="AP53" s="87" t="str">
        <f t="shared" si="53"/>
        <v/>
      </c>
      <c r="AQ53" s="87" t="str">
        <f t="shared" si="54"/>
        <v/>
      </c>
      <c r="AR53" s="87" t="str">
        <f t="shared" si="55"/>
        <v/>
      </c>
      <c r="AS53" s="87" t="str">
        <f t="shared" si="56"/>
        <v/>
      </c>
      <c r="AT53" s="87" t="str">
        <f t="shared" si="57"/>
        <v/>
      </c>
      <c r="AU53" s="87" t="str">
        <f t="shared" si="58"/>
        <v/>
      </c>
      <c r="AV53" s="87" t="str">
        <f t="shared" si="59"/>
        <v/>
      </c>
      <c r="AW53" s="87" t="str">
        <f t="shared" si="60"/>
        <v/>
      </c>
      <c r="AX53" s="87" t="str">
        <f t="shared" si="61"/>
        <v/>
      </c>
      <c r="AY53" s="87" t="str">
        <f t="shared" si="62"/>
        <v/>
      </c>
      <c r="AZ53" s="87" t="str">
        <f t="shared" si="63"/>
        <v/>
      </c>
      <c r="BA53" s="87" t="str">
        <f t="shared" si="64"/>
        <v/>
      </c>
      <c r="BB53" s="90" t="str">
        <f t="shared" si="20"/>
        <v/>
      </c>
      <c r="BE53" s="87" t="str">
        <f t="shared" si="65"/>
        <v/>
      </c>
      <c r="BF53" s="87" t="str">
        <f t="shared" si="66"/>
        <v/>
      </c>
      <c r="BG53" s="87" t="str">
        <f t="shared" si="67"/>
        <v/>
      </c>
      <c r="BH53" s="87" t="str">
        <f t="shared" si="21"/>
        <v/>
      </c>
      <c r="BI53" s="87" t="str">
        <f t="shared" si="68"/>
        <v/>
      </c>
      <c r="BO53" s="87" t="str">
        <f t="shared" si="22"/>
        <v>〇</v>
      </c>
      <c r="BP53" s="87" t="str">
        <f t="shared" si="23"/>
        <v>〇</v>
      </c>
      <c r="BQ53" s="87" t="str">
        <f t="shared" si="24"/>
        <v>〇</v>
      </c>
      <c r="BR53" s="87" t="str">
        <f t="shared" si="25"/>
        <v>〇</v>
      </c>
      <c r="BS53" s="87" t="str">
        <f t="shared" si="26"/>
        <v>〇</v>
      </c>
      <c r="BT53" s="87" t="str">
        <f t="shared" si="27"/>
        <v>〇</v>
      </c>
      <c r="BU53" s="87" t="str">
        <f t="shared" si="28"/>
        <v>〇</v>
      </c>
      <c r="BV53" s="87" t="str">
        <f t="shared" si="29"/>
        <v>〇</v>
      </c>
      <c r="BW53" s="87" t="str">
        <f t="shared" si="30"/>
        <v>〇</v>
      </c>
      <c r="BX53" s="87" t="str">
        <f t="shared" si="31"/>
        <v>〇</v>
      </c>
      <c r="BY53" s="87" t="str">
        <f t="shared" si="32"/>
        <v>〇</v>
      </c>
      <c r="BZ53" s="87" t="str">
        <f t="shared" si="33"/>
        <v>〇</v>
      </c>
      <c r="CA53" s="87" t="str">
        <f t="shared" si="34"/>
        <v>〇</v>
      </c>
      <c r="CB53" s="87" t="str">
        <f t="shared" si="35"/>
        <v>〇</v>
      </c>
      <c r="CC53" s="87" t="str">
        <f t="shared" si="36"/>
        <v>〇</v>
      </c>
      <c r="CD53" s="87" t="str">
        <f t="shared" si="37"/>
        <v>〇</v>
      </c>
      <c r="CE53" s="87" t="str">
        <f t="shared" si="38"/>
        <v>〇</v>
      </c>
      <c r="CF53" s="87" t="str">
        <f t="shared" si="39"/>
        <v>〇</v>
      </c>
      <c r="CG53" s="87" t="str">
        <f t="shared" si="40"/>
        <v>〇</v>
      </c>
      <c r="CH53" s="87" t="str">
        <f t="shared" si="41"/>
        <v>〇</v>
      </c>
      <c r="CI53" s="87" t="str">
        <f t="shared" si="42"/>
        <v>〇</v>
      </c>
      <c r="CJ53" s="87" t="str">
        <f t="shared" si="43"/>
        <v>〇</v>
      </c>
      <c r="CK53" s="87" t="str">
        <f t="shared" si="44"/>
        <v>〇</v>
      </c>
      <c r="CL53" s="87" t="str">
        <f t="shared" si="45"/>
        <v>〇</v>
      </c>
      <c r="CM53" s="87" t="str">
        <f t="shared" si="46"/>
        <v>〇</v>
      </c>
      <c r="CN53" s="87" t="str">
        <f t="shared" si="47"/>
        <v>〇</v>
      </c>
      <c r="CO53" s="87" t="str">
        <f t="shared" si="48"/>
        <v>〇</v>
      </c>
      <c r="CP53" s="87" t="str">
        <f t="shared" si="49"/>
        <v>〇</v>
      </c>
      <c r="CQ53" s="87" t="str">
        <f t="shared" si="50"/>
        <v>〇</v>
      </c>
      <c r="CS53" s="476"/>
      <c r="CT53" s="476"/>
      <c r="CU53" s="476"/>
      <c r="CV53" s="476"/>
    </row>
    <row r="54" spans="1:100" s="90" customFormat="1" ht="23.15" customHeight="1">
      <c r="A54" s="2">
        <v>48</v>
      </c>
      <c r="B54" s="14"/>
      <c r="C54" s="4"/>
      <c r="D54" s="5"/>
      <c r="E54" s="3"/>
      <c r="F54" s="6"/>
      <c r="G54" s="7"/>
      <c r="H54" s="8"/>
      <c r="I54" s="8"/>
      <c r="J54" s="8"/>
      <c r="K54" s="8"/>
      <c r="L54" s="8"/>
      <c r="M54" s="8"/>
      <c r="N54" s="8"/>
      <c r="O54" s="8"/>
      <c r="P54" s="8"/>
      <c r="Q54" s="9"/>
      <c r="R54" s="10"/>
      <c r="S54" s="11"/>
      <c r="T54" s="9"/>
      <c r="U54" s="16"/>
      <c r="V54" s="9"/>
      <c r="W54" s="12"/>
      <c r="X54" s="13"/>
      <c r="Y54" s="89" t="str">
        <f t="shared" si="18"/>
        <v/>
      </c>
      <c r="Z54" s="87">
        <f>IF(COUNTIF($E$7:E54,E54)=1,"",COUNTIF($E$7:E54,E54))</f>
        <v>0</v>
      </c>
      <c r="AA54" s="87" t="str">
        <f t="shared" si="52"/>
        <v/>
      </c>
      <c r="AC54" s="87" t="str">
        <f t="shared" si="69"/>
        <v/>
      </c>
      <c r="AD54" s="87" t="str">
        <f t="shared" si="69"/>
        <v/>
      </c>
      <c r="AE54" s="87" t="str">
        <f t="shared" si="69"/>
        <v/>
      </c>
      <c r="AF54" s="87" t="str">
        <f t="shared" si="69"/>
        <v/>
      </c>
      <c r="AG54" s="87" t="str">
        <f t="shared" si="69"/>
        <v/>
      </c>
      <c r="AH54" s="87" t="str">
        <f t="shared" si="69"/>
        <v/>
      </c>
      <c r="AI54" s="87" t="str">
        <f t="shared" si="69"/>
        <v/>
      </c>
      <c r="AJ54" s="87" t="str">
        <f t="shared" si="69"/>
        <v/>
      </c>
      <c r="AK54" s="87" t="str">
        <f t="shared" si="69"/>
        <v/>
      </c>
      <c r="AL54" s="87" t="str">
        <f t="shared" si="69"/>
        <v/>
      </c>
      <c r="AM54" s="87" t="str">
        <f t="shared" si="69"/>
        <v/>
      </c>
      <c r="AN54" s="87" t="str">
        <f t="shared" si="69"/>
        <v/>
      </c>
      <c r="AP54" s="87" t="str">
        <f t="shared" si="53"/>
        <v/>
      </c>
      <c r="AQ54" s="87" t="str">
        <f t="shared" si="54"/>
        <v/>
      </c>
      <c r="AR54" s="87" t="str">
        <f t="shared" si="55"/>
        <v/>
      </c>
      <c r="AS54" s="87" t="str">
        <f t="shared" si="56"/>
        <v/>
      </c>
      <c r="AT54" s="87" t="str">
        <f t="shared" si="57"/>
        <v/>
      </c>
      <c r="AU54" s="87" t="str">
        <f t="shared" si="58"/>
        <v/>
      </c>
      <c r="AV54" s="87" t="str">
        <f t="shared" si="59"/>
        <v/>
      </c>
      <c r="AW54" s="87" t="str">
        <f t="shared" si="60"/>
        <v/>
      </c>
      <c r="AX54" s="87" t="str">
        <f t="shared" si="61"/>
        <v/>
      </c>
      <c r="AY54" s="87" t="str">
        <f t="shared" si="62"/>
        <v/>
      </c>
      <c r="AZ54" s="87" t="str">
        <f t="shared" si="63"/>
        <v/>
      </c>
      <c r="BA54" s="87" t="str">
        <f t="shared" si="64"/>
        <v/>
      </c>
      <c r="BB54" s="90" t="str">
        <f t="shared" si="20"/>
        <v/>
      </c>
      <c r="BE54" s="87" t="str">
        <f t="shared" si="65"/>
        <v/>
      </c>
      <c r="BF54" s="87" t="str">
        <f t="shared" si="66"/>
        <v/>
      </c>
      <c r="BG54" s="87" t="str">
        <f t="shared" si="67"/>
        <v/>
      </c>
      <c r="BH54" s="87" t="str">
        <f t="shared" si="21"/>
        <v/>
      </c>
      <c r="BI54" s="87" t="str">
        <f t="shared" si="68"/>
        <v/>
      </c>
      <c r="BO54" s="87" t="str">
        <f t="shared" si="22"/>
        <v>〇</v>
      </c>
      <c r="BP54" s="87" t="str">
        <f t="shared" si="23"/>
        <v>〇</v>
      </c>
      <c r="BQ54" s="87" t="str">
        <f t="shared" si="24"/>
        <v>〇</v>
      </c>
      <c r="BR54" s="87" t="str">
        <f t="shared" si="25"/>
        <v>〇</v>
      </c>
      <c r="BS54" s="87" t="str">
        <f t="shared" si="26"/>
        <v>〇</v>
      </c>
      <c r="BT54" s="87" t="str">
        <f t="shared" si="27"/>
        <v>〇</v>
      </c>
      <c r="BU54" s="87" t="str">
        <f t="shared" si="28"/>
        <v>〇</v>
      </c>
      <c r="BV54" s="87" t="str">
        <f t="shared" si="29"/>
        <v>〇</v>
      </c>
      <c r="BW54" s="87" t="str">
        <f t="shared" si="30"/>
        <v>〇</v>
      </c>
      <c r="BX54" s="87" t="str">
        <f t="shared" si="31"/>
        <v>〇</v>
      </c>
      <c r="BY54" s="87" t="str">
        <f t="shared" si="32"/>
        <v>〇</v>
      </c>
      <c r="BZ54" s="87" t="str">
        <f t="shared" si="33"/>
        <v>〇</v>
      </c>
      <c r="CA54" s="87" t="str">
        <f t="shared" si="34"/>
        <v>〇</v>
      </c>
      <c r="CB54" s="87" t="str">
        <f t="shared" si="35"/>
        <v>〇</v>
      </c>
      <c r="CC54" s="87" t="str">
        <f t="shared" si="36"/>
        <v>〇</v>
      </c>
      <c r="CD54" s="87" t="str">
        <f t="shared" si="37"/>
        <v>〇</v>
      </c>
      <c r="CE54" s="87" t="str">
        <f t="shared" si="38"/>
        <v>〇</v>
      </c>
      <c r="CF54" s="87" t="str">
        <f t="shared" si="39"/>
        <v>〇</v>
      </c>
      <c r="CG54" s="87" t="str">
        <f t="shared" si="40"/>
        <v>〇</v>
      </c>
      <c r="CH54" s="87" t="str">
        <f t="shared" si="41"/>
        <v>〇</v>
      </c>
      <c r="CI54" s="87" t="str">
        <f t="shared" si="42"/>
        <v>〇</v>
      </c>
      <c r="CJ54" s="87" t="str">
        <f t="shared" si="43"/>
        <v>〇</v>
      </c>
      <c r="CK54" s="87" t="str">
        <f t="shared" si="44"/>
        <v>〇</v>
      </c>
      <c r="CL54" s="87" t="str">
        <f t="shared" si="45"/>
        <v>〇</v>
      </c>
      <c r="CM54" s="87" t="str">
        <f t="shared" si="46"/>
        <v>〇</v>
      </c>
      <c r="CN54" s="87" t="str">
        <f t="shared" si="47"/>
        <v>〇</v>
      </c>
      <c r="CO54" s="87" t="str">
        <f t="shared" si="48"/>
        <v>〇</v>
      </c>
      <c r="CP54" s="87" t="str">
        <f t="shared" si="49"/>
        <v>〇</v>
      </c>
      <c r="CQ54" s="87" t="str">
        <f t="shared" si="50"/>
        <v>〇</v>
      </c>
      <c r="CS54" s="476"/>
      <c r="CT54" s="476"/>
      <c r="CU54" s="476"/>
      <c r="CV54" s="476"/>
    </row>
    <row r="55" spans="1:100" s="90" customFormat="1" ht="23.15" customHeight="1">
      <c r="A55" s="2">
        <v>49</v>
      </c>
      <c r="B55" s="14"/>
      <c r="C55" s="4"/>
      <c r="D55" s="5"/>
      <c r="E55" s="3"/>
      <c r="F55" s="6"/>
      <c r="G55" s="7"/>
      <c r="H55" s="8"/>
      <c r="I55" s="8"/>
      <c r="J55" s="8"/>
      <c r="K55" s="8"/>
      <c r="L55" s="8"/>
      <c r="M55" s="8"/>
      <c r="N55" s="8"/>
      <c r="O55" s="8"/>
      <c r="P55" s="8"/>
      <c r="Q55" s="9"/>
      <c r="R55" s="10"/>
      <c r="S55" s="11"/>
      <c r="T55" s="9"/>
      <c r="U55" s="16"/>
      <c r="V55" s="9"/>
      <c r="W55" s="12"/>
      <c r="X55" s="13"/>
      <c r="Y55" s="89" t="str">
        <f t="shared" si="18"/>
        <v/>
      </c>
      <c r="Z55" s="87">
        <f>IF(COUNTIF($E$7:E55,E55)=1,"",COUNTIF($E$7:E55,E55))</f>
        <v>0</v>
      </c>
      <c r="AA55" s="87" t="str">
        <f t="shared" si="52"/>
        <v/>
      </c>
      <c r="AC55" s="87" t="str">
        <f t="shared" si="69"/>
        <v/>
      </c>
      <c r="AD55" s="87" t="str">
        <f t="shared" si="69"/>
        <v/>
      </c>
      <c r="AE55" s="87" t="str">
        <f t="shared" si="69"/>
        <v/>
      </c>
      <c r="AF55" s="87" t="str">
        <f t="shared" si="69"/>
        <v/>
      </c>
      <c r="AG55" s="87" t="str">
        <f t="shared" si="69"/>
        <v/>
      </c>
      <c r="AH55" s="87" t="str">
        <f t="shared" si="69"/>
        <v/>
      </c>
      <c r="AI55" s="87" t="str">
        <f t="shared" si="69"/>
        <v/>
      </c>
      <c r="AJ55" s="87" t="str">
        <f t="shared" si="69"/>
        <v/>
      </c>
      <c r="AK55" s="87" t="str">
        <f t="shared" si="69"/>
        <v/>
      </c>
      <c r="AL55" s="87" t="str">
        <f t="shared" si="69"/>
        <v/>
      </c>
      <c r="AM55" s="87" t="str">
        <f t="shared" si="69"/>
        <v/>
      </c>
      <c r="AN55" s="87" t="str">
        <f t="shared" si="69"/>
        <v/>
      </c>
      <c r="AP55" s="87" t="str">
        <f t="shared" si="53"/>
        <v/>
      </c>
      <c r="AQ55" s="87" t="str">
        <f t="shared" si="54"/>
        <v/>
      </c>
      <c r="AR55" s="87" t="str">
        <f t="shared" si="55"/>
        <v/>
      </c>
      <c r="AS55" s="87" t="str">
        <f t="shared" si="56"/>
        <v/>
      </c>
      <c r="AT55" s="87" t="str">
        <f t="shared" si="57"/>
        <v/>
      </c>
      <c r="AU55" s="87" t="str">
        <f t="shared" si="58"/>
        <v/>
      </c>
      <c r="AV55" s="87" t="str">
        <f t="shared" si="59"/>
        <v/>
      </c>
      <c r="AW55" s="87" t="str">
        <f t="shared" si="60"/>
        <v/>
      </c>
      <c r="AX55" s="87" t="str">
        <f t="shared" si="61"/>
        <v/>
      </c>
      <c r="AY55" s="87" t="str">
        <f t="shared" si="62"/>
        <v/>
      </c>
      <c r="AZ55" s="87" t="str">
        <f t="shared" si="63"/>
        <v/>
      </c>
      <c r="BA55" s="87" t="str">
        <f t="shared" si="64"/>
        <v/>
      </c>
      <c r="BB55" s="90" t="str">
        <f t="shared" si="20"/>
        <v/>
      </c>
      <c r="BE55" s="87" t="str">
        <f t="shared" si="65"/>
        <v/>
      </c>
      <c r="BF55" s="87" t="str">
        <f t="shared" si="66"/>
        <v/>
      </c>
      <c r="BG55" s="87" t="str">
        <f t="shared" si="67"/>
        <v/>
      </c>
      <c r="BH55" s="87" t="str">
        <f t="shared" si="21"/>
        <v/>
      </c>
      <c r="BI55" s="87" t="str">
        <f t="shared" si="68"/>
        <v/>
      </c>
      <c r="BO55" s="87" t="str">
        <f t="shared" si="22"/>
        <v>〇</v>
      </c>
      <c r="BP55" s="87" t="str">
        <f t="shared" si="23"/>
        <v>〇</v>
      </c>
      <c r="BQ55" s="87" t="str">
        <f t="shared" si="24"/>
        <v>〇</v>
      </c>
      <c r="BR55" s="87" t="str">
        <f t="shared" si="25"/>
        <v>〇</v>
      </c>
      <c r="BS55" s="87" t="str">
        <f t="shared" si="26"/>
        <v>〇</v>
      </c>
      <c r="BT55" s="87" t="str">
        <f t="shared" si="27"/>
        <v>〇</v>
      </c>
      <c r="BU55" s="87" t="str">
        <f t="shared" si="28"/>
        <v>〇</v>
      </c>
      <c r="BV55" s="87" t="str">
        <f t="shared" si="29"/>
        <v>〇</v>
      </c>
      <c r="BW55" s="87" t="str">
        <f t="shared" si="30"/>
        <v>〇</v>
      </c>
      <c r="BX55" s="87" t="str">
        <f t="shared" si="31"/>
        <v>〇</v>
      </c>
      <c r="BY55" s="87" t="str">
        <f t="shared" si="32"/>
        <v>〇</v>
      </c>
      <c r="BZ55" s="87" t="str">
        <f t="shared" si="33"/>
        <v>〇</v>
      </c>
      <c r="CA55" s="87" t="str">
        <f t="shared" si="34"/>
        <v>〇</v>
      </c>
      <c r="CB55" s="87" t="str">
        <f t="shared" si="35"/>
        <v>〇</v>
      </c>
      <c r="CC55" s="87" t="str">
        <f t="shared" si="36"/>
        <v>〇</v>
      </c>
      <c r="CD55" s="87" t="str">
        <f t="shared" si="37"/>
        <v>〇</v>
      </c>
      <c r="CE55" s="87" t="str">
        <f t="shared" si="38"/>
        <v>〇</v>
      </c>
      <c r="CF55" s="87" t="str">
        <f t="shared" si="39"/>
        <v>〇</v>
      </c>
      <c r="CG55" s="87" t="str">
        <f t="shared" si="40"/>
        <v>〇</v>
      </c>
      <c r="CH55" s="87" t="str">
        <f t="shared" si="41"/>
        <v>〇</v>
      </c>
      <c r="CI55" s="87" t="str">
        <f t="shared" si="42"/>
        <v>〇</v>
      </c>
      <c r="CJ55" s="87" t="str">
        <f t="shared" si="43"/>
        <v>〇</v>
      </c>
      <c r="CK55" s="87" t="str">
        <f t="shared" si="44"/>
        <v>〇</v>
      </c>
      <c r="CL55" s="87" t="str">
        <f t="shared" si="45"/>
        <v>〇</v>
      </c>
      <c r="CM55" s="87" t="str">
        <f t="shared" si="46"/>
        <v>〇</v>
      </c>
      <c r="CN55" s="87" t="str">
        <f t="shared" si="47"/>
        <v>〇</v>
      </c>
      <c r="CO55" s="87" t="str">
        <f t="shared" si="48"/>
        <v>〇</v>
      </c>
      <c r="CP55" s="87" t="str">
        <f t="shared" si="49"/>
        <v>〇</v>
      </c>
      <c r="CQ55" s="87" t="str">
        <f t="shared" si="50"/>
        <v>〇</v>
      </c>
      <c r="CS55" s="476"/>
      <c r="CT55" s="476"/>
      <c r="CU55" s="476"/>
      <c r="CV55" s="476"/>
    </row>
    <row r="56" spans="1:100" s="90" customFormat="1" ht="23.15" customHeight="1">
      <c r="A56" s="2">
        <v>50</v>
      </c>
      <c r="B56" s="14"/>
      <c r="C56" s="4"/>
      <c r="D56" s="5"/>
      <c r="E56" s="3"/>
      <c r="F56" s="6"/>
      <c r="G56" s="7"/>
      <c r="H56" s="8"/>
      <c r="I56" s="8"/>
      <c r="J56" s="8"/>
      <c r="K56" s="8"/>
      <c r="L56" s="8"/>
      <c r="M56" s="8"/>
      <c r="N56" s="8"/>
      <c r="O56" s="8"/>
      <c r="P56" s="8"/>
      <c r="Q56" s="9"/>
      <c r="R56" s="10"/>
      <c r="S56" s="11"/>
      <c r="T56" s="9"/>
      <c r="U56" s="16"/>
      <c r="V56" s="9"/>
      <c r="W56" s="12"/>
      <c r="X56" s="13"/>
      <c r="Y56" s="89" t="str">
        <f t="shared" si="18"/>
        <v/>
      </c>
      <c r="Z56" s="87">
        <f>IF(COUNTIF($E$7:E56,E56)=1,"",COUNTIF($E$7:E56,E56))</f>
        <v>0</v>
      </c>
      <c r="AA56" s="87" t="str">
        <f t="shared" si="52"/>
        <v/>
      </c>
      <c r="AC56" s="87" t="str">
        <f t="shared" si="69"/>
        <v/>
      </c>
      <c r="AD56" s="87" t="str">
        <f t="shared" si="69"/>
        <v/>
      </c>
      <c r="AE56" s="87" t="str">
        <f t="shared" si="69"/>
        <v/>
      </c>
      <c r="AF56" s="87" t="str">
        <f t="shared" si="69"/>
        <v/>
      </c>
      <c r="AG56" s="87" t="str">
        <f t="shared" si="69"/>
        <v/>
      </c>
      <c r="AH56" s="87" t="str">
        <f t="shared" si="69"/>
        <v/>
      </c>
      <c r="AI56" s="87" t="str">
        <f t="shared" si="69"/>
        <v/>
      </c>
      <c r="AJ56" s="87" t="str">
        <f t="shared" si="69"/>
        <v/>
      </c>
      <c r="AK56" s="87" t="str">
        <f t="shared" si="69"/>
        <v/>
      </c>
      <c r="AL56" s="87" t="str">
        <f t="shared" si="69"/>
        <v/>
      </c>
      <c r="AM56" s="87" t="str">
        <f t="shared" si="69"/>
        <v/>
      </c>
      <c r="AN56" s="87" t="str">
        <f t="shared" si="69"/>
        <v/>
      </c>
      <c r="AP56" s="87" t="str">
        <f t="shared" si="53"/>
        <v/>
      </c>
      <c r="AQ56" s="87" t="str">
        <f t="shared" si="54"/>
        <v/>
      </c>
      <c r="AR56" s="87" t="str">
        <f t="shared" si="55"/>
        <v/>
      </c>
      <c r="AS56" s="87" t="str">
        <f t="shared" si="56"/>
        <v/>
      </c>
      <c r="AT56" s="87" t="str">
        <f t="shared" si="57"/>
        <v/>
      </c>
      <c r="AU56" s="87" t="str">
        <f t="shared" si="58"/>
        <v/>
      </c>
      <c r="AV56" s="87" t="str">
        <f t="shared" si="59"/>
        <v/>
      </c>
      <c r="AW56" s="87" t="str">
        <f t="shared" si="60"/>
        <v/>
      </c>
      <c r="AX56" s="87" t="str">
        <f t="shared" si="61"/>
        <v/>
      </c>
      <c r="AY56" s="87" t="str">
        <f t="shared" si="62"/>
        <v/>
      </c>
      <c r="AZ56" s="87" t="str">
        <f t="shared" si="63"/>
        <v/>
      </c>
      <c r="BA56" s="87" t="str">
        <f t="shared" si="64"/>
        <v/>
      </c>
      <c r="BB56" s="90" t="str">
        <f t="shared" si="20"/>
        <v/>
      </c>
      <c r="BE56" s="87" t="str">
        <f t="shared" si="65"/>
        <v/>
      </c>
      <c r="BF56" s="87" t="str">
        <f t="shared" si="66"/>
        <v/>
      </c>
      <c r="BG56" s="87" t="str">
        <f t="shared" si="67"/>
        <v/>
      </c>
      <c r="BH56" s="87" t="str">
        <f t="shared" si="21"/>
        <v/>
      </c>
      <c r="BI56" s="87" t="str">
        <f t="shared" si="68"/>
        <v/>
      </c>
      <c r="BO56" s="87" t="str">
        <f t="shared" si="22"/>
        <v>〇</v>
      </c>
      <c r="BP56" s="87" t="str">
        <f t="shared" si="23"/>
        <v>〇</v>
      </c>
      <c r="BQ56" s="87" t="str">
        <f t="shared" si="24"/>
        <v>〇</v>
      </c>
      <c r="BR56" s="87" t="str">
        <f t="shared" si="25"/>
        <v>〇</v>
      </c>
      <c r="BS56" s="87" t="str">
        <f t="shared" si="26"/>
        <v>〇</v>
      </c>
      <c r="BT56" s="87" t="str">
        <f t="shared" si="27"/>
        <v>〇</v>
      </c>
      <c r="BU56" s="87" t="str">
        <f t="shared" si="28"/>
        <v>〇</v>
      </c>
      <c r="BV56" s="87" t="str">
        <f t="shared" si="29"/>
        <v>〇</v>
      </c>
      <c r="BW56" s="87" t="str">
        <f t="shared" si="30"/>
        <v>〇</v>
      </c>
      <c r="BX56" s="87" t="str">
        <f t="shared" si="31"/>
        <v>〇</v>
      </c>
      <c r="BY56" s="87" t="str">
        <f t="shared" si="32"/>
        <v>〇</v>
      </c>
      <c r="BZ56" s="87" t="str">
        <f t="shared" si="33"/>
        <v>〇</v>
      </c>
      <c r="CA56" s="87" t="str">
        <f t="shared" si="34"/>
        <v>〇</v>
      </c>
      <c r="CB56" s="87" t="str">
        <f t="shared" si="35"/>
        <v>〇</v>
      </c>
      <c r="CC56" s="87" t="str">
        <f t="shared" si="36"/>
        <v>〇</v>
      </c>
      <c r="CD56" s="87" t="str">
        <f t="shared" si="37"/>
        <v>〇</v>
      </c>
      <c r="CE56" s="87" t="str">
        <f t="shared" si="38"/>
        <v>〇</v>
      </c>
      <c r="CF56" s="87" t="str">
        <f t="shared" si="39"/>
        <v>〇</v>
      </c>
      <c r="CG56" s="87" t="str">
        <f t="shared" si="40"/>
        <v>〇</v>
      </c>
      <c r="CH56" s="87" t="str">
        <f t="shared" si="41"/>
        <v>〇</v>
      </c>
      <c r="CI56" s="87" t="str">
        <f t="shared" si="42"/>
        <v>〇</v>
      </c>
      <c r="CJ56" s="87" t="str">
        <f t="shared" si="43"/>
        <v>〇</v>
      </c>
      <c r="CK56" s="87" t="str">
        <f t="shared" si="44"/>
        <v>〇</v>
      </c>
      <c r="CL56" s="87" t="str">
        <f t="shared" si="45"/>
        <v>〇</v>
      </c>
      <c r="CM56" s="87" t="str">
        <f t="shared" si="46"/>
        <v>〇</v>
      </c>
      <c r="CN56" s="87" t="str">
        <f t="shared" si="47"/>
        <v>〇</v>
      </c>
      <c r="CO56" s="87" t="str">
        <f t="shared" si="48"/>
        <v>〇</v>
      </c>
      <c r="CP56" s="87" t="str">
        <f t="shared" si="49"/>
        <v>〇</v>
      </c>
      <c r="CQ56" s="87" t="str">
        <f t="shared" si="50"/>
        <v>〇</v>
      </c>
      <c r="CS56" s="476"/>
      <c r="CT56" s="476"/>
      <c r="CU56" s="476"/>
      <c r="CV56" s="476"/>
    </row>
    <row r="57" spans="1:100" s="90" customFormat="1" ht="23.15" customHeight="1">
      <c r="A57" s="2">
        <v>51</v>
      </c>
      <c r="B57" s="14"/>
      <c r="C57" s="4"/>
      <c r="D57" s="5"/>
      <c r="E57" s="3"/>
      <c r="F57" s="6"/>
      <c r="G57" s="7"/>
      <c r="H57" s="8"/>
      <c r="I57" s="8"/>
      <c r="J57" s="8"/>
      <c r="K57" s="8"/>
      <c r="L57" s="8"/>
      <c r="M57" s="8"/>
      <c r="N57" s="8"/>
      <c r="O57" s="8"/>
      <c r="P57" s="8"/>
      <c r="Q57" s="9"/>
      <c r="R57" s="10"/>
      <c r="S57" s="11"/>
      <c r="T57" s="9"/>
      <c r="U57" s="16"/>
      <c r="V57" s="9"/>
      <c r="W57" s="12"/>
      <c r="X57" s="13"/>
      <c r="Y57" s="89" t="str">
        <f t="shared" si="18"/>
        <v/>
      </c>
      <c r="Z57" s="87">
        <f>IF(COUNTIF($E$7:E57,E57)=1,"",COUNTIF($E$7:E57,E57))</f>
        <v>0</v>
      </c>
      <c r="AA57" s="87" t="str">
        <f t="shared" si="52"/>
        <v/>
      </c>
      <c r="AC57" s="87" t="str">
        <f t="shared" si="69"/>
        <v/>
      </c>
      <c r="AD57" s="87" t="str">
        <f t="shared" si="69"/>
        <v/>
      </c>
      <c r="AE57" s="87" t="str">
        <f t="shared" si="69"/>
        <v/>
      </c>
      <c r="AF57" s="87" t="str">
        <f t="shared" si="69"/>
        <v/>
      </c>
      <c r="AG57" s="87" t="str">
        <f t="shared" si="69"/>
        <v/>
      </c>
      <c r="AH57" s="87" t="str">
        <f t="shared" si="69"/>
        <v/>
      </c>
      <c r="AI57" s="87" t="str">
        <f t="shared" si="69"/>
        <v/>
      </c>
      <c r="AJ57" s="87" t="str">
        <f t="shared" si="69"/>
        <v/>
      </c>
      <c r="AK57" s="87" t="str">
        <f t="shared" si="69"/>
        <v/>
      </c>
      <c r="AL57" s="87" t="str">
        <f t="shared" si="69"/>
        <v/>
      </c>
      <c r="AM57" s="87" t="str">
        <f t="shared" si="69"/>
        <v/>
      </c>
      <c r="AN57" s="87" t="str">
        <f t="shared" si="69"/>
        <v/>
      </c>
      <c r="AP57" s="87" t="str">
        <f t="shared" si="53"/>
        <v/>
      </c>
      <c r="AQ57" s="87" t="str">
        <f t="shared" si="54"/>
        <v/>
      </c>
      <c r="AR57" s="87" t="str">
        <f t="shared" si="55"/>
        <v/>
      </c>
      <c r="AS57" s="87" t="str">
        <f t="shared" si="56"/>
        <v/>
      </c>
      <c r="AT57" s="87" t="str">
        <f t="shared" si="57"/>
        <v/>
      </c>
      <c r="AU57" s="87" t="str">
        <f t="shared" si="58"/>
        <v/>
      </c>
      <c r="AV57" s="87" t="str">
        <f t="shared" si="59"/>
        <v/>
      </c>
      <c r="AW57" s="87" t="str">
        <f t="shared" si="60"/>
        <v/>
      </c>
      <c r="AX57" s="87" t="str">
        <f t="shared" si="61"/>
        <v/>
      </c>
      <c r="AY57" s="87" t="str">
        <f t="shared" si="62"/>
        <v/>
      </c>
      <c r="AZ57" s="87" t="str">
        <f t="shared" si="63"/>
        <v/>
      </c>
      <c r="BA57" s="87" t="str">
        <f t="shared" si="64"/>
        <v/>
      </c>
      <c r="BB57" s="90" t="str">
        <f t="shared" si="20"/>
        <v/>
      </c>
      <c r="BE57" s="87" t="str">
        <f t="shared" si="65"/>
        <v/>
      </c>
      <c r="BF57" s="87" t="str">
        <f t="shared" si="66"/>
        <v/>
      </c>
      <c r="BG57" s="87" t="str">
        <f t="shared" si="67"/>
        <v/>
      </c>
      <c r="BH57" s="87" t="str">
        <f t="shared" si="21"/>
        <v/>
      </c>
      <c r="BI57" s="87" t="str">
        <f t="shared" si="68"/>
        <v/>
      </c>
      <c r="BO57" s="87" t="str">
        <f t="shared" si="22"/>
        <v>〇</v>
      </c>
      <c r="BP57" s="87" t="str">
        <f t="shared" si="23"/>
        <v>〇</v>
      </c>
      <c r="BQ57" s="87" t="str">
        <f t="shared" si="24"/>
        <v>〇</v>
      </c>
      <c r="BR57" s="87" t="str">
        <f t="shared" si="25"/>
        <v>〇</v>
      </c>
      <c r="BS57" s="87" t="str">
        <f t="shared" si="26"/>
        <v>〇</v>
      </c>
      <c r="BT57" s="87" t="str">
        <f t="shared" si="27"/>
        <v>〇</v>
      </c>
      <c r="BU57" s="87" t="str">
        <f t="shared" si="28"/>
        <v>〇</v>
      </c>
      <c r="BV57" s="87" t="str">
        <f t="shared" si="29"/>
        <v>〇</v>
      </c>
      <c r="BW57" s="87" t="str">
        <f t="shared" si="30"/>
        <v>〇</v>
      </c>
      <c r="BX57" s="87" t="str">
        <f t="shared" si="31"/>
        <v>〇</v>
      </c>
      <c r="BY57" s="87" t="str">
        <f t="shared" si="32"/>
        <v>〇</v>
      </c>
      <c r="BZ57" s="87" t="str">
        <f t="shared" si="33"/>
        <v>〇</v>
      </c>
      <c r="CA57" s="87" t="str">
        <f t="shared" si="34"/>
        <v>〇</v>
      </c>
      <c r="CB57" s="87" t="str">
        <f t="shared" si="35"/>
        <v>〇</v>
      </c>
      <c r="CC57" s="87" t="str">
        <f t="shared" si="36"/>
        <v>〇</v>
      </c>
      <c r="CD57" s="87" t="str">
        <f t="shared" si="37"/>
        <v>〇</v>
      </c>
      <c r="CE57" s="87" t="str">
        <f t="shared" si="38"/>
        <v>〇</v>
      </c>
      <c r="CF57" s="87" t="str">
        <f t="shared" si="39"/>
        <v>〇</v>
      </c>
      <c r="CG57" s="87" t="str">
        <f t="shared" si="40"/>
        <v>〇</v>
      </c>
      <c r="CH57" s="87" t="str">
        <f t="shared" si="41"/>
        <v>〇</v>
      </c>
      <c r="CI57" s="87" t="str">
        <f t="shared" si="42"/>
        <v>〇</v>
      </c>
      <c r="CJ57" s="87" t="str">
        <f t="shared" si="43"/>
        <v>〇</v>
      </c>
      <c r="CK57" s="87" t="str">
        <f t="shared" si="44"/>
        <v>〇</v>
      </c>
      <c r="CL57" s="87" t="str">
        <f t="shared" si="45"/>
        <v>〇</v>
      </c>
      <c r="CM57" s="87" t="str">
        <f t="shared" si="46"/>
        <v>〇</v>
      </c>
      <c r="CN57" s="87" t="str">
        <f t="shared" si="47"/>
        <v>〇</v>
      </c>
      <c r="CO57" s="87" t="str">
        <f t="shared" si="48"/>
        <v>〇</v>
      </c>
      <c r="CP57" s="87" t="str">
        <f t="shared" si="49"/>
        <v>〇</v>
      </c>
      <c r="CQ57" s="87" t="str">
        <f t="shared" si="50"/>
        <v>〇</v>
      </c>
      <c r="CS57" s="476"/>
      <c r="CT57" s="476"/>
      <c r="CU57" s="476"/>
      <c r="CV57" s="476"/>
    </row>
    <row r="58" spans="1:100" s="90" customFormat="1" ht="23.15" customHeight="1">
      <c r="A58" s="2">
        <v>52</v>
      </c>
      <c r="B58" s="14"/>
      <c r="C58" s="4"/>
      <c r="D58" s="5"/>
      <c r="E58" s="3"/>
      <c r="F58" s="6"/>
      <c r="G58" s="7"/>
      <c r="H58" s="8"/>
      <c r="I58" s="8"/>
      <c r="J58" s="8"/>
      <c r="K58" s="8"/>
      <c r="L58" s="8"/>
      <c r="M58" s="8"/>
      <c r="N58" s="8"/>
      <c r="O58" s="8"/>
      <c r="P58" s="8"/>
      <c r="Q58" s="9"/>
      <c r="R58" s="10"/>
      <c r="S58" s="11"/>
      <c r="T58" s="9"/>
      <c r="U58" s="16"/>
      <c r="V58" s="9"/>
      <c r="W58" s="12"/>
      <c r="X58" s="13"/>
      <c r="Y58" s="89" t="str">
        <f t="shared" si="18"/>
        <v/>
      </c>
      <c r="Z58" s="87">
        <f>IF(COUNTIF($E$7:E58,E58)=1,"",COUNTIF($E$7:E58,E58))</f>
        <v>0</v>
      </c>
      <c r="AA58" s="87" t="str">
        <f t="shared" si="52"/>
        <v/>
      </c>
      <c r="AC58" s="87" t="str">
        <f t="shared" si="69"/>
        <v/>
      </c>
      <c r="AD58" s="87" t="str">
        <f t="shared" si="69"/>
        <v/>
      </c>
      <c r="AE58" s="87" t="str">
        <f t="shared" si="69"/>
        <v/>
      </c>
      <c r="AF58" s="87" t="str">
        <f t="shared" si="69"/>
        <v/>
      </c>
      <c r="AG58" s="87" t="str">
        <f t="shared" si="69"/>
        <v/>
      </c>
      <c r="AH58" s="87" t="str">
        <f t="shared" si="69"/>
        <v/>
      </c>
      <c r="AI58" s="87" t="str">
        <f t="shared" si="69"/>
        <v/>
      </c>
      <c r="AJ58" s="87" t="str">
        <f t="shared" si="69"/>
        <v/>
      </c>
      <c r="AK58" s="87" t="str">
        <f t="shared" si="69"/>
        <v/>
      </c>
      <c r="AL58" s="87" t="str">
        <f t="shared" si="69"/>
        <v/>
      </c>
      <c r="AM58" s="87" t="str">
        <f t="shared" si="69"/>
        <v/>
      </c>
      <c r="AN58" s="87" t="str">
        <f t="shared" si="69"/>
        <v/>
      </c>
      <c r="AP58" s="87" t="str">
        <f t="shared" si="53"/>
        <v/>
      </c>
      <c r="AQ58" s="87" t="str">
        <f t="shared" si="54"/>
        <v/>
      </c>
      <c r="AR58" s="87" t="str">
        <f t="shared" si="55"/>
        <v/>
      </c>
      <c r="AS58" s="87" t="str">
        <f t="shared" si="56"/>
        <v/>
      </c>
      <c r="AT58" s="87" t="str">
        <f t="shared" si="57"/>
        <v/>
      </c>
      <c r="AU58" s="87" t="str">
        <f t="shared" si="58"/>
        <v/>
      </c>
      <c r="AV58" s="87" t="str">
        <f t="shared" si="59"/>
        <v/>
      </c>
      <c r="AW58" s="87" t="str">
        <f t="shared" si="60"/>
        <v/>
      </c>
      <c r="AX58" s="87" t="str">
        <f t="shared" si="61"/>
        <v/>
      </c>
      <c r="AY58" s="87" t="str">
        <f t="shared" si="62"/>
        <v/>
      </c>
      <c r="AZ58" s="87" t="str">
        <f t="shared" si="63"/>
        <v/>
      </c>
      <c r="BA58" s="87" t="str">
        <f t="shared" si="64"/>
        <v/>
      </c>
      <c r="BB58" s="90" t="str">
        <f t="shared" si="20"/>
        <v/>
      </c>
      <c r="BE58" s="87" t="str">
        <f t="shared" si="65"/>
        <v/>
      </c>
      <c r="BF58" s="87" t="str">
        <f t="shared" si="66"/>
        <v/>
      </c>
      <c r="BG58" s="87" t="str">
        <f t="shared" si="67"/>
        <v/>
      </c>
      <c r="BH58" s="87" t="str">
        <f t="shared" si="21"/>
        <v/>
      </c>
      <c r="BI58" s="87" t="str">
        <f t="shared" si="68"/>
        <v/>
      </c>
      <c r="BO58" s="87" t="str">
        <f t="shared" si="22"/>
        <v>〇</v>
      </c>
      <c r="BP58" s="87" t="str">
        <f t="shared" si="23"/>
        <v>〇</v>
      </c>
      <c r="BQ58" s="87" t="str">
        <f t="shared" si="24"/>
        <v>〇</v>
      </c>
      <c r="BR58" s="87" t="str">
        <f t="shared" si="25"/>
        <v>〇</v>
      </c>
      <c r="BS58" s="87" t="str">
        <f t="shared" si="26"/>
        <v>〇</v>
      </c>
      <c r="BT58" s="87" t="str">
        <f t="shared" si="27"/>
        <v>〇</v>
      </c>
      <c r="BU58" s="87" t="str">
        <f t="shared" si="28"/>
        <v>〇</v>
      </c>
      <c r="BV58" s="87" t="str">
        <f t="shared" si="29"/>
        <v>〇</v>
      </c>
      <c r="BW58" s="87" t="str">
        <f t="shared" si="30"/>
        <v>〇</v>
      </c>
      <c r="BX58" s="87" t="str">
        <f t="shared" si="31"/>
        <v>〇</v>
      </c>
      <c r="BY58" s="87" t="str">
        <f t="shared" si="32"/>
        <v>〇</v>
      </c>
      <c r="BZ58" s="87" t="str">
        <f t="shared" si="33"/>
        <v>〇</v>
      </c>
      <c r="CA58" s="87" t="str">
        <f t="shared" si="34"/>
        <v>〇</v>
      </c>
      <c r="CB58" s="87" t="str">
        <f t="shared" si="35"/>
        <v>〇</v>
      </c>
      <c r="CC58" s="87" t="str">
        <f t="shared" si="36"/>
        <v>〇</v>
      </c>
      <c r="CD58" s="87" t="str">
        <f t="shared" si="37"/>
        <v>〇</v>
      </c>
      <c r="CE58" s="87" t="str">
        <f t="shared" si="38"/>
        <v>〇</v>
      </c>
      <c r="CF58" s="87" t="str">
        <f t="shared" si="39"/>
        <v>〇</v>
      </c>
      <c r="CG58" s="87" t="str">
        <f t="shared" si="40"/>
        <v>〇</v>
      </c>
      <c r="CH58" s="87" t="str">
        <f t="shared" si="41"/>
        <v>〇</v>
      </c>
      <c r="CI58" s="87" t="str">
        <f t="shared" si="42"/>
        <v>〇</v>
      </c>
      <c r="CJ58" s="87" t="str">
        <f t="shared" si="43"/>
        <v>〇</v>
      </c>
      <c r="CK58" s="87" t="str">
        <f t="shared" si="44"/>
        <v>〇</v>
      </c>
      <c r="CL58" s="87" t="str">
        <f t="shared" si="45"/>
        <v>〇</v>
      </c>
      <c r="CM58" s="87" t="str">
        <f t="shared" si="46"/>
        <v>〇</v>
      </c>
      <c r="CN58" s="87" t="str">
        <f t="shared" si="47"/>
        <v>〇</v>
      </c>
      <c r="CO58" s="87" t="str">
        <f t="shared" si="48"/>
        <v>〇</v>
      </c>
      <c r="CP58" s="87" t="str">
        <f t="shared" si="49"/>
        <v>〇</v>
      </c>
      <c r="CQ58" s="87" t="str">
        <f t="shared" si="50"/>
        <v>〇</v>
      </c>
      <c r="CS58" s="476"/>
      <c r="CT58" s="476"/>
      <c r="CU58" s="476"/>
      <c r="CV58" s="476"/>
    </row>
    <row r="59" spans="1:100" s="90" customFormat="1" ht="23.15" customHeight="1">
      <c r="A59" s="2">
        <v>53</v>
      </c>
      <c r="B59" s="14"/>
      <c r="C59" s="4"/>
      <c r="D59" s="5"/>
      <c r="E59" s="3"/>
      <c r="F59" s="6"/>
      <c r="G59" s="7"/>
      <c r="H59" s="8"/>
      <c r="I59" s="8"/>
      <c r="J59" s="8"/>
      <c r="K59" s="8"/>
      <c r="L59" s="8"/>
      <c r="M59" s="8"/>
      <c r="N59" s="8"/>
      <c r="O59" s="8"/>
      <c r="P59" s="8"/>
      <c r="Q59" s="9"/>
      <c r="R59" s="10"/>
      <c r="S59" s="11"/>
      <c r="T59" s="9"/>
      <c r="U59" s="16"/>
      <c r="V59" s="9"/>
      <c r="W59" s="12"/>
      <c r="X59" s="13"/>
      <c r="Y59" s="89" t="str">
        <f t="shared" si="18"/>
        <v/>
      </c>
      <c r="Z59" s="87">
        <f>IF(COUNTIF($E$7:E59,E59)=1,"",COUNTIF($E$7:E59,E59))</f>
        <v>0</v>
      </c>
      <c r="AA59" s="87" t="str">
        <f t="shared" si="52"/>
        <v/>
      </c>
      <c r="AC59" s="87" t="str">
        <f t="shared" si="69"/>
        <v/>
      </c>
      <c r="AD59" s="87" t="str">
        <f t="shared" si="69"/>
        <v/>
      </c>
      <c r="AE59" s="87" t="str">
        <f t="shared" si="69"/>
        <v/>
      </c>
      <c r="AF59" s="87" t="str">
        <f t="shared" si="69"/>
        <v/>
      </c>
      <c r="AG59" s="87" t="str">
        <f t="shared" si="69"/>
        <v/>
      </c>
      <c r="AH59" s="87" t="str">
        <f t="shared" si="69"/>
        <v/>
      </c>
      <c r="AI59" s="87" t="str">
        <f t="shared" si="69"/>
        <v/>
      </c>
      <c r="AJ59" s="87" t="str">
        <f t="shared" si="69"/>
        <v/>
      </c>
      <c r="AK59" s="87" t="str">
        <f t="shared" si="69"/>
        <v/>
      </c>
      <c r="AL59" s="87" t="str">
        <f t="shared" si="69"/>
        <v/>
      </c>
      <c r="AM59" s="87" t="str">
        <f t="shared" si="69"/>
        <v/>
      </c>
      <c r="AN59" s="87" t="str">
        <f t="shared" si="69"/>
        <v/>
      </c>
      <c r="AP59" s="87" t="str">
        <f t="shared" si="53"/>
        <v/>
      </c>
      <c r="AQ59" s="87" t="str">
        <f t="shared" si="54"/>
        <v/>
      </c>
      <c r="AR59" s="87" t="str">
        <f t="shared" si="55"/>
        <v/>
      </c>
      <c r="AS59" s="87" t="str">
        <f t="shared" si="56"/>
        <v/>
      </c>
      <c r="AT59" s="87" t="str">
        <f t="shared" si="57"/>
        <v/>
      </c>
      <c r="AU59" s="87" t="str">
        <f t="shared" si="58"/>
        <v/>
      </c>
      <c r="AV59" s="87" t="str">
        <f t="shared" si="59"/>
        <v/>
      </c>
      <c r="AW59" s="87" t="str">
        <f t="shared" si="60"/>
        <v/>
      </c>
      <c r="AX59" s="87" t="str">
        <f t="shared" si="61"/>
        <v/>
      </c>
      <c r="AY59" s="87" t="str">
        <f t="shared" si="62"/>
        <v/>
      </c>
      <c r="AZ59" s="87" t="str">
        <f t="shared" si="63"/>
        <v/>
      </c>
      <c r="BA59" s="87" t="str">
        <f t="shared" si="64"/>
        <v/>
      </c>
      <c r="BB59" s="90" t="str">
        <f t="shared" si="20"/>
        <v/>
      </c>
      <c r="BE59" s="87" t="str">
        <f t="shared" si="65"/>
        <v/>
      </c>
      <c r="BF59" s="87" t="str">
        <f t="shared" si="66"/>
        <v/>
      </c>
      <c r="BG59" s="87" t="str">
        <f t="shared" si="67"/>
        <v/>
      </c>
      <c r="BH59" s="87" t="str">
        <f t="shared" si="21"/>
        <v/>
      </c>
      <c r="BI59" s="87" t="str">
        <f t="shared" si="68"/>
        <v/>
      </c>
      <c r="BO59" s="87" t="str">
        <f t="shared" si="22"/>
        <v>〇</v>
      </c>
      <c r="BP59" s="87" t="str">
        <f t="shared" si="23"/>
        <v>〇</v>
      </c>
      <c r="BQ59" s="87" t="str">
        <f t="shared" si="24"/>
        <v>〇</v>
      </c>
      <c r="BR59" s="87" t="str">
        <f t="shared" si="25"/>
        <v>〇</v>
      </c>
      <c r="BS59" s="87" t="str">
        <f t="shared" si="26"/>
        <v>〇</v>
      </c>
      <c r="BT59" s="87" t="str">
        <f t="shared" si="27"/>
        <v>〇</v>
      </c>
      <c r="BU59" s="87" t="str">
        <f t="shared" si="28"/>
        <v>〇</v>
      </c>
      <c r="BV59" s="87" t="str">
        <f t="shared" si="29"/>
        <v>〇</v>
      </c>
      <c r="BW59" s="87" t="str">
        <f t="shared" si="30"/>
        <v>〇</v>
      </c>
      <c r="BX59" s="87" t="str">
        <f t="shared" si="31"/>
        <v>〇</v>
      </c>
      <c r="BY59" s="87" t="str">
        <f t="shared" si="32"/>
        <v>〇</v>
      </c>
      <c r="BZ59" s="87" t="str">
        <f t="shared" si="33"/>
        <v>〇</v>
      </c>
      <c r="CA59" s="87" t="str">
        <f t="shared" si="34"/>
        <v>〇</v>
      </c>
      <c r="CB59" s="87" t="str">
        <f t="shared" si="35"/>
        <v>〇</v>
      </c>
      <c r="CC59" s="87" t="str">
        <f t="shared" si="36"/>
        <v>〇</v>
      </c>
      <c r="CD59" s="87" t="str">
        <f t="shared" si="37"/>
        <v>〇</v>
      </c>
      <c r="CE59" s="87" t="str">
        <f t="shared" si="38"/>
        <v>〇</v>
      </c>
      <c r="CF59" s="87" t="str">
        <f t="shared" si="39"/>
        <v>〇</v>
      </c>
      <c r="CG59" s="87" t="str">
        <f t="shared" si="40"/>
        <v>〇</v>
      </c>
      <c r="CH59" s="87" t="str">
        <f t="shared" si="41"/>
        <v>〇</v>
      </c>
      <c r="CI59" s="87" t="str">
        <f t="shared" si="42"/>
        <v>〇</v>
      </c>
      <c r="CJ59" s="87" t="str">
        <f t="shared" si="43"/>
        <v>〇</v>
      </c>
      <c r="CK59" s="87" t="str">
        <f t="shared" si="44"/>
        <v>〇</v>
      </c>
      <c r="CL59" s="87" t="str">
        <f t="shared" si="45"/>
        <v>〇</v>
      </c>
      <c r="CM59" s="87" t="str">
        <f t="shared" si="46"/>
        <v>〇</v>
      </c>
      <c r="CN59" s="87" t="str">
        <f t="shared" si="47"/>
        <v>〇</v>
      </c>
      <c r="CO59" s="87" t="str">
        <f t="shared" si="48"/>
        <v>〇</v>
      </c>
      <c r="CP59" s="87" t="str">
        <f t="shared" si="49"/>
        <v>〇</v>
      </c>
      <c r="CQ59" s="87" t="str">
        <f t="shared" si="50"/>
        <v>〇</v>
      </c>
      <c r="CS59" s="476"/>
      <c r="CT59" s="476"/>
      <c r="CU59" s="476"/>
      <c r="CV59" s="476"/>
    </row>
    <row r="60" spans="1:100" s="90" customFormat="1" ht="23.15" customHeight="1">
      <c r="A60" s="2">
        <v>54</v>
      </c>
      <c r="B60" s="14"/>
      <c r="C60" s="4"/>
      <c r="D60" s="5"/>
      <c r="E60" s="3"/>
      <c r="F60" s="6"/>
      <c r="G60" s="7"/>
      <c r="H60" s="8"/>
      <c r="I60" s="8"/>
      <c r="J60" s="8"/>
      <c r="K60" s="8"/>
      <c r="L60" s="8"/>
      <c r="M60" s="8"/>
      <c r="N60" s="8"/>
      <c r="O60" s="8"/>
      <c r="P60" s="8"/>
      <c r="Q60" s="9"/>
      <c r="R60" s="10"/>
      <c r="S60" s="11"/>
      <c r="T60" s="9"/>
      <c r="U60" s="16"/>
      <c r="V60" s="9"/>
      <c r="W60" s="12"/>
      <c r="X60" s="13"/>
      <c r="Y60" s="89" t="str">
        <f t="shared" si="18"/>
        <v/>
      </c>
      <c r="Z60" s="87">
        <f>IF(COUNTIF($E$7:E60,E60)=1,"",COUNTIF($E$7:E60,E60))</f>
        <v>0</v>
      </c>
      <c r="AA60" s="87" t="str">
        <f t="shared" si="52"/>
        <v/>
      </c>
      <c r="AC60" s="87" t="str">
        <f t="shared" si="69"/>
        <v/>
      </c>
      <c r="AD60" s="87" t="str">
        <f t="shared" si="69"/>
        <v/>
      </c>
      <c r="AE60" s="87" t="str">
        <f t="shared" si="69"/>
        <v/>
      </c>
      <c r="AF60" s="87" t="str">
        <f t="shared" si="69"/>
        <v/>
      </c>
      <c r="AG60" s="87" t="str">
        <f t="shared" si="69"/>
        <v/>
      </c>
      <c r="AH60" s="87" t="str">
        <f t="shared" si="69"/>
        <v/>
      </c>
      <c r="AI60" s="87" t="str">
        <f t="shared" si="69"/>
        <v/>
      </c>
      <c r="AJ60" s="87" t="str">
        <f t="shared" si="69"/>
        <v/>
      </c>
      <c r="AK60" s="87" t="str">
        <f t="shared" si="69"/>
        <v/>
      </c>
      <c r="AL60" s="87" t="str">
        <f t="shared" si="69"/>
        <v/>
      </c>
      <c r="AM60" s="87" t="str">
        <f t="shared" si="69"/>
        <v/>
      </c>
      <c r="AN60" s="87" t="str">
        <f t="shared" si="69"/>
        <v/>
      </c>
      <c r="AP60" s="87" t="str">
        <f t="shared" si="53"/>
        <v/>
      </c>
      <c r="AQ60" s="87" t="str">
        <f t="shared" si="54"/>
        <v/>
      </c>
      <c r="AR60" s="87" t="str">
        <f t="shared" si="55"/>
        <v/>
      </c>
      <c r="AS60" s="87" t="str">
        <f t="shared" si="56"/>
        <v/>
      </c>
      <c r="AT60" s="87" t="str">
        <f t="shared" si="57"/>
        <v/>
      </c>
      <c r="AU60" s="87" t="str">
        <f t="shared" si="58"/>
        <v/>
      </c>
      <c r="AV60" s="87" t="str">
        <f t="shared" si="59"/>
        <v/>
      </c>
      <c r="AW60" s="87" t="str">
        <f t="shared" si="60"/>
        <v/>
      </c>
      <c r="AX60" s="87" t="str">
        <f t="shared" si="61"/>
        <v/>
      </c>
      <c r="AY60" s="87" t="str">
        <f t="shared" si="62"/>
        <v/>
      </c>
      <c r="AZ60" s="87" t="str">
        <f t="shared" si="63"/>
        <v/>
      </c>
      <c r="BA60" s="87" t="str">
        <f t="shared" si="64"/>
        <v/>
      </c>
      <c r="BB60" s="90" t="str">
        <f t="shared" si="20"/>
        <v/>
      </c>
      <c r="BE60" s="87" t="str">
        <f t="shared" si="65"/>
        <v/>
      </c>
      <c r="BF60" s="87" t="str">
        <f t="shared" si="66"/>
        <v/>
      </c>
      <c r="BG60" s="87" t="str">
        <f t="shared" si="67"/>
        <v/>
      </c>
      <c r="BH60" s="87" t="str">
        <f t="shared" si="21"/>
        <v/>
      </c>
      <c r="BI60" s="87" t="str">
        <f t="shared" si="68"/>
        <v/>
      </c>
      <c r="BO60" s="87" t="str">
        <f t="shared" si="22"/>
        <v>〇</v>
      </c>
      <c r="BP60" s="87" t="str">
        <f t="shared" si="23"/>
        <v>〇</v>
      </c>
      <c r="BQ60" s="87" t="str">
        <f t="shared" si="24"/>
        <v>〇</v>
      </c>
      <c r="BR60" s="87" t="str">
        <f t="shared" si="25"/>
        <v>〇</v>
      </c>
      <c r="BS60" s="87" t="str">
        <f t="shared" si="26"/>
        <v>〇</v>
      </c>
      <c r="BT60" s="87" t="str">
        <f t="shared" si="27"/>
        <v>〇</v>
      </c>
      <c r="BU60" s="87" t="str">
        <f t="shared" si="28"/>
        <v>〇</v>
      </c>
      <c r="BV60" s="87" t="str">
        <f t="shared" si="29"/>
        <v>〇</v>
      </c>
      <c r="BW60" s="87" t="str">
        <f t="shared" si="30"/>
        <v>〇</v>
      </c>
      <c r="BX60" s="87" t="str">
        <f t="shared" si="31"/>
        <v>〇</v>
      </c>
      <c r="BY60" s="87" t="str">
        <f t="shared" si="32"/>
        <v>〇</v>
      </c>
      <c r="BZ60" s="87" t="str">
        <f t="shared" si="33"/>
        <v>〇</v>
      </c>
      <c r="CA60" s="87" t="str">
        <f t="shared" si="34"/>
        <v>〇</v>
      </c>
      <c r="CB60" s="87" t="str">
        <f t="shared" si="35"/>
        <v>〇</v>
      </c>
      <c r="CC60" s="87" t="str">
        <f t="shared" si="36"/>
        <v>〇</v>
      </c>
      <c r="CD60" s="87" t="str">
        <f t="shared" si="37"/>
        <v>〇</v>
      </c>
      <c r="CE60" s="87" t="str">
        <f t="shared" si="38"/>
        <v>〇</v>
      </c>
      <c r="CF60" s="87" t="str">
        <f t="shared" si="39"/>
        <v>〇</v>
      </c>
      <c r="CG60" s="87" t="str">
        <f t="shared" si="40"/>
        <v>〇</v>
      </c>
      <c r="CH60" s="87" t="str">
        <f t="shared" si="41"/>
        <v>〇</v>
      </c>
      <c r="CI60" s="87" t="str">
        <f t="shared" si="42"/>
        <v>〇</v>
      </c>
      <c r="CJ60" s="87" t="str">
        <f t="shared" si="43"/>
        <v>〇</v>
      </c>
      <c r="CK60" s="87" t="str">
        <f t="shared" si="44"/>
        <v>〇</v>
      </c>
      <c r="CL60" s="87" t="str">
        <f t="shared" si="45"/>
        <v>〇</v>
      </c>
      <c r="CM60" s="87" t="str">
        <f t="shared" si="46"/>
        <v>〇</v>
      </c>
      <c r="CN60" s="87" t="str">
        <f t="shared" si="47"/>
        <v>〇</v>
      </c>
      <c r="CO60" s="87" t="str">
        <f t="shared" si="48"/>
        <v>〇</v>
      </c>
      <c r="CP60" s="87" t="str">
        <f t="shared" si="49"/>
        <v>〇</v>
      </c>
      <c r="CQ60" s="87" t="str">
        <f t="shared" si="50"/>
        <v>〇</v>
      </c>
      <c r="CS60" s="476"/>
      <c r="CT60" s="476"/>
      <c r="CU60" s="476"/>
      <c r="CV60" s="476"/>
    </row>
    <row r="61" spans="1:100" s="90" customFormat="1" ht="23.15" customHeight="1">
      <c r="A61" s="2">
        <v>55</v>
      </c>
      <c r="B61" s="14"/>
      <c r="C61" s="4"/>
      <c r="D61" s="5"/>
      <c r="E61" s="3"/>
      <c r="F61" s="6"/>
      <c r="G61" s="7"/>
      <c r="H61" s="8"/>
      <c r="I61" s="8"/>
      <c r="J61" s="8"/>
      <c r="K61" s="8"/>
      <c r="L61" s="8"/>
      <c r="M61" s="8"/>
      <c r="N61" s="8"/>
      <c r="O61" s="8"/>
      <c r="P61" s="8"/>
      <c r="Q61" s="9"/>
      <c r="R61" s="10"/>
      <c r="S61" s="11"/>
      <c r="T61" s="9"/>
      <c r="U61" s="16"/>
      <c r="V61" s="9"/>
      <c r="W61" s="12"/>
      <c r="X61" s="13"/>
      <c r="Y61" s="89" t="str">
        <f t="shared" si="18"/>
        <v/>
      </c>
      <c r="Z61" s="87">
        <f>IF(COUNTIF($E$7:E61,E61)=1,"",COUNTIF($E$7:E61,E61))</f>
        <v>0</v>
      </c>
      <c r="AA61" s="87" t="str">
        <f t="shared" si="52"/>
        <v/>
      </c>
      <c r="AC61" s="87" t="str">
        <f t="shared" si="69"/>
        <v/>
      </c>
      <c r="AD61" s="87" t="str">
        <f t="shared" si="69"/>
        <v/>
      </c>
      <c r="AE61" s="87" t="str">
        <f t="shared" si="69"/>
        <v/>
      </c>
      <c r="AF61" s="87" t="str">
        <f t="shared" ref="AD61:AN84" si="70">IF(OR($W61=$S$137,$W61=$S$130,$W61=$S$134,$W61=$S$135,$W61=$S$136,$W61=$S$138),"",IF($S61="","",IF($U61="",IF($R61="",IF($S61&lt;=AF$6,"○",""),IF(AND($R61&lt;=AF$6,$S61&lt;=AF$6),"●",IF($S61&lt;=AF$6,"○",""))),IF($U61&gt;=AF$6,IF($R61="",IF($S61&lt;=AF$6,"○",""),IF(AND($R61&lt;=AF$6,$S61&lt;=AF$6),"●",IF($S61&lt;=AF$6,"○",""))),""))))</f>
        <v/>
      </c>
      <c r="AG61" s="87" t="str">
        <f t="shared" si="70"/>
        <v/>
      </c>
      <c r="AH61" s="87" t="str">
        <f t="shared" si="70"/>
        <v/>
      </c>
      <c r="AI61" s="87" t="str">
        <f t="shared" si="70"/>
        <v/>
      </c>
      <c r="AJ61" s="87" t="str">
        <f t="shared" si="70"/>
        <v/>
      </c>
      <c r="AK61" s="87" t="str">
        <f t="shared" si="70"/>
        <v/>
      </c>
      <c r="AL61" s="87" t="str">
        <f t="shared" si="70"/>
        <v/>
      </c>
      <c r="AM61" s="87" t="str">
        <f t="shared" si="70"/>
        <v/>
      </c>
      <c r="AN61" s="87" t="str">
        <f t="shared" si="70"/>
        <v/>
      </c>
      <c r="AP61" s="87" t="str">
        <f t="shared" si="53"/>
        <v/>
      </c>
      <c r="AQ61" s="87" t="str">
        <f t="shared" si="54"/>
        <v/>
      </c>
      <c r="AR61" s="87" t="str">
        <f t="shared" si="55"/>
        <v/>
      </c>
      <c r="AS61" s="87" t="str">
        <f t="shared" si="56"/>
        <v/>
      </c>
      <c r="AT61" s="87" t="str">
        <f t="shared" si="57"/>
        <v/>
      </c>
      <c r="AU61" s="87" t="str">
        <f t="shared" si="58"/>
        <v/>
      </c>
      <c r="AV61" s="87" t="str">
        <f t="shared" si="59"/>
        <v/>
      </c>
      <c r="AW61" s="87" t="str">
        <f t="shared" si="60"/>
        <v/>
      </c>
      <c r="AX61" s="87" t="str">
        <f t="shared" si="61"/>
        <v/>
      </c>
      <c r="AY61" s="87" t="str">
        <f t="shared" si="62"/>
        <v/>
      </c>
      <c r="AZ61" s="87" t="str">
        <f t="shared" si="63"/>
        <v/>
      </c>
      <c r="BA61" s="87" t="str">
        <f t="shared" si="64"/>
        <v/>
      </c>
      <c r="BB61" s="90" t="str">
        <f t="shared" si="20"/>
        <v/>
      </c>
      <c r="BE61" s="87" t="str">
        <f t="shared" si="65"/>
        <v/>
      </c>
      <c r="BF61" s="87" t="str">
        <f t="shared" si="66"/>
        <v/>
      </c>
      <c r="BG61" s="87" t="str">
        <f t="shared" si="67"/>
        <v/>
      </c>
      <c r="BH61" s="87" t="str">
        <f t="shared" si="21"/>
        <v/>
      </c>
      <c r="BI61" s="87" t="str">
        <f t="shared" si="68"/>
        <v/>
      </c>
      <c r="BO61" s="87" t="str">
        <f t="shared" si="22"/>
        <v>〇</v>
      </c>
      <c r="BP61" s="87" t="str">
        <f t="shared" si="23"/>
        <v>〇</v>
      </c>
      <c r="BQ61" s="87" t="str">
        <f t="shared" si="24"/>
        <v>〇</v>
      </c>
      <c r="BR61" s="87" t="str">
        <f t="shared" si="25"/>
        <v>〇</v>
      </c>
      <c r="BS61" s="87" t="str">
        <f t="shared" si="26"/>
        <v>〇</v>
      </c>
      <c r="BT61" s="87" t="str">
        <f t="shared" si="27"/>
        <v>〇</v>
      </c>
      <c r="BU61" s="87" t="str">
        <f t="shared" si="28"/>
        <v>〇</v>
      </c>
      <c r="BV61" s="87" t="str">
        <f t="shared" si="29"/>
        <v>〇</v>
      </c>
      <c r="BW61" s="87" t="str">
        <f t="shared" si="30"/>
        <v>〇</v>
      </c>
      <c r="BX61" s="87" t="str">
        <f t="shared" si="31"/>
        <v>〇</v>
      </c>
      <c r="BY61" s="87" t="str">
        <f t="shared" si="32"/>
        <v>〇</v>
      </c>
      <c r="BZ61" s="87" t="str">
        <f t="shared" si="33"/>
        <v>〇</v>
      </c>
      <c r="CA61" s="87" t="str">
        <f t="shared" si="34"/>
        <v>〇</v>
      </c>
      <c r="CB61" s="87" t="str">
        <f t="shared" si="35"/>
        <v>〇</v>
      </c>
      <c r="CC61" s="87" t="str">
        <f t="shared" si="36"/>
        <v>〇</v>
      </c>
      <c r="CD61" s="87" t="str">
        <f t="shared" si="37"/>
        <v>〇</v>
      </c>
      <c r="CE61" s="87" t="str">
        <f t="shared" si="38"/>
        <v>〇</v>
      </c>
      <c r="CF61" s="87" t="str">
        <f t="shared" si="39"/>
        <v>〇</v>
      </c>
      <c r="CG61" s="87" t="str">
        <f t="shared" si="40"/>
        <v>〇</v>
      </c>
      <c r="CH61" s="87" t="str">
        <f t="shared" si="41"/>
        <v>〇</v>
      </c>
      <c r="CI61" s="87" t="str">
        <f t="shared" si="42"/>
        <v>〇</v>
      </c>
      <c r="CJ61" s="87" t="str">
        <f t="shared" si="43"/>
        <v>〇</v>
      </c>
      <c r="CK61" s="87" t="str">
        <f t="shared" si="44"/>
        <v>〇</v>
      </c>
      <c r="CL61" s="87" t="str">
        <f t="shared" si="45"/>
        <v>〇</v>
      </c>
      <c r="CM61" s="87" t="str">
        <f t="shared" si="46"/>
        <v>〇</v>
      </c>
      <c r="CN61" s="87" t="str">
        <f t="shared" si="47"/>
        <v>〇</v>
      </c>
      <c r="CO61" s="87" t="str">
        <f t="shared" si="48"/>
        <v>〇</v>
      </c>
      <c r="CP61" s="87" t="str">
        <f t="shared" si="49"/>
        <v>〇</v>
      </c>
      <c r="CQ61" s="87" t="str">
        <f t="shared" si="50"/>
        <v>〇</v>
      </c>
      <c r="CS61" s="476"/>
      <c r="CT61" s="476"/>
      <c r="CU61" s="476"/>
      <c r="CV61" s="476"/>
    </row>
    <row r="62" spans="1:100" s="90" customFormat="1" ht="23.15" customHeight="1">
      <c r="A62" s="2">
        <v>56</v>
      </c>
      <c r="B62" s="14"/>
      <c r="C62" s="4"/>
      <c r="D62" s="5"/>
      <c r="E62" s="3"/>
      <c r="F62" s="6"/>
      <c r="G62" s="7"/>
      <c r="H62" s="8"/>
      <c r="I62" s="8"/>
      <c r="J62" s="8"/>
      <c r="K62" s="8"/>
      <c r="L62" s="8"/>
      <c r="M62" s="8"/>
      <c r="N62" s="8"/>
      <c r="O62" s="8"/>
      <c r="P62" s="8"/>
      <c r="Q62" s="9"/>
      <c r="R62" s="10"/>
      <c r="S62" s="11"/>
      <c r="T62" s="9"/>
      <c r="U62" s="16"/>
      <c r="V62" s="9"/>
      <c r="W62" s="12"/>
      <c r="X62" s="13"/>
      <c r="Y62" s="89" t="str">
        <f t="shared" si="18"/>
        <v/>
      </c>
      <c r="Z62" s="87">
        <f>IF(COUNTIF($E$7:E62,E62)=1,"",COUNTIF($E$7:E62,E62))</f>
        <v>0</v>
      </c>
      <c r="AA62" s="87" t="str">
        <f t="shared" si="52"/>
        <v/>
      </c>
      <c r="AC62" s="87" t="str">
        <f t="shared" ref="AC62:AC106" si="71">IF(OR($W62=$S$137,$W62=$S$130,$W62=$S$134,$W62=$S$135,$W62=$S$136,$W62=$S$138),"",IF($S62="","",IF($U62="",IF($R62="",IF($S62&lt;=AC$6,"○",""),IF(AND($R62&lt;=AC$6,$S62&lt;=AC$6),"●",IF($S62&lt;=AC$6,"○",""))),IF($U62&gt;=AC$6,IF($R62="",IF($S62&lt;=AC$6,"○",""),IF(AND($R62&lt;=AC$6,$S62&lt;=AC$6),"●",IF($S62&lt;=AC$6,"○",""))),""))))</f>
        <v/>
      </c>
      <c r="AD62" s="87" t="str">
        <f t="shared" si="70"/>
        <v/>
      </c>
      <c r="AE62" s="87" t="str">
        <f t="shared" si="70"/>
        <v/>
      </c>
      <c r="AF62" s="87" t="str">
        <f t="shared" si="70"/>
        <v/>
      </c>
      <c r="AG62" s="87" t="str">
        <f t="shared" si="70"/>
        <v/>
      </c>
      <c r="AH62" s="87" t="str">
        <f t="shared" si="70"/>
        <v/>
      </c>
      <c r="AI62" s="87" t="str">
        <f t="shared" si="70"/>
        <v/>
      </c>
      <c r="AJ62" s="87" t="str">
        <f t="shared" si="70"/>
        <v/>
      </c>
      <c r="AK62" s="87" t="str">
        <f t="shared" si="70"/>
        <v/>
      </c>
      <c r="AL62" s="87" t="str">
        <f t="shared" si="70"/>
        <v/>
      </c>
      <c r="AM62" s="87" t="str">
        <f t="shared" si="70"/>
        <v/>
      </c>
      <c r="AN62" s="87" t="str">
        <f t="shared" si="70"/>
        <v/>
      </c>
      <c r="AP62" s="87" t="str">
        <f t="shared" si="53"/>
        <v/>
      </c>
      <c r="AQ62" s="87" t="str">
        <f t="shared" si="54"/>
        <v/>
      </c>
      <c r="AR62" s="87" t="str">
        <f t="shared" si="55"/>
        <v/>
      </c>
      <c r="AS62" s="87" t="str">
        <f t="shared" si="56"/>
        <v/>
      </c>
      <c r="AT62" s="87" t="str">
        <f t="shared" si="57"/>
        <v/>
      </c>
      <c r="AU62" s="87" t="str">
        <f t="shared" si="58"/>
        <v/>
      </c>
      <c r="AV62" s="87" t="str">
        <f t="shared" si="59"/>
        <v/>
      </c>
      <c r="AW62" s="87" t="str">
        <f t="shared" si="60"/>
        <v/>
      </c>
      <c r="AX62" s="87" t="str">
        <f t="shared" si="61"/>
        <v/>
      </c>
      <c r="AY62" s="87" t="str">
        <f t="shared" si="62"/>
        <v/>
      </c>
      <c r="AZ62" s="87" t="str">
        <f t="shared" si="63"/>
        <v/>
      </c>
      <c r="BA62" s="87" t="str">
        <f t="shared" si="64"/>
        <v/>
      </c>
      <c r="BB62" s="90" t="str">
        <f t="shared" si="20"/>
        <v/>
      </c>
      <c r="BE62" s="87" t="str">
        <f t="shared" si="65"/>
        <v/>
      </c>
      <c r="BF62" s="87" t="str">
        <f t="shared" si="66"/>
        <v/>
      </c>
      <c r="BG62" s="87" t="str">
        <f t="shared" si="67"/>
        <v/>
      </c>
      <c r="BH62" s="87" t="str">
        <f t="shared" si="21"/>
        <v/>
      </c>
      <c r="BI62" s="87" t="str">
        <f t="shared" si="68"/>
        <v/>
      </c>
      <c r="BO62" s="87" t="str">
        <f t="shared" si="22"/>
        <v>〇</v>
      </c>
      <c r="BP62" s="87" t="str">
        <f t="shared" si="23"/>
        <v>〇</v>
      </c>
      <c r="BQ62" s="87" t="str">
        <f t="shared" si="24"/>
        <v>〇</v>
      </c>
      <c r="BR62" s="87" t="str">
        <f t="shared" si="25"/>
        <v>〇</v>
      </c>
      <c r="BS62" s="87" t="str">
        <f t="shared" si="26"/>
        <v>〇</v>
      </c>
      <c r="BT62" s="87" t="str">
        <f t="shared" si="27"/>
        <v>〇</v>
      </c>
      <c r="BU62" s="87" t="str">
        <f t="shared" si="28"/>
        <v>〇</v>
      </c>
      <c r="BV62" s="87" t="str">
        <f t="shared" si="29"/>
        <v>〇</v>
      </c>
      <c r="BW62" s="87" t="str">
        <f t="shared" si="30"/>
        <v>〇</v>
      </c>
      <c r="BX62" s="87" t="str">
        <f t="shared" si="31"/>
        <v>〇</v>
      </c>
      <c r="BY62" s="87" t="str">
        <f t="shared" si="32"/>
        <v>〇</v>
      </c>
      <c r="BZ62" s="87" t="str">
        <f t="shared" si="33"/>
        <v>〇</v>
      </c>
      <c r="CA62" s="87" t="str">
        <f t="shared" si="34"/>
        <v>〇</v>
      </c>
      <c r="CB62" s="87" t="str">
        <f t="shared" si="35"/>
        <v>〇</v>
      </c>
      <c r="CC62" s="87" t="str">
        <f t="shared" si="36"/>
        <v>〇</v>
      </c>
      <c r="CD62" s="87" t="str">
        <f t="shared" si="37"/>
        <v>〇</v>
      </c>
      <c r="CE62" s="87" t="str">
        <f t="shared" si="38"/>
        <v>〇</v>
      </c>
      <c r="CF62" s="87" t="str">
        <f t="shared" si="39"/>
        <v>〇</v>
      </c>
      <c r="CG62" s="87" t="str">
        <f t="shared" si="40"/>
        <v>〇</v>
      </c>
      <c r="CH62" s="87" t="str">
        <f t="shared" si="41"/>
        <v>〇</v>
      </c>
      <c r="CI62" s="87" t="str">
        <f t="shared" si="42"/>
        <v>〇</v>
      </c>
      <c r="CJ62" s="87" t="str">
        <f t="shared" si="43"/>
        <v>〇</v>
      </c>
      <c r="CK62" s="87" t="str">
        <f t="shared" si="44"/>
        <v>〇</v>
      </c>
      <c r="CL62" s="87" t="str">
        <f t="shared" si="45"/>
        <v>〇</v>
      </c>
      <c r="CM62" s="87" t="str">
        <f t="shared" si="46"/>
        <v>〇</v>
      </c>
      <c r="CN62" s="87" t="str">
        <f t="shared" si="47"/>
        <v>〇</v>
      </c>
      <c r="CO62" s="87" t="str">
        <f t="shared" si="48"/>
        <v>〇</v>
      </c>
      <c r="CP62" s="87" t="str">
        <f t="shared" si="49"/>
        <v>〇</v>
      </c>
      <c r="CQ62" s="87" t="str">
        <f t="shared" si="50"/>
        <v>〇</v>
      </c>
      <c r="CS62" s="476"/>
      <c r="CT62" s="476"/>
      <c r="CU62" s="476"/>
      <c r="CV62" s="476"/>
    </row>
    <row r="63" spans="1:100" s="90" customFormat="1" ht="23.15" customHeight="1">
      <c r="A63" s="2">
        <v>57</v>
      </c>
      <c r="B63" s="14"/>
      <c r="C63" s="4"/>
      <c r="D63" s="5"/>
      <c r="E63" s="3"/>
      <c r="F63" s="6"/>
      <c r="G63" s="7"/>
      <c r="H63" s="8"/>
      <c r="I63" s="8"/>
      <c r="J63" s="8"/>
      <c r="K63" s="8"/>
      <c r="L63" s="8"/>
      <c r="M63" s="8"/>
      <c r="N63" s="8"/>
      <c r="O63" s="8"/>
      <c r="P63" s="8"/>
      <c r="Q63" s="9"/>
      <c r="R63" s="10"/>
      <c r="S63" s="11"/>
      <c r="T63" s="9"/>
      <c r="U63" s="16"/>
      <c r="V63" s="9"/>
      <c r="W63" s="12"/>
      <c r="X63" s="13"/>
      <c r="Y63" s="89" t="str">
        <f t="shared" si="18"/>
        <v/>
      </c>
      <c r="Z63" s="87">
        <f>IF(COUNTIF($E$7:E63,E63)=1,"",COUNTIF($E$7:E63,E63))</f>
        <v>0</v>
      </c>
      <c r="AA63" s="87" t="str">
        <f t="shared" si="52"/>
        <v/>
      </c>
      <c r="AC63" s="87" t="str">
        <f t="shared" si="71"/>
        <v/>
      </c>
      <c r="AD63" s="87" t="str">
        <f t="shared" si="70"/>
        <v/>
      </c>
      <c r="AE63" s="87" t="str">
        <f t="shared" si="70"/>
        <v/>
      </c>
      <c r="AF63" s="87" t="str">
        <f t="shared" si="70"/>
        <v/>
      </c>
      <c r="AG63" s="87" t="str">
        <f t="shared" si="70"/>
        <v/>
      </c>
      <c r="AH63" s="87" t="str">
        <f t="shared" si="70"/>
        <v/>
      </c>
      <c r="AI63" s="87" t="str">
        <f t="shared" si="70"/>
        <v/>
      </c>
      <c r="AJ63" s="87" t="str">
        <f t="shared" si="70"/>
        <v/>
      </c>
      <c r="AK63" s="87" t="str">
        <f t="shared" si="70"/>
        <v/>
      </c>
      <c r="AL63" s="87" t="str">
        <f t="shared" si="70"/>
        <v/>
      </c>
      <c r="AM63" s="87" t="str">
        <f t="shared" si="70"/>
        <v/>
      </c>
      <c r="AN63" s="87" t="str">
        <f t="shared" si="70"/>
        <v/>
      </c>
      <c r="AP63" s="87" t="str">
        <f t="shared" si="53"/>
        <v/>
      </c>
      <c r="AQ63" s="87" t="str">
        <f t="shared" si="54"/>
        <v/>
      </c>
      <c r="AR63" s="87" t="str">
        <f t="shared" si="55"/>
        <v/>
      </c>
      <c r="AS63" s="87" t="str">
        <f t="shared" si="56"/>
        <v/>
      </c>
      <c r="AT63" s="87" t="str">
        <f t="shared" si="57"/>
        <v/>
      </c>
      <c r="AU63" s="87" t="str">
        <f t="shared" si="58"/>
        <v/>
      </c>
      <c r="AV63" s="87" t="str">
        <f t="shared" si="59"/>
        <v/>
      </c>
      <c r="AW63" s="87" t="str">
        <f t="shared" si="60"/>
        <v/>
      </c>
      <c r="AX63" s="87" t="str">
        <f t="shared" si="61"/>
        <v/>
      </c>
      <c r="AY63" s="87" t="str">
        <f t="shared" si="62"/>
        <v/>
      </c>
      <c r="AZ63" s="87" t="str">
        <f t="shared" si="63"/>
        <v/>
      </c>
      <c r="BA63" s="87" t="str">
        <f t="shared" si="64"/>
        <v/>
      </c>
      <c r="BB63" s="90" t="str">
        <f t="shared" si="20"/>
        <v/>
      </c>
      <c r="BE63" s="87" t="str">
        <f t="shared" si="65"/>
        <v/>
      </c>
      <c r="BF63" s="87" t="str">
        <f t="shared" si="66"/>
        <v/>
      </c>
      <c r="BG63" s="87" t="str">
        <f t="shared" si="67"/>
        <v/>
      </c>
      <c r="BH63" s="87" t="str">
        <f t="shared" si="21"/>
        <v/>
      </c>
      <c r="BI63" s="87" t="str">
        <f t="shared" si="68"/>
        <v/>
      </c>
      <c r="BO63" s="87" t="str">
        <f t="shared" si="22"/>
        <v>〇</v>
      </c>
      <c r="BP63" s="87" t="str">
        <f t="shared" si="23"/>
        <v>〇</v>
      </c>
      <c r="BQ63" s="87" t="str">
        <f t="shared" si="24"/>
        <v>〇</v>
      </c>
      <c r="BR63" s="87" t="str">
        <f t="shared" si="25"/>
        <v>〇</v>
      </c>
      <c r="BS63" s="87" t="str">
        <f t="shared" si="26"/>
        <v>〇</v>
      </c>
      <c r="BT63" s="87" t="str">
        <f t="shared" si="27"/>
        <v>〇</v>
      </c>
      <c r="BU63" s="87" t="str">
        <f t="shared" si="28"/>
        <v>〇</v>
      </c>
      <c r="BV63" s="87" t="str">
        <f t="shared" si="29"/>
        <v>〇</v>
      </c>
      <c r="BW63" s="87" t="str">
        <f t="shared" si="30"/>
        <v>〇</v>
      </c>
      <c r="BX63" s="87" t="str">
        <f t="shared" si="31"/>
        <v>〇</v>
      </c>
      <c r="BY63" s="87" t="str">
        <f t="shared" si="32"/>
        <v>〇</v>
      </c>
      <c r="BZ63" s="87" t="str">
        <f t="shared" si="33"/>
        <v>〇</v>
      </c>
      <c r="CA63" s="87" t="str">
        <f t="shared" si="34"/>
        <v>〇</v>
      </c>
      <c r="CB63" s="87" t="str">
        <f t="shared" si="35"/>
        <v>〇</v>
      </c>
      <c r="CC63" s="87" t="str">
        <f t="shared" si="36"/>
        <v>〇</v>
      </c>
      <c r="CD63" s="87" t="str">
        <f t="shared" si="37"/>
        <v>〇</v>
      </c>
      <c r="CE63" s="87" t="str">
        <f t="shared" si="38"/>
        <v>〇</v>
      </c>
      <c r="CF63" s="87" t="str">
        <f t="shared" si="39"/>
        <v>〇</v>
      </c>
      <c r="CG63" s="87" t="str">
        <f t="shared" si="40"/>
        <v>〇</v>
      </c>
      <c r="CH63" s="87" t="str">
        <f t="shared" si="41"/>
        <v>〇</v>
      </c>
      <c r="CI63" s="87" t="str">
        <f t="shared" si="42"/>
        <v>〇</v>
      </c>
      <c r="CJ63" s="87" t="str">
        <f t="shared" si="43"/>
        <v>〇</v>
      </c>
      <c r="CK63" s="87" t="str">
        <f t="shared" si="44"/>
        <v>〇</v>
      </c>
      <c r="CL63" s="87" t="str">
        <f t="shared" si="45"/>
        <v>〇</v>
      </c>
      <c r="CM63" s="87" t="str">
        <f t="shared" si="46"/>
        <v>〇</v>
      </c>
      <c r="CN63" s="87" t="str">
        <f t="shared" si="47"/>
        <v>〇</v>
      </c>
      <c r="CO63" s="87" t="str">
        <f t="shared" si="48"/>
        <v>〇</v>
      </c>
      <c r="CP63" s="87" t="str">
        <f t="shared" si="49"/>
        <v>〇</v>
      </c>
      <c r="CQ63" s="87" t="str">
        <f t="shared" si="50"/>
        <v>〇</v>
      </c>
      <c r="CS63" s="476"/>
      <c r="CT63" s="476"/>
      <c r="CU63" s="476"/>
      <c r="CV63" s="476"/>
    </row>
    <row r="64" spans="1:100" s="90" customFormat="1" ht="23.15" customHeight="1">
      <c r="A64" s="2">
        <v>58</v>
      </c>
      <c r="B64" s="14"/>
      <c r="C64" s="4"/>
      <c r="D64" s="5"/>
      <c r="E64" s="3"/>
      <c r="F64" s="6"/>
      <c r="G64" s="7"/>
      <c r="H64" s="8"/>
      <c r="I64" s="8"/>
      <c r="J64" s="8"/>
      <c r="K64" s="8"/>
      <c r="L64" s="8"/>
      <c r="M64" s="8"/>
      <c r="N64" s="8"/>
      <c r="O64" s="8"/>
      <c r="P64" s="8"/>
      <c r="Q64" s="9"/>
      <c r="R64" s="10"/>
      <c r="S64" s="11"/>
      <c r="T64" s="9"/>
      <c r="U64" s="16"/>
      <c r="V64" s="9"/>
      <c r="W64" s="12"/>
      <c r="X64" s="13"/>
      <c r="Y64" s="89" t="str">
        <f t="shared" si="18"/>
        <v/>
      </c>
      <c r="Z64" s="87">
        <f>IF(COUNTIF($E$7:E64,E64)=1,"",COUNTIF($E$7:E64,E64))</f>
        <v>0</v>
      </c>
      <c r="AA64" s="87" t="str">
        <f t="shared" si="52"/>
        <v/>
      </c>
      <c r="AC64" s="87" t="str">
        <f t="shared" si="71"/>
        <v/>
      </c>
      <c r="AD64" s="87" t="str">
        <f t="shared" si="70"/>
        <v/>
      </c>
      <c r="AE64" s="87" t="str">
        <f t="shared" si="70"/>
        <v/>
      </c>
      <c r="AF64" s="87" t="str">
        <f t="shared" si="70"/>
        <v/>
      </c>
      <c r="AG64" s="87" t="str">
        <f t="shared" si="70"/>
        <v/>
      </c>
      <c r="AH64" s="87" t="str">
        <f t="shared" si="70"/>
        <v/>
      </c>
      <c r="AI64" s="87" t="str">
        <f t="shared" si="70"/>
        <v/>
      </c>
      <c r="AJ64" s="87" t="str">
        <f t="shared" si="70"/>
        <v/>
      </c>
      <c r="AK64" s="87" t="str">
        <f t="shared" si="70"/>
        <v/>
      </c>
      <c r="AL64" s="87" t="str">
        <f t="shared" si="70"/>
        <v/>
      </c>
      <c r="AM64" s="87" t="str">
        <f t="shared" si="70"/>
        <v/>
      </c>
      <c r="AN64" s="87" t="str">
        <f t="shared" si="70"/>
        <v/>
      </c>
      <c r="AP64" s="87" t="str">
        <f t="shared" si="53"/>
        <v/>
      </c>
      <c r="AQ64" s="87" t="str">
        <f t="shared" si="54"/>
        <v/>
      </c>
      <c r="AR64" s="87" t="str">
        <f t="shared" si="55"/>
        <v/>
      </c>
      <c r="AS64" s="87" t="str">
        <f t="shared" si="56"/>
        <v/>
      </c>
      <c r="AT64" s="87" t="str">
        <f t="shared" si="57"/>
        <v/>
      </c>
      <c r="AU64" s="87" t="str">
        <f t="shared" si="58"/>
        <v/>
      </c>
      <c r="AV64" s="87" t="str">
        <f t="shared" si="59"/>
        <v/>
      </c>
      <c r="AW64" s="87" t="str">
        <f t="shared" si="60"/>
        <v/>
      </c>
      <c r="AX64" s="87" t="str">
        <f t="shared" si="61"/>
        <v/>
      </c>
      <c r="AY64" s="87" t="str">
        <f t="shared" si="62"/>
        <v/>
      </c>
      <c r="AZ64" s="87" t="str">
        <f t="shared" si="63"/>
        <v/>
      </c>
      <c r="BA64" s="87" t="str">
        <f t="shared" si="64"/>
        <v/>
      </c>
      <c r="BB64" s="90" t="str">
        <f t="shared" si="20"/>
        <v/>
      </c>
      <c r="BE64" s="87" t="str">
        <f t="shared" si="65"/>
        <v/>
      </c>
      <c r="BF64" s="87" t="str">
        <f t="shared" si="66"/>
        <v/>
      </c>
      <c r="BG64" s="87" t="str">
        <f t="shared" si="67"/>
        <v/>
      </c>
      <c r="BH64" s="87" t="str">
        <f t="shared" si="21"/>
        <v/>
      </c>
      <c r="BI64" s="87" t="str">
        <f t="shared" si="68"/>
        <v/>
      </c>
      <c r="BO64" s="87" t="str">
        <f t="shared" si="22"/>
        <v>〇</v>
      </c>
      <c r="BP64" s="87" t="str">
        <f t="shared" si="23"/>
        <v>〇</v>
      </c>
      <c r="BQ64" s="87" t="str">
        <f t="shared" si="24"/>
        <v>〇</v>
      </c>
      <c r="BR64" s="87" t="str">
        <f t="shared" si="25"/>
        <v>〇</v>
      </c>
      <c r="BS64" s="87" t="str">
        <f t="shared" si="26"/>
        <v>〇</v>
      </c>
      <c r="BT64" s="87" t="str">
        <f t="shared" si="27"/>
        <v>〇</v>
      </c>
      <c r="BU64" s="87" t="str">
        <f t="shared" si="28"/>
        <v>〇</v>
      </c>
      <c r="BV64" s="87" t="str">
        <f t="shared" si="29"/>
        <v>〇</v>
      </c>
      <c r="BW64" s="87" t="str">
        <f t="shared" si="30"/>
        <v>〇</v>
      </c>
      <c r="BX64" s="87" t="str">
        <f t="shared" si="31"/>
        <v>〇</v>
      </c>
      <c r="BY64" s="87" t="str">
        <f t="shared" si="32"/>
        <v>〇</v>
      </c>
      <c r="BZ64" s="87" t="str">
        <f t="shared" si="33"/>
        <v>〇</v>
      </c>
      <c r="CA64" s="87" t="str">
        <f t="shared" si="34"/>
        <v>〇</v>
      </c>
      <c r="CB64" s="87" t="str">
        <f t="shared" si="35"/>
        <v>〇</v>
      </c>
      <c r="CC64" s="87" t="str">
        <f t="shared" si="36"/>
        <v>〇</v>
      </c>
      <c r="CD64" s="87" t="str">
        <f t="shared" si="37"/>
        <v>〇</v>
      </c>
      <c r="CE64" s="87" t="str">
        <f t="shared" si="38"/>
        <v>〇</v>
      </c>
      <c r="CF64" s="87" t="str">
        <f t="shared" si="39"/>
        <v>〇</v>
      </c>
      <c r="CG64" s="87" t="str">
        <f t="shared" si="40"/>
        <v>〇</v>
      </c>
      <c r="CH64" s="87" t="str">
        <f t="shared" si="41"/>
        <v>〇</v>
      </c>
      <c r="CI64" s="87" t="str">
        <f t="shared" si="42"/>
        <v>〇</v>
      </c>
      <c r="CJ64" s="87" t="str">
        <f t="shared" si="43"/>
        <v>〇</v>
      </c>
      <c r="CK64" s="87" t="str">
        <f t="shared" si="44"/>
        <v>〇</v>
      </c>
      <c r="CL64" s="87" t="str">
        <f t="shared" si="45"/>
        <v>〇</v>
      </c>
      <c r="CM64" s="87" t="str">
        <f t="shared" si="46"/>
        <v>〇</v>
      </c>
      <c r="CN64" s="87" t="str">
        <f t="shared" si="47"/>
        <v>〇</v>
      </c>
      <c r="CO64" s="87" t="str">
        <f t="shared" si="48"/>
        <v>〇</v>
      </c>
      <c r="CP64" s="87" t="str">
        <f t="shared" si="49"/>
        <v>〇</v>
      </c>
      <c r="CQ64" s="87" t="str">
        <f t="shared" si="50"/>
        <v>〇</v>
      </c>
      <c r="CS64" s="476"/>
      <c r="CT64" s="476"/>
      <c r="CU64" s="476"/>
      <c r="CV64" s="476"/>
    </row>
    <row r="65" spans="1:100" s="90" customFormat="1" ht="23.15" customHeight="1">
      <c r="A65" s="2">
        <v>59</v>
      </c>
      <c r="B65" s="14"/>
      <c r="C65" s="4"/>
      <c r="D65" s="5"/>
      <c r="E65" s="3"/>
      <c r="F65" s="6"/>
      <c r="G65" s="7"/>
      <c r="H65" s="8"/>
      <c r="I65" s="8"/>
      <c r="J65" s="8"/>
      <c r="K65" s="8"/>
      <c r="L65" s="8"/>
      <c r="M65" s="8"/>
      <c r="N65" s="8"/>
      <c r="O65" s="8"/>
      <c r="P65" s="8"/>
      <c r="Q65" s="9"/>
      <c r="R65" s="10"/>
      <c r="S65" s="11"/>
      <c r="T65" s="9"/>
      <c r="U65" s="16"/>
      <c r="V65" s="9"/>
      <c r="W65" s="12"/>
      <c r="X65" s="13"/>
      <c r="Y65" s="89" t="str">
        <f t="shared" si="18"/>
        <v/>
      </c>
      <c r="Z65" s="87">
        <f>IF(COUNTIF($E$7:E65,E65)=1,"",COUNTIF($E$7:E65,E65))</f>
        <v>0</v>
      </c>
      <c r="AA65" s="87" t="str">
        <f t="shared" si="52"/>
        <v/>
      </c>
      <c r="AC65" s="87" t="str">
        <f t="shared" si="71"/>
        <v/>
      </c>
      <c r="AD65" s="87" t="str">
        <f t="shared" si="70"/>
        <v/>
      </c>
      <c r="AE65" s="87" t="str">
        <f t="shared" si="70"/>
        <v/>
      </c>
      <c r="AF65" s="87" t="str">
        <f t="shared" si="70"/>
        <v/>
      </c>
      <c r="AG65" s="87" t="str">
        <f t="shared" si="70"/>
        <v/>
      </c>
      <c r="AH65" s="87" t="str">
        <f t="shared" si="70"/>
        <v/>
      </c>
      <c r="AI65" s="87" t="str">
        <f t="shared" si="70"/>
        <v/>
      </c>
      <c r="AJ65" s="87" t="str">
        <f t="shared" si="70"/>
        <v/>
      </c>
      <c r="AK65" s="87" t="str">
        <f t="shared" si="70"/>
        <v/>
      </c>
      <c r="AL65" s="87" t="str">
        <f t="shared" si="70"/>
        <v/>
      </c>
      <c r="AM65" s="87" t="str">
        <f t="shared" si="70"/>
        <v/>
      </c>
      <c r="AN65" s="87" t="str">
        <f t="shared" si="70"/>
        <v/>
      </c>
      <c r="AP65" s="87" t="str">
        <f t="shared" si="53"/>
        <v/>
      </c>
      <c r="AQ65" s="87" t="str">
        <f t="shared" si="54"/>
        <v/>
      </c>
      <c r="AR65" s="87" t="str">
        <f t="shared" si="55"/>
        <v/>
      </c>
      <c r="AS65" s="87" t="str">
        <f t="shared" si="56"/>
        <v/>
      </c>
      <c r="AT65" s="87" t="str">
        <f t="shared" si="57"/>
        <v/>
      </c>
      <c r="AU65" s="87" t="str">
        <f t="shared" si="58"/>
        <v/>
      </c>
      <c r="AV65" s="87" t="str">
        <f t="shared" si="59"/>
        <v/>
      </c>
      <c r="AW65" s="87" t="str">
        <f t="shared" si="60"/>
        <v/>
      </c>
      <c r="AX65" s="87" t="str">
        <f t="shared" si="61"/>
        <v/>
      </c>
      <c r="AY65" s="87" t="str">
        <f t="shared" si="62"/>
        <v/>
      </c>
      <c r="AZ65" s="87" t="str">
        <f t="shared" si="63"/>
        <v/>
      </c>
      <c r="BA65" s="87" t="str">
        <f t="shared" si="64"/>
        <v/>
      </c>
      <c r="BB65" s="90" t="str">
        <f t="shared" si="20"/>
        <v/>
      </c>
      <c r="BE65" s="87" t="str">
        <f t="shared" si="65"/>
        <v/>
      </c>
      <c r="BF65" s="87" t="str">
        <f t="shared" si="66"/>
        <v/>
      </c>
      <c r="BG65" s="87" t="str">
        <f t="shared" si="67"/>
        <v/>
      </c>
      <c r="BH65" s="87" t="str">
        <f t="shared" si="21"/>
        <v/>
      </c>
      <c r="BI65" s="87" t="str">
        <f t="shared" si="68"/>
        <v/>
      </c>
      <c r="BO65" s="87" t="str">
        <f t="shared" si="22"/>
        <v>〇</v>
      </c>
      <c r="BP65" s="87" t="str">
        <f t="shared" si="23"/>
        <v>〇</v>
      </c>
      <c r="BQ65" s="87" t="str">
        <f t="shared" si="24"/>
        <v>〇</v>
      </c>
      <c r="BR65" s="87" t="str">
        <f t="shared" si="25"/>
        <v>〇</v>
      </c>
      <c r="BS65" s="87" t="str">
        <f t="shared" si="26"/>
        <v>〇</v>
      </c>
      <c r="BT65" s="87" t="str">
        <f t="shared" si="27"/>
        <v>〇</v>
      </c>
      <c r="BU65" s="87" t="str">
        <f t="shared" si="28"/>
        <v>〇</v>
      </c>
      <c r="BV65" s="87" t="str">
        <f t="shared" si="29"/>
        <v>〇</v>
      </c>
      <c r="BW65" s="87" t="str">
        <f t="shared" si="30"/>
        <v>〇</v>
      </c>
      <c r="BX65" s="87" t="str">
        <f t="shared" si="31"/>
        <v>〇</v>
      </c>
      <c r="BY65" s="87" t="str">
        <f t="shared" si="32"/>
        <v>〇</v>
      </c>
      <c r="BZ65" s="87" t="str">
        <f t="shared" si="33"/>
        <v>〇</v>
      </c>
      <c r="CA65" s="87" t="str">
        <f t="shared" si="34"/>
        <v>〇</v>
      </c>
      <c r="CB65" s="87" t="str">
        <f t="shared" si="35"/>
        <v>〇</v>
      </c>
      <c r="CC65" s="87" t="str">
        <f t="shared" si="36"/>
        <v>〇</v>
      </c>
      <c r="CD65" s="87" t="str">
        <f t="shared" si="37"/>
        <v>〇</v>
      </c>
      <c r="CE65" s="87" t="str">
        <f t="shared" si="38"/>
        <v>〇</v>
      </c>
      <c r="CF65" s="87" t="str">
        <f t="shared" si="39"/>
        <v>〇</v>
      </c>
      <c r="CG65" s="87" t="str">
        <f t="shared" si="40"/>
        <v>〇</v>
      </c>
      <c r="CH65" s="87" t="str">
        <f t="shared" si="41"/>
        <v>〇</v>
      </c>
      <c r="CI65" s="87" t="str">
        <f t="shared" si="42"/>
        <v>〇</v>
      </c>
      <c r="CJ65" s="87" t="str">
        <f t="shared" si="43"/>
        <v>〇</v>
      </c>
      <c r="CK65" s="87" t="str">
        <f t="shared" si="44"/>
        <v>〇</v>
      </c>
      <c r="CL65" s="87" t="str">
        <f t="shared" si="45"/>
        <v>〇</v>
      </c>
      <c r="CM65" s="87" t="str">
        <f t="shared" si="46"/>
        <v>〇</v>
      </c>
      <c r="CN65" s="87" t="str">
        <f t="shared" si="47"/>
        <v>〇</v>
      </c>
      <c r="CO65" s="87" t="str">
        <f t="shared" si="48"/>
        <v>〇</v>
      </c>
      <c r="CP65" s="87" t="str">
        <f t="shared" si="49"/>
        <v>〇</v>
      </c>
      <c r="CQ65" s="87" t="str">
        <f t="shared" si="50"/>
        <v>〇</v>
      </c>
      <c r="CS65" s="476"/>
      <c r="CT65" s="476"/>
      <c r="CU65" s="476"/>
      <c r="CV65" s="476"/>
    </row>
    <row r="66" spans="1:100" s="90" customFormat="1" ht="23.15" customHeight="1">
      <c r="A66" s="2">
        <v>60</v>
      </c>
      <c r="B66" s="14"/>
      <c r="C66" s="4"/>
      <c r="D66" s="5"/>
      <c r="E66" s="3"/>
      <c r="F66" s="6"/>
      <c r="G66" s="7"/>
      <c r="H66" s="8"/>
      <c r="I66" s="8"/>
      <c r="J66" s="8"/>
      <c r="K66" s="8"/>
      <c r="L66" s="8"/>
      <c r="M66" s="8"/>
      <c r="N66" s="8"/>
      <c r="O66" s="8"/>
      <c r="P66" s="8"/>
      <c r="Q66" s="9"/>
      <c r="R66" s="10"/>
      <c r="S66" s="11"/>
      <c r="T66" s="9"/>
      <c r="U66" s="16"/>
      <c r="V66" s="9"/>
      <c r="W66" s="12"/>
      <c r="X66" s="13"/>
      <c r="Y66" s="89" t="str">
        <f t="shared" si="18"/>
        <v/>
      </c>
      <c r="Z66" s="87">
        <f>IF(COUNTIF($E$7:E66,E66)=1,"",COUNTIF($E$7:E66,E66))</f>
        <v>0</v>
      </c>
      <c r="AA66" s="87" t="str">
        <f t="shared" si="52"/>
        <v/>
      </c>
      <c r="AC66" s="87" t="str">
        <f t="shared" si="71"/>
        <v/>
      </c>
      <c r="AD66" s="87" t="str">
        <f t="shared" si="70"/>
        <v/>
      </c>
      <c r="AE66" s="87" t="str">
        <f t="shared" si="70"/>
        <v/>
      </c>
      <c r="AF66" s="87" t="str">
        <f t="shared" si="70"/>
        <v/>
      </c>
      <c r="AG66" s="87" t="str">
        <f t="shared" si="70"/>
        <v/>
      </c>
      <c r="AH66" s="87" t="str">
        <f t="shared" si="70"/>
        <v/>
      </c>
      <c r="AI66" s="87" t="str">
        <f t="shared" si="70"/>
        <v/>
      </c>
      <c r="AJ66" s="87" t="str">
        <f t="shared" si="70"/>
        <v/>
      </c>
      <c r="AK66" s="87" t="str">
        <f t="shared" si="70"/>
        <v/>
      </c>
      <c r="AL66" s="87" t="str">
        <f t="shared" si="70"/>
        <v/>
      </c>
      <c r="AM66" s="87" t="str">
        <f t="shared" si="70"/>
        <v/>
      </c>
      <c r="AN66" s="87" t="str">
        <f t="shared" si="70"/>
        <v/>
      </c>
      <c r="AP66" s="87" t="str">
        <f t="shared" si="53"/>
        <v/>
      </c>
      <c r="AQ66" s="87" t="str">
        <f t="shared" si="54"/>
        <v/>
      </c>
      <c r="AR66" s="87" t="str">
        <f t="shared" si="55"/>
        <v/>
      </c>
      <c r="AS66" s="87" t="str">
        <f t="shared" si="56"/>
        <v/>
      </c>
      <c r="AT66" s="87" t="str">
        <f t="shared" si="57"/>
        <v/>
      </c>
      <c r="AU66" s="87" t="str">
        <f t="shared" si="58"/>
        <v/>
      </c>
      <c r="AV66" s="87" t="str">
        <f t="shared" si="59"/>
        <v/>
      </c>
      <c r="AW66" s="87" t="str">
        <f t="shared" si="60"/>
        <v/>
      </c>
      <c r="AX66" s="87" t="str">
        <f t="shared" si="61"/>
        <v/>
      </c>
      <c r="AY66" s="87" t="str">
        <f t="shared" si="62"/>
        <v/>
      </c>
      <c r="AZ66" s="87" t="str">
        <f t="shared" si="63"/>
        <v/>
      </c>
      <c r="BA66" s="87" t="str">
        <f t="shared" si="64"/>
        <v/>
      </c>
      <c r="BB66" s="90" t="str">
        <f t="shared" si="20"/>
        <v/>
      </c>
      <c r="BE66" s="87" t="str">
        <f t="shared" si="65"/>
        <v/>
      </c>
      <c r="BF66" s="87" t="str">
        <f t="shared" si="66"/>
        <v/>
      </c>
      <c r="BG66" s="87" t="str">
        <f t="shared" si="67"/>
        <v/>
      </c>
      <c r="BH66" s="87" t="str">
        <f t="shared" si="21"/>
        <v/>
      </c>
      <c r="BI66" s="87" t="str">
        <f t="shared" si="68"/>
        <v/>
      </c>
      <c r="BO66" s="87" t="str">
        <f t="shared" si="22"/>
        <v>〇</v>
      </c>
      <c r="BP66" s="87" t="str">
        <f t="shared" si="23"/>
        <v>〇</v>
      </c>
      <c r="BQ66" s="87" t="str">
        <f t="shared" si="24"/>
        <v>〇</v>
      </c>
      <c r="BR66" s="87" t="str">
        <f t="shared" si="25"/>
        <v>〇</v>
      </c>
      <c r="BS66" s="87" t="str">
        <f t="shared" si="26"/>
        <v>〇</v>
      </c>
      <c r="BT66" s="87" t="str">
        <f t="shared" si="27"/>
        <v>〇</v>
      </c>
      <c r="BU66" s="87" t="str">
        <f t="shared" si="28"/>
        <v>〇</v>
      </c>
      <c r="BV66" s="87" t="str">
        <f t="shared" si="29"/>
        <v>〇</v>
      </c>
      <c r="BW66" s="87" t="str">
        <f t="shared" si="30"/>
        <v>〇</v>
      </c>
      <c r="BX66" s="87" t="str">
        <f t="shared" si="31"/>
        <v>〇</v>
      </c>
      <c r="BY66" s="87" t="str">
        <f t="shared" si="32"/>
        <v>〇</v>
      </c>
      <c r="BZ66" s="87" t="str">
        <f t="shared" si="33"/>
        <v>〇</v>
      </c>
      <c r="CA66" s="87" t="str">
        <f t="shared" si="34"/>
        <v>〇</v>
      </c>
      <c r="CB66" s="87" t="str">
        <f t="shared" si="35"/>
        <v>〇</v>
      </c>
      <c r="CC66" s="87" t="str">
        <f t="shared" si="36"/>
        <v>〇</v>
      </c>
      <c r="CD66" s="87" t="str">
        <f t="shared" si="37"/>
        <v>〇</v>
      </c>
      <c r="CE66" s="87" t="str">
        <f t="shared" si="38"/>
        <v>〇</v>
      </c>
      <c r="CF66" s="87" t="str">
        <f t="shared" si="39"/>
        <v>〇</v>
      </c>
      <c r="CG66" s="87" t="str">
        <f t="shared" si="40"/>
        <v>〇</v>
      </c>
      <c r="CH66" s="87" t="str">
        <f t="shared" si="41"/>
        <v>〇</v>
      </c>
      <c r="CI66" s="87" t="str">
        <f t="shared" si="42"/>
        <v>〇</v>
      </c>
      <c r="CJ66" s="87" t="str">
        <f t="shared" si="43"/>
        <v>〇</v>
      </c>
      <c r="CK66" s="87" t="str">
        <f t="shared" si="44"/>
        <v>〇</v>
      </c>
      <c r="CL66" s="87" t="str">
        <f t="shared" si="45"/>
        <v>〇</v>
      </c>
      <c r="CM66" s="87" t="str">
        <f t="shared" si="46"/>
        <v>〇</v>
      </c>
      <c r="CN66" s="87" t="str">
        <f t="shared" si="47"/>
        <v>〇</v>
      </c>
      <c r="CO66" s="87" t="str">
        <f t="shared" si="48"/>
        <v>〇</v>
      </c>
      <c r="CP66" s="87" t="str">
        <f t="shared" si="49"/>
        <v>〇</v>
      </c>
      <c r="CQ66" s="87" t="str">
        <f t="shared" si="50"/>
        <v>〇</v>
      </c>
      <c r="CS66" s="476"/>
      <c r="CT66" s="476"/>
      <c r="CU66" s="476"/>
      <c r="CV66" s="476"/>
    </row>
    <row r="67" spans="1:100" s="90" customFormat="1" ht="23.15" customHeight="1">
      <c r="A67" s="2">
        <v>61</v>
      </c>
      <c r="B67" s="14"/>
      <c r="C67" s="4"/>
      <c r="D67" s="5"/>
      <c r="E67" s="3"/>
      <c r="F67" s="6"/>
      <c r="G67" s="7"/>
      <c r="H67" s="8"/>
      <c r="I67" s="8"/>
      <c r="J67" s="8"/>
      <c r="K67" s="8"/>
      <c r="L67" s="8"/>
      <c r="M67" s="8"/>
      <c r="N67" s="8"/>
      <c r="O67" s="8"/>
      <c r="P67" s="8"/>
      <c r="Q67" s="9"/>
      <c r="R67" s="10"/>
      <c r="S67" s="11"/>
      <c r="T67" s="9"/>
      <c r="U67" s="16"/>
      <c r="V67" s="9"/>
      <c r="W67" s="12"/>
      <c r="X67" s="13"/>
      <c r="Y67" s="89" t="str">
        <f t="shared" si="18"/>
        <v/>
      </c>
      <c r="Z67" s="87">
        <f>IF(COUNTIF($E$7:E67,E67)=1,"",COUNTIF($E$7:E67,E67))</f>
        <v>0</v>
      </c>
      <c r="AA67" s="87" t="str">
        <f t="shared" si="52"/>
        <v/>
      </c>
      <c r="AC67" s="87" t="str">
        <f t="shared" si="71"/>
        <v/>
      </c>
      <c r="AD67" s="87" t="str">
        <f t="shared" si="70"/>
        <v/>
      </c>
      <c r="AE67" s="87" t="str">
        <f t="shared" si="70"/>
        <v/>
      </c>
      <c r="AF67" s="87" t="str">
        <f t="shared" si="70"/>
        <v/>
      </c>
      <c r="AG67" s="87" t="str">
        <f t="shared" si="70"/>
        <v/>
      </c>
      <c r="AH67" s="87" t="str">
        <f t="shared" si="70"/>
        <v/>
      </c>
      <c r="AI67" s="87" t="str">
        <f t="shared" si="70"/>
        <v/>
      </c>
      <c r="AJ67" s="87" t="str">
        <f t="shared" si="70"/>
        <v/>
      </c>
      <c r="AK67" s="87" t="str">
        <f t="shared" si="70"/>
        <v/>
      </c>
      <c r="AL67" s="87" t="str">
        <f t="shared" si="70"/>
        <v/>
      </c>
      <c r="AM67" s="87" t="str">
        <f t="shared" si="70"/>
        <v/>
      </c>
      <c r="AN67" s="87" t="str">
        <f t="shared" si="70"/>
        <v/>
      </c>
      <c r="AP67" s="87" t="str">
        <f t="shared" si="53"/>
        <v/>
      </c>
      <c r="AQ67" s="87" t="str">
        <f t="shared" si="54"/>
        <v/>
      </c>
      <c r="AR67" s="87" t="str">
        <f t="shared" si="55"/>
        <v/>
      </c>
      <c r="AS67" s="87" t="str">
        <f t="shared" si="56"/>
        <v/>
      </c>
      <c r="AT67" s="87" t="str">
        <f t="shared" si="57"/>
        <v/>
      </c>
      <c r="AU67" s="87" t="str">
        <f t="shared" si="58"/>
        <v/>
      </c>
      <c r="AV67" s="87" t="str">
        <f t="shared" si="59"/>
        <v/>
      </c>
      <c r="AW67" s="87" t="str">
        <f t="shared" si="60"/>
        <v/>
      </c>
      <c r="AX67" s="87" t="str">
        <f t="shared" si="61"/>
        <v/>
      </c>
      <c r="AY67" s="87" t="str">
        <f t="shared" si="62"/>
        <v/>
      </c>
      <c r="AZ67" s="87" t="str">
        <f t="shared" si="63"/>
        <v/>
      </c>
      <c r="BA67" s="87" t="str">
        <f t="shared" si="64"/>
        <v/>
      </c>
      <c r="BB67" s="90" t="str">
        <f t="shared" si="20"/>
        <v/>
      </c>
      <c r="BE67" s="87" t="str">
        <f t="shared" si="65"/>
        <v/>
      </c>
      <c r="BF67" s="87" t="str">
        <f t="shared" si="66"/>
        <v/>
      </c>
      <c r="BG67" s="87" t="str">
        <f t="shared" si="67"/>
        <v/>
      </c>
      <c r="BH67" s="87" t="str">
        <f t="shared" si="21"/>
        <v/>
      </c>
      <c r="BI67" s="87" t="str">
        <f t="shared" si="68"/>
        <v/>
      </c>
      <c r="BO67" s="87" t="str">
        <f t="shared" si="22"/>
        <v>〇</v>
      </c>
      <c r="BP67" s="87" t="str">
        <f t="shared" si="23"/>
        <v>〇</v>
      </c>
      <c r="BQ67" s="87" t="str">
        <f t="shared" si="24"/>
        <v>〇</v>
      </c>
      <c r="BR67" s="87" t="str">
        <f t="shared" si="25"/>
        <v>〇</v>
      </c>
      <c r="BS67" s="87" t="str">
        <f t="shared" si="26"/>
        <v>〇</v>
      </c>
      <c r="BT67" s="87" t="str">
        <f t="shared" si="27"/>
        <v>〇</v>
      </c>
      <c r="BU67" s="87" t="str">
        <f t="shared" si="28"/>
        <v>〇</v>
      </c>
      <c r="BV67" s="87" t="str">
        <f t="shared" si="29"/>
        <v>〇</v>
      </c>
      <c r="BW67" s="87" t="str">
        <f t="shared" si="30"/>
        <v>〇</v>
      </c>
      <c r="BX67" s="87" t="str">
        <f t="shared" si="31"/>
        <v>〇</v>
      </c>
      <c r="BY67" s="87" t="str">
        <f t="shared" si="32"/>
        <v>〇</v>
      </c>
      <c r="BZ67" s="87" t="str">
        <f t="shared" si="33"/>
        <v>〇</v>
      </c>
      <c r="CA67" s="87" t="str">
        <f t="shared" si="34"/>
        <v>〇</v>
      </c>
      <c r="CB67" s="87" t="str">
        <f t="shared" si="35"/>
        <v>〇</v>
      </c>
      <c r="CC67" s="87" t="str">
        <f t="shared" si="36"/>
        <v>〇</v>
      </c>
      <c r="CD67" s="87" t="str">
        <f t="shared" si="37"/>
        <v>〇</v>
      </c>
      <c r="CE67" s="87" t="str">
        <f t="shared" si="38"/>
        <v>〇</v>
      </c>
      <c r="CF67" s="87" t="str">
        <f t="shared" si="39"/>
        <v>〇</v>
      </c>
      <c r="CG67" s="87" t="str">
        <f t="shared" si="40"/>
        <v>〇</v>
      </c>
      <c r="CH67" s="87" t="str">
        <f t="shared" si="41"/>
        <v>〇</v>
      </c>
      <c r="CI67" s="87" t="str">
        <f t="shared" si="42"/>
        <v>〇</v>
      </c>
      <c r="CJ67" s="87" t="str">
        <f t="shared" si="43"/>
        <v>〇</v>
      </c>
      <c r="CK67" s="87" t="str">
        <f t="shared" si="44"/>
        <v>〇</v>
      </c>
      <c r="CL67" s="87" t="str">
        <f t="shared" si="45"/>
        <v>〇</v>
      </c>
      <c r="CM67" s="87" t="str">
        <f t="shared" si="46"/>
        <v>〇</v>
      </c>
      <c r="CN67" s="87" t="str">
        <f t="shared" si="47"/>
        <v>〇</v>
      </c>
      <c r="CO67" s="87" t="str">
        <f t="shared" si="48"/>
        <v>〇</v>
      </c>
      <c r="CP67" s="87" t="str">
        <f t="shared" si="49"/>
        <v>〇</v>
      </c>
      <c r="CQ67" s="87" t="str">
        <f t="shared" si="50"/>
        <v>〇</v>
      </c>
      <c r="CS67" s="476"/>
      <c r="CT67" s="476"/>
      <c r="CU67" s="476"/>
      <c r="CV67" s="476"/>
    </row>
    <row r="68" spans="1:100" s="90" customFormat="1" ht="23.15" customHeight="1">
      <c r="A68" s="2">
        <v>62</v>
      </c>
      <c r="B68" s="14"/>
      <c r="C68" s="4"/>
      <c r="D68" s="5"/>
      <c r="E68" s="3"/>
      <c r="F68" s="6"/>
      <c r="G68" s="7"/>
      <c r="H68" s="8"/>
      <c r="I68" s="8"/>
      <c r="J68" s="8"/>
      <c r="K68" s="8"/>
      <c r="L68" s="8"/>
      <c r="M68" s="8"/>
      <c r="N68" s="8"/>
      <c r="O68" s="8"/>
      <c r="P68" s="8"/>
      <c r="Q68" s="9"/>
      <c r="R68" s="10"/>
      <c r="S68" s="11"/>
      <c r="T68" s="9"/>
      <c r="U68" s="16"/>
      <c r="V68" s="9"/>
      <c r="W68" s="12"/>
      <c r="X68" s="13"/>
      <c r="Y68" s="89" t="str">
        <f t="shared" si="18"/>
        <v/>
      </c>
      <c r="Z68" s="87">
        <f>IF(COUNTIF($E$7:E68,E68)=1,"",COUNTIF($E$7:E68,E68))</f>
        <v>0</v>
      </c>
      <c r="AA68" s="87" t="str">
        <f t="shared" si="52"/>
        <v/>
      </c>
      <c r="AC68" s="87" t="str">
        <f t="shared" si="71"/>
        <v/>
      </c>
      <c r="AD68" s="87" t="str">
        <f t="shared" si="70"/>
        <v/>
      </c>
      <c r="AE68" s="87" t="str">
        <f t="shared" si="70"/>
        <v/>
      </c>
      <c r="AF68" s="87" t="str">
        <f t="shared" si="70"/>
        <v/>
      </c>
      <c r="AG68" s="87" t="str">
        <f t="shared" si="70"/>
        <v/>
      </c>
      <c r="AH68" s="87" t="str">
        <f t="shared" si="70"/>
        <v/>
      </c>
      <c r="AI68" s="87" t="str">
        <f t="shared" si="70"/>
        <v/>
      </c>
      <c r="AJ68" s="87" t="str">
        <f t="shared" si="70"/>
        <v/>
      </c>
      <c r="AK68" s="87" t="str">
        <f t="shared" si="70"/>
        <v/>
      </c>
      <c r="AL68" s="87" t="str">
        <f t="shared" si="70"/>
        <v/>
      </c>
      <c r="AM68" s="87" t="str">
        <f t="shared" si="70"/>
        <v/>
      </c>
      <c r="AN68" s="87" t="str">
        <f t="shared" si="70"/>
        <v/>
      </c>
      <c r="AP68" s="87" t="str">
        <f t="shared" si="53"/>
        <v/>
      </c>
      <c r="AQ68" s="87" t="str">
        <f t="shared" si="54"/>
        <v/>
      </c>
      <c r="AR68" s="87" t="str">
        <f t="shared" si="55"/>
        <v/>
      </c>
      <c r="AS68" s="87" t="str">
        <f t="shared" si="56"/>
        <v/>
      </c>
      <c r="AT68" s="87" t="str">
        <f t="shared" si="57"/>
        <v/>
      </c>
      <c r="AU68" s="87" t="str">
        <f t="shared" si="58"/>
        <v/>
      </c>
      <c r="AV68" s="87" t="str">
        <f t="shared" si="59"/>
        <v/>
      </c>
      <c r="AW68" s="87" t="str">
        <f t="shared" si="60"/>
        <v/>
      </c>
      <c r="AX68" s="87" t="str">
        <f t="shared" si="61"/>
        <v/>
      </c>
      <c r="AY68" s="87" t="str">
        <f t="shared" si="62"/>
        <v/>
      </c>
      <c r="AZ68" s="87" t="str">
        <f t="shared" si="63"/>
        <v/>
      </c>
      <c r="BA68" s="87" t="str">
        <f t="shared" si="64"/>
        <v/>
      </c>
      <c r="BB68" s="90" t="str">
        <f t="shared" si="20"/>
        <v/>
      </c>
      <c r="BE68" s="87" t="str">
        <f t="shared" si="65"/>
        <v/>
      </c>
      <c r="BF68" s="87" t="str">
        <f t="shared" si="66"/>
        <v/>
      </c>
      <c r="BG68" s="87" t="str">
        <f t="shared" si="67"/>
        <v/>
      </c>
      <c r="BH68" s="87" t="str">
        <f t="shared" si="21"/>
        <v/>
      </c>
      <c r="BI68" s="87" t="str">
        <f t="shared" si="68"/>
        <v/>
      </c>
      <c r="BO68" s="87" t="str">
        <f t="shared" si="22"/>
        <v>〇</v>
      </c>
      <c r="BP68" s="87" t="str">
        <f t="shared" si="23"/>
        <v>〇</v>
      </c>
      <c r="BQ68" s="87" t="str">
        <f t="shared" si="24"/>
        <v>〇</v>
      </c>
      <c r="BR68" s="87" t="str">
        <f t="shared" si="25"/>
        <v>〇</v>
      </c>
      <c r="BS68" s="87" t="str">
        <f t="shared" si="26"/>
        <v>〇</v>
      </c>
      <c r="BT68" s="87" t="str">
        <f t="shared" si="27"/>
        <v>〇</v>
      </c>
      <c r="BU68" s="87" t="str">
        <f t="shared" si="28"/>
        <v>〇</v>
      </c>
      <c r="BV68" s="87" t="str">
        <f t="shared" si="29"/>
        <v>〇</v>
      </c>
      <c r="BW68" s="87" t="str">
        <f t="shared" si="30"/>
        <v>〇</v>
      </c>
      <c r="BX68" s="87" t="str">
        <f t="shared" si="31"/>
        <v>〇</v>
      </c>
      <c r="BY68" s="87" t="str">
        <f t="shared" si="32"/>
        <v>〇</v>
      </c>
      <c r="BZ68" s="87" t="str">
        <f t="shared" si="33"/>
        <v>〇</v>
      </c>
      <c r="CA68" s="87" t="str">
        <f t="shared" si="34"/>
        <v>〇</v>
      </c>
      <c r="CB68" s="87" t="str">
        <f t="shared" si="35"/>
        <v>〇</v>
      </c>
      <c r="CC68" s="87" t="str">
        <f t="shared" si="36"/>
        <v>〇</v>
      </c>
      <c r="CD68" s="87" t="str">
        <f t="shared" si="37"/>
        <v>〇</v>
      </c>
      <c r="CE68" s="87" t="str">
        <f t="shared" si="38"/>
        <v>〇</v>
      </c>
      <c r="CF68" s="87" t="str">
        <f t="shared" si="39"/>
        <v>〇</v>
      </c>
      <c r="CG68" s="87" t="str">
        <f t="shared" si="40"/>
        <v>〇</v>
      </c>
      <c r="CH68" s="87" t="str">
        <f t="shared" si="41"/>
        <v>〇</v>
      </c>
      <c r="CI68" s="87" t="str">
        <f t="shared" si="42"/>
        <v>〇</v>
      </c>
      <c r="CJ68" s="87" t="str">
        <f t="shared" si="43"/>
        <v>〇</v>
      </c>
      <c r="CK68" s="87" t="str">
        <f t="shared" si="44"/>
        <v>〇</v>
      </c>
      <c r="CL68" s="87" t="str">
        <f t="shared" si="45"/>
        <v>〇</v>
      </c>
      <c r="CM68" s="87" t="str">
        <f t="shared" si="46"/>
        <v>〇</v>
      </c>
      <c r="CN68" s="87" t="str">
        <f t="shared" si="47"/>
        <v>〇</v>
      </c>
      <c r="CO68" s="87" t="str">
        <f t="shared" si="48"/>
        <v>〇</v>
      </c>
      <c r="CP68" s="87" t="str">
        <f t="shared" si="49"/>
        <v>〇</v>
      </c>
      <c r="CQ68" s="87" t="str">
        <f t="shared" si="50"/>
        <v>〇</v>
      </c>
      <c r="CS68" s="476"/>
      <c r="CT68" s="476"/>
      <c r="CU68" s="476"/>
      <c r="CV68" s="476"/>
    </row>
    <row r="69" spans="1:100" s="90" customFormat="1" ht="23.15" customHeight="1">
      <c r="A69" s="2">
        <v>63</v>
      </c>
      <c r="B69" s="14"/>
      <c r="C69" s="4"/>
      <c r="D69" s="5"/>
      <c r="E69" s="3"/>
      <c r="F69" s="6"/>
      <c r="G69" s="7"/>
      <c r="H69" s="8"/>
      <c r="I69" s="8"/>
      <c r="J69" s="8"/>
      <c r="K69" s="8"/>
      <c r="L69" s="8"/>
      <c r="M69" s="8"/>
      <c r="N69" s="8"/>
      <c r="O69" s="8"/>
      <c r="P69" s="8"/>
      <c r="Q69" s="9"/>
      <c r="R69" s="10"/>
      <c r="S69" s="11"/>
      <c r="T69" s="9"/>
      <c r="U69" s="16"/>
      <c r="V69" s="9"/>
      <c r="W69" s="12"/>
      <c r="X69" s="13"/>
      <c r="Y69" s="89" t="str">
        <f t="shared" si="18"/>
        <v/>
      </c>
      <c r="Z69" s="87">
        <f>IF(COUNTIF($E$7:E69,E69)=1,"",COUNTIF($E$7:E69,E69))</f>
        <v>0</v>
      </c>
      <c r="AA69" s="87" t="str">
        <f t="shared" si="52"/>
        <v/>
      </c>
      <c r="AC69" s="87" t="str">
        <f t="shared" si="71"/>
        <v/>
      </c>
      <c r="AD69" s="87" t="str">
        <f t="shared" si="70"/>
        <v/>
      </c>
      <c r="AE69" s="87" t="str">
        <f t="shared" si="70"/>
        <v/>
      </c>
      <c r="AF69" s="87" t="str">
        <f t="shared" si="70"/>
        <v/>
      </c>
      <c r="AG69" s="87" t="str">
        <f t="shared" si="70"/>
        <v/>
      </c>
      <c r="AH69" s="87" t="str">
        <f t="shared" si="70"/>
        <v/>
      </c>
      <c r="AI69" s="87" t="str">
        <f t="shared" si="70"/>
        <v/>
      </c>
      <c r="AJ69" s="87" t="str">
        <f t="shared" si="70"/>
        <v/>
      </c>
      <c r="AK69" s="87" t="str">
        <f t="shared" si="70"/>
        <v/>
      </c>
      <c r="AL69" s="87" t="str">
        <f t="shared" si="70"/>
        <v/>
      </c>
      <c r="AM69" s="87" t="str">
        <f t="shared" si="70"/>
        <v/>
      </c>
      <c r="AN69" s="87" t="str">
        <f t="shared" si="70"/>
        <v/>
      </c>
      <c r="AP69" s="87" t="str">
        <f t="shared" si="53"/>
        <v/>
      </c>
      <c r="AQ69" s="87" t="str">
        <f t="shared" si="54"/>
        <v/>
      </c>
      <c r="AR69" s="87" t="str">
        <f t="shared" si="55"/>
        <v/>
      </c>
      <c r="AS69" s="87" t="str">
        <f t="shared" si="56"/>
        <v/>
      </c>
      <c r="AT69" s="87" t="str">
        <f t="shared" si="57"/>
        <v/>
      </c>
      <c r="AU69" s="87" t="str">
        <f t="shared" si="58"/>
        <v/>
      </c>
      <c r="AV69" s="87" t="str">
        <f t="shared" si="59"/>
        <v/>
      </c>
      <c r="AW69" s="87" t="str">
        <f t="shared" si="60"/>
        <v/>
      </c>
      <c r="AX69" s="87" t="str">
        <f t="shared" si="61"/>
        <v/>
      </c>
      <c r="AY69" s="87" t="str">
        <f t="shared" si="62"/>
        <v/>
      </c>
      <c r="AZ69" s="87" t="str">
        <f t="shared" si="63"/>
        <v/>
      </c>
      <c r="BA69" s="87" t="str">
        <f t="shared" si="64"/>
        <v/>
      </c>
      <c r="BB69" s="90" t="str">
        <f t="shared" si="20"/>
        <v/>
      </c>
      <c r="BE69" s="87" t="str">
        <f t="shared" si="65"/>
        <v/>
      </c>
      <c r="BF69" s="87" t="str">
        <f t="shared" si="66"/>
        <v/>
      </c>
      <c r="BG69" s="87" t="str">
        <f t="shared" si="67"/>
        <v/>
      </c>
      <c r="BH69" s="87" t="str">
        <f t="shared" si="21"/>
        <v/>
      </c>
      <c r="BI69" s="87" t="str">
        <f t="shared" si="68"/>
        <v/>
      </c>
      <c r="BO69" s="87" t="str">
        <f t="shared" si="22"/>
        <v>〇</v>
      </c>
      <c r="BP69" s="87" t="str">
        <f t="shared" si="23"/>
        <v>〇</v>
      </c>
      <c r="BQ69" s="87" t="str">
        <f t="shared" si="24"/>
        <v>〇</v>
      </c>
      <c r="BR69" s="87" t="str">
        <f t="shared" si="25"/>
        <v>〇</v>
      </c>
      <c r="BS69" s="87" t="str">
        <f t="shared" si="26"/>
        <v>〇</v>
      </c>
      <c r="BT69" s="87" t="str">
        <f t="shared" si="27"/>
        <v>〇</v>
      </c>
      <c r="BU69" s="87" t="str">
        <f t="shared" si="28"/>
        <v>〇</v>
      </c>
      <c r="BV69" s="87" t="str">
        <f t="shared" si="29"/>
        <v>〇</v>
      </c>
      <c r="BW69" s="87" t="str">
        <f t="shared" si="30"/>
        <v>〇</v>
      </c>
      <c r="BX69" s="87" t="str">
        <f t="shared" si="31"/>
        <v>〇</v>
      </c>
      <c r="BY69" s="87" t="str">
        <f t="shared" si="32"/>
        <v>〇</v>
      </c>
      <c r="BZ69" s="87" t="str">
        <f t="shared" si="33"/>
        <v>〇</v>
      </c>
      <c r="CA69" s="87" t="str">
        <f t="shared" si="34"/>
        <v>〇</v>
      </c>
      <c r="CB69" s="87" t="str">
        <f t="shared" si="35"/>
        <v>〇</v>
      </c>
      <c r="CC69" s="87" t="str">
        <f t="shared" si="36"/>
        <v>〇</v>
      </c>
      <c r="CD69" s="87" t="str">
        <f t="shared" si="37"/>
        <v>〇</v>
      </c>
      <c r="CE69" s="87" t="str">
        <f t="shared" si="38"/>
        <v>〇</v>
      </c>
      <c r="CF69" s="87" t="str">
        <f t="shared" si="39"/>
        <v>〇</v>
      </c>
      <c r="CG69" s="87" t="str">
        <f t="shared" si="40"/>
        <v>〇</v>
      </c>
      <c r="CH69" s="87" t="str">
        <f t="shared" si="41"/>
        <v>〇</v>
      </c>
      <c r="CI69" s="87" t="str">
        <f t="shared" si="42"/>
        <v>〇</v>
      </c>
      <c r="CJ69" s="87" t="str">
        <f t="shared" si="43"/>
        <v>〇</v>
      </c>
      <c r="CK69" s="87" t="str">
        <f t="shared" si="44"/>
        <v>〇</v>
      </c>
      <c r="CL69" s="87" t="str">
        <f t="shared" si="45"/>
        <v>〇</v>
      </c>
      <c r="CM69" s="87" t="str">
        <f t="shared" si="46"/>
        <v>〇</v>
      </c>
      <c r="CN69" s="87" t="str">
        <f t="shared" si="47"/>
        <v>〇</v>
      </c>
      <c r="CO69" s="87" t="str">
        <f t="shared" si="48"/>
        <v>〇</v>
      </c>
      <c r="CP69" s="87" t="str">
        <f t="shared" si="49"/>
        <v>〇</v>
      </c>
      <c r="CQ69" s="87" t="str">
        <f t="shared" si="50"/>
        <v>〇</v>
      </c>
      <c r="CS69" s="476"/>
      <c r="CT69" s="476"/>
      <c r="CU69" s="476"/>
      <c r="CV69" s="476"/>
    </row>
    <row r="70" spans="1:100" s="90" customFormat="1" ht="23.15" customHeight="1">
      <c r="A70" s="2">
        <v>64</v>
      </c>
      <c r="B70" s="14"/>
      <c r="C70" s="4"/>
      <c r="D70" s="5"/>
      <c r="E70" s="3"/>
      <c r="F70" s="6"/>
      <c r="G70" s="7"/>
      <c r="H70" s="8"/>
      <c r="I70" s="8"/>
      <c r="J70" s="8"/>
      <c r="K70" s="8"/>
      <c r="L70" s="8"/>
      <c r="M70" s="8"/>
      <c r="N70" s="8"/>
      <c r="O70" s="8"/>
      <c r="P70" s="8"/>
      <c r="Q70" s="9"/>
      <c r="R70" s="10"/>
      <c r="S70" s="11"/>
      <c r="T70" s="9"/>
      <c r="U70" s="16"/>
      <c r="V70" s="9"/>
      <c r="W70" s="12"/>
      <c r="X70" s="13"/>
      <c r="Y70" s="89" t="str">
        <f t="shared" si="18"/>
        <v/>
      </c>
      <c r="Z70" s="87">
        <f>IF(COUNTIF($E$7:E70,E70)=1,"",COUNTIF($E$7:E70,E70))</f>
        <v>0</v>
      </c>
      <c r="AA70" s="87" t="str">
        <f t="shared" si="52"/>
        <v/>
      </c>
      <c r="AC70" s="87" t="str">
        <f t="shared" si="71"/>
        <v/>
      </c>
      <c r="AD70" s="87" t="str">
        <f t="shared" si="70"/>
        <v/>
      </c>
      <c r="AE70" s="87" t="str">
        <f t="shared" si="70"/>
        <v/>
      </c>
      <c r="AF70" s="87" t="str">
        <f t="shared" si="70"/>
        <v/>
      </c>
      <c r="AG70" s="87" t="str">
        <f t="shared" si="70"/>
        <v/>
      </c>
      <c r="AH70" s="87" t="str">
        <f t="shared" si="70"/>
        <v/>
      </c>
      <c r="AI70" s="87" t="str">
        <f t="shared" si="70"/>
        <v/>
      </c>
      <c r="AJ70" s="87" t="str">
        <f t="shared" si="70"/>
        <v/>
      </c>
      <c r="AK70" s="87" t="str">
        <f t="shared" si="70"/>
        <v/>
      </c>
      <c r="AL70" s="87" t="str">
        <f t="shared" si="70"/>
        <v/>
      </c>
      <c r="AM70" s="87" t="str">
        <f t="shared" si="70"/>
        <v/>
      </c>
      <c r="AN70" s="87" t="str">
        <f t="shared" si="70"/>
        <v/>
      </c>
      <c r="AP70" s="87" t="str">
        <f t="shared" si="53"/>
        <v/>
      </c>
      <c r="AQ70" s="87" t="str">
        <f t="shared" si="54"/>
        <v/>
      </c>
      <c r="AR70" s="87" t="str">
        <f t="shared" si="55"/>
        <v/>
      </c>
      <c r="AS70" s="87" t="str">
        <f t="shared" si="56"/>
        <v/>
      </c>
      <c r="AT70" s="87" t="str">
        <f t="shared" si="57"/>
        <v/>
      </c>
      <c r="AU70" s="87" t="str">
        <f t="shared" si="58"/>
        <v/>
      </c>
      <c r="AV70" s="87" t="str">
        <f t="shared" si="59"/>
        <v/>
      </c>
      <c r="AW70" s="87" t="str">
        <f t="shared" si="60"/>
        <v/>
      </c>
      <c r="AX70" s="87" t="str">
        <f t="shared" si="61"/>
        <v/>
      </c>
      <c r="AY70" s="87" t="str">
        <f t="shared" si="62"/>
        <v/>
      </c>
      <c r="AZ70" s="87" t="str">
        <f t="shared" si="63"/>
        <v/>
      </c>
      <c r="BA70" s="87" t="str">
        <f t="shared" si="64"/>
        <v/>
      </c>
      <c r="BB70" s="90" t="str">
        <f t="shared" si="20"/>
        <v/>
      </c>
      <c r="BE70" s="87" t="str">
        <f t="shared" si="65"/>
        <v/>
      </c>
      <c r="BF70" s="87" t="str">
        <f t="shared" si="66"/>
        <v/>
      </c>
      <c r="BG70" s="87" t="str">
        <f t="shared" si="67"/>
        <v/>
      </c>
      <c r="BH70" s="87" t="str">
        <f t="shared" si="21"/>
        <v/>
      </c>
      <c r="BI70" s="87" t="str">
        <f t="shared" si="68"/>
        <v/>
      </c>
      <c r="BO70" s="87" t="str">
        <f t="shared" si="22"/>
        <v>〇</v>
      </c>
      <c r="BP70" s="87" t="str">
        <f t="shared" si="23"/>
        <v>〇</v>
      </c>
      <c r="BQ70" s="87" t="str">
        <f t="shared" si="24"/>
        <v>〇</v>
      </c>
      <c r="BR70" s="87" t="str">
        <f t="shared" si="25"/>
        <v>〇</v>
      </c>
      <c r="BS70" s="87" t="str">
        <f t="shared" si="26"/>
        <v>〇</v>
      </c>
      <c r="BT70" s="87" t="str">
        <f t="shared" si="27"/>
        <v>〇</v>
      </c>
      <c r="BU70" s="87" t="str">
        <f t="shared" si="28"/>
        <v>〇</v>
      </c>
      <c r="BV70" s="87" t="str">
        <f t="shared" si="29"/>
        <v>〇</v>
      </c>
      <c r="BW70" s="87" t="str">
        <f t="shared" si="30"/>
        <v>〇</v>
      </c>
      <c r="BX70" s="87" t="str">
        <f t="shared" si="31"/>
        <v>〇</v>
      </c>
      <c r="BY70" s="87" t="str">
        <f t="shared" si="32"/>
        <v>〇</v>
      </c>
      <c r="BZ70" s="87" t="str">
        <f t="shared" si="33"/>
        <v>〇</v>
      </c>
      <c r="CA70" s="87" t="str">
        <f t="shared" si="34"/>
        <v>〇</v>
      </c>
      <c r="CB70" s="87" t="str">
        <f t="shared" si="35"/>
        <v>〇</v>
      </c>
      <c r="CC70" s="87" t="str">
        <f t="shared" si="36"/>
        <v>〇</v>
      </c>
      <c r="CD70" s="87" t="str">
        <f t="shared" si="37"/>
        <v>〇</v>
      </c>
      <c r="CE70" s="87" t="str">
        <f t="shared" si="38"/>
        <v>〇</v>
      </c>
      <c r="CF70" s="87" t="str">
        <f t="shared" si="39"/>
        <v>〇</v>
      </c>
      <c r="CG70" s="87" t="str">
        <f t="shared" si="40"/>
        <v>〇</v>
      </c>
      <c r="CH70" s="87" t="str">
        <f t="shared" si="41"/>
        <v>〇</v>
      </c>
      <c r="CI70" s="87" t="str">
        <f t="shared" si="42"/>
        <v>〇</v>
      </c>
      <c r="CJ70" s="87" t="str">
        <f t="shared" si="43"/>
        <v>〇</v>
      </c>
      <c r="CK70" s="87" t="str">
        <f t="shared" si="44"/>
        <v>〇</v>
      </c>
      <c r="CL70" s="87" t="str">
        <f t="shared" si="45"/>
        <v>〇</v>
      </c>
      <c r="CM70" s="87" t="str">
        <f t="shared" si="46"/>
        <v>〇</v>
      </c>
      <c r="CN70" s="87" t="str">
        <f t="shared" si="47"/>
        <v>〇</v>
      </c>
      <c r="CO70" s="87" t="str">
        <f t="shared" si="48"/>
        <v>〇</v>
      </c>
      <c r="CP70" s="87" t="str">
        <f t="shared" si="49"/>
        <v>〇</v>
      </c>
      <c r="CQ70" s="87" t="str">
        <f t="shared" si="50"/>
        <v>〇</v>
      </c>
      <c r="CS70" s="476"/>
      <c r="CT70" s="476"/>
      <c r="CU70" s="476"/>
      <c r="CV70" s="476"/>
    </row>
    <row r="71" spans="1:100" s="90" customFormat="1" ht="23.15" customHeight="1">
      <c r="A71" s="2">
        <v>65</v>
      </c>
      <c r="B71" s="14"/>
      <c r="C71" s="4"/>
      <c r="D71" s="5"/>
      <c r="E71" s="3"/>
      <c r="F71" s="6"/>
      <c r="G71" s="7"/>
      <c r="H71" s="8"/>
      <c r="I71" s="8"/>
      <c r="J71" s="8"/>
      <c r="K71" s="8"/>
      <c r="L71" s="8"/>
      <c r="M71" s="8"/>
      <c r="N71" s="8"/>
      <c r="O71" s="8"/>
      <c r="P71" s="8"/>
      <c r="Q71" s="9"/>
      <c r="R71" s="10"/>
      <c r="S71" s="11"/>
      <c r="T71" s="9"/>
      <c r="U71" s="16"/>
      <c r="V71" s="9"/>
      <c r="W71" s="12"/>
      <c r="X71" s="13"/>
      <c r="Y71" s="89" t="str">
        <f t="shared" si="18"/>
        <v/>
      </c>
      <c r="Z71" s="87">
        <f>IF(COUNTIF($E$7:E71,E71)=1,"",COUNTIF($E$7:E71,E71))</f>
        <v>0</v>
      </c>
      <c r="AA71" s="87" t="str">
        <f t="shared" ref="AA71:AA107" si="72">IFERROR(IF(OR(W71=$S$119,W71=$S$122),W71,INDEX($B$144:$C$149,MATCH(BB71,$B$144:$B$149,0),2)),"")</f>
        <v/>
      </c>
      <c r="AC71" s="87" t="str">
        <f t="shared" si="71"/>
        <v/>
      </c>
      <c r="AD71" s="87" t="str">
        <f t="shared" si="70"/>
        <v/>
      </c>
      <c r="AE71" s="87" t="str">
        <f t="shared" si="70"/>
        <v/>
      </c>
      <c r="AF71" s="87" t="str">
        <f t="shared" si="70"/>
        <v/>
      </c>
      <c r="AG71" s="87" t="str">
        <f t="shared" si="70"/>
        <v/>
      </c>
      <c r="AH71" s="87" t="str">
        <f t="shared" si="70"/>
        <v/>
      </c>
      <c r="AI71" s="87" t="str">
        <f t="shared" si="70"/>
        <v/>
      </c>
      <c r="AJ71" s="87" t="str">
        <f t="shared" si="70"/>
        <v/>
      </c>
      <c r="AK71" s="87" t="str">
        <f t="shared" si="70"/>
        <v/>
      </c>
      <c r="AL71" s="87" t="str">
        <f t="shared" si="70"/>
        <v/>
      </c>
      <c r="AM71" s="87" t="str">
        <f t="shared" si="70"/>
        <v/>
      </c>
      <c r="AN71" s="87" t="str">
        <f t="shared" si="70"/>
        <v/>
      </c>
      <c r="AP71" s="87" t="str">
        <f t="shared" ref="AP71:AP106" si="73">IF(AND($H71="有",AC71="○"),"A",IF(AC71="●","B",IF(AND(AC71="○",OR($L71="有",$M71="有",$N71="有")),"C",IF(AND(AC71="○",$O71="有"),"D",IF(OR(AND(AC71="○",$P71="有"),AND(AC71="○",$W71=$S$129,$O71="")),"E",IF(AND(AC71="○",OR($W71=$S$132,$W71=$S$133,$W71=$S$131,$W71=$S$139)),"F",""))))))</f>
        <v/>
      </c>
      <c r="AQ71" s="87" t="str">
        <f t="shared" ref="AQ71:AQ106" si="74">IF(AND($H71="有",AD71="○"),"A",IF(AD71="●","B",IF(AND(AD71="○",OR($L71="有",$M71="有",$N71="有")),"C",IF(AND(AD71="○",$O71="有"),"D",IF(OR(AND(AD71="○",$P71="有"),AND(AD71="○",$W71=$S$129,$O71="")),"E",IF(AND(AD71="○",OR($W71=$S$132,$W71=$S$133,$W71=$S$131,$W71=$S$139)),"F",""))))))</f>
        <v/>
      </c>
      <c r="AR71" s="87" t="str">
        <f t="shared" ref="AR71:AR106" si="75">IF(AND($H71="有",AE71="○"),"A",IF(AE71="●","B",IF(AND(AE71="○",OR($L71="有",$M71="有",$N71="有")),"C",IF(AND(AE71="○",$O71="有"),"D",IF(OR(AND(AE71="○",$P71="有"),AND(AE71="○",$W71=$S$129,$O71="")),"E",IF(AND(AE71="○",OR($W71=$S$132,$W71=$S$133,$W71=$S$131,$W71=$S$139)),"F",""))))))</f>
        <v/>
      </c>
      <c r="AS71" s="87" t="str">
        <f t="shared" ref="AS71:AS106" si="76">IF(AND($H71="有",AF71="○"),"A",IF(AF71="●","B",IF(AND(AF71="○",OR($L71="有",$M71="有",$N71="有")),"C",IF(AND(AF71="○",$O71="有"),"D",IF(OR(AND(AF71="○",$P71="有"),AND(AF71="○",$W71=$S$129,$O71="")),"E",IF(AND(AF71="○",OR($W71=$S$132,$W71=$S$133,$W71=$S$131,$W71=$S$139)),"F",""))))))</f>
        <v/>
      </c>
      <c r="AT71" s="87" t="str">
        <f t="shared" ref="AT71:AT106" si="77">IF(AND($H71="有",AG71="○"),"A",IF(AG71="●","B",IF(AND(AG71="○",OR($L71="有",$M71="有",$N71="有")),"C",IF(AND(AG71="○",$O71="有"),"D",IF(OR(AND(AG71="○",$P71="有"),AND(AG71="○",$W71=$S$129,$O71="")),"E",IF(AND(AG71="○",OR($W71=$S$132,$W71=$S$133,$W71=$S$131,$W71=$S$139)),"F",""))))))</f>
        <v/>
      </c>
      <c r="AU71" s="87" t="str">
        <f t="shared" ref="AU71:AU106" si="78">IF(AND($H71="有",AH71="○"),"A",IF(AH71="●","B",IF(AND(AH71="○",OR($L71="有",$M71="有",$N71="有")),"C",IF(AND(AH71="○",$O71="有"),"D",IF(OR(AND(AH71="○",$P71="有"),AND(AH71="○",$W71=$S$129,$O71="")),"E",IF(AND(AH71="○",OR($W71=$S$132,$W71=$S$133,$W71=$S$131,$W71=$S$139)),"F",""))))))</f>
        <v/>
      </c>
      <c r="AV71" s="87" t="str">
        <f t="shared" ref="AV71:AV106" si="79">IF(AND($H71="有",AI71="○"),"A",IF(AI71="●","B",IF(AND(AI71="○",OR($L71="有",$M71="有",$N71="有")),"C",IF(AND(AI71="○",$O71="有"),"D",IF(OR(AND(AI71="○",$P71="有"),AND(AI71="○",$W71=$S$129,$O71="")),"E",IF(AND(AI71="○",OR($W71=$S$132,$W71=$S$133,$W71=$S$131,$W71=$S$139)),"F",""))))))</f>
        <v/>
      </c>
      <c r="AW71" s="87" t="str">
        <f t="shared" ref="AW71:AW106" si="80">IF(AND($H71="有",AJ71="○"),"A",IF(AJ71="●","B",IF(AND(AJ71="○",OR($L71="有",$M71="有",$N71="有")),"C",IF(AND(AJ71="○",$O71="有"),"D",IF(OR(AND(AJ71="○",$P71="有"),AND(AJ71="○",$W71=$S$129,$O71="")),"E",IF(AND(AJ71="○",OR($W71=$S$132,$W71=$S$133,$W71=$S$131,$W71=$S$139)),"F",""))))))</f>
        <v/>
      </c>
      <c r="AX71" s="87" t="str">
        <f t="shared" ref="AX71:AX106" si="81">IF(AND($H71="有",AK71="○"),"A",IF(AK71="●","B",IF(AND(AK71="○",OR($L71="有",$M71="有",$N71="有")),"C",IF(AND(AK71="○",$O71="有"),"D",IF(OR(AND(AK71="○",$P71="有"),AND(AK71="○",$W71=$S$129,$O71="")),"E",IF(AND(AK71="○",OR($W71=$S$132,$W71=$S$133,$W71=$S$131,$W71=$S$139)),"F",""))))))</f>
        <v/>
      </c>
      <c r="AY71" s="87" t="str">
        <f t="shared" ref="AY71:AY106" si="82">IF(AND($H71="有",AL71="○"),"A",IF(AL71="●","B",IF(AND(AL71="○",OR($L71="有",$M71="有",$N71="有")),"C",IF(AND(AL71="○",$O71="有"),"D",IF(OR(AND(AL71="○",$P71="有"),AND(AL71="○",$W71=$S$129,$O71="")),"E",IF(AND(AL71="○",OR($W71=$S$132,$W71=$S$133,$W71=$S$131,$W71=$S$139)),"F",""))))))</f>
        <v/>
      </c>
      <c r="AZ71" s="87" t="str">
        <f t="shared" ref="AZ71:AZ106" si="83">IF(AND($H71="有",AM71="○"),"A",IF(AM71="●","B",IF(AND(AM71="○",OR($L71="有",$M71="有",$N71="有")),"C",IF(AND(AM71="○",$O71="有"),"D",IF(OR(AND(AM71="○",$P71="有"),AND(AM71="○",$W71=$S$129,$O71="")),"E",IF(AND(AM71="○",OR($W71=$S$132,$W71=$S$133,$W71=$S$131,$W71=$S$139)),"F",""))))))</f>
        <v/>
      </c>
      <c r="BA71" s="87" t="str">
        <f t="shared" ref="BA71:BA106" si="84">IF(AND($H71="有",AN71="○"),"A",IF(AN71="●","B",IF(AND(AN71="○",OR($L71="有",$M71="有",$N71="有")),"C",IF(AND(AN71="○",$O71="有"),"D",IF(OR(AND(AN71="○",$P71="有"),AND(AN71="○",$W71=$S$129,$O71="")),"E",IF(AND(AN71="○",OR($W71=$S$132,$W71=$S$133,$W71=$S$131,$W71=$S$139)),"F",""))))))</f>
        <v/>
      </c>
      <c r="BB71" s="90" t="str">
        <f t="shared" si="20"/>
        <v/>
      </c>
      <c r="BE71" s="87" t="str">
        <f t="shared" ref="BE71:BE106" si="85">IF(B71="園長","園長",IF(C71="正","正規職員",IF(AND(C71="パート",D71="常"),"常勤的非常勤",IF(AND(C71="パート",D71="非"),"短時間非常勤",IF(AND(C71="嘱託等",D71="常"),"嘱託常勤",IF(AND(C71="嘱託等",D71="非"),"嘱託非常勤",""))))))</f>
        <v/>
      </c>
      <c r="BF71" s="87" t="str">
        <f t="shared" ref="BF71:BF106" si="86">IF(AND(OR(I71="有",J71="有",K71="有"),R71&lt;&gt;""),"○","")</f>
        <v/>
      </c>
      <c r="BG71" s="87" t="str">
        <f t="shared" ref="BG71:BG102" si="87">IF(AND(BF71="",R71&lt;&gt;""),"○","")</f>
        <v/>
      </c>
      <c r="BH71" s="87" t="str">
        <f t="shared" si="21"/>
        <v/>
      </c>
      <c r="BI71" s="87" t="str">
        <f t="shared" ref="BI71:BI106" si="88">IF($S71="","",IF($R71&lt;&gt;"",IF($S71&gt;=$BI$5,"○",""),""))</f>
        <v/>
      </c>
      <c r="BO71" s="87" t="str">
        <f t="shared" si="22"/>
        <v>〇</v>
      </c>
      <c r="BP71" s="87" t="str">
        <f t="shared" si="23"/>
        <v>〇</v>
      </c>
      <c r="BQ71" s="87" t="str">
        <f t="shared" si="24"/>
        <v>〇</v>
      </c>
      <c r="BR71" s="87" t="str">
        <f t="shared" si="25"/>
        <v>〇</v>
      </c>
      <c r="BS71" s="87" t="str">
        <f t="shared" si="26"/>
        <v>〇</v>
      </c>
      <c r="BT71" s="87" t="str">
        <f t="shared" si="27"/>
        <v>〇</v>
      </c>
      <c r="BU71" s="87" t="str">
        <f t="shared" si="28"/>
        <v>〇</v>
      </c>
      <c r="BV71" s="87" t="str">
        <f t="shared" si="29"/>
        <v>〇</v>
      </c>
      <c r="BW71" s="87" t="str">
        <f t="shared" si="30"/>
        <v>〇</v>
      </c>
      <c r="BX71" s="87" t="str">
        <f t="shared" si="31"/>
        <v>〇</v>
      </c>
      <c r="BY71" s="87" t="str">
        <f t="shared" si="32"/>
        <v>〇</v>
      </c>
      <c r="BZ71" s="87" t="str">
        <f t="shared" si="33"/>
        <v>〇</v>
      </c>
      <c r="CA71" s="87" t="str">
        <f t="shared" si="34"/>
        <v>〇</v>
      </c>
      <c r="CB71" s="87" t="str">
        <f t="shared" si="35"/>
        <v>〇</v>
      </c>
      <c r="CC71" s="87" t="str">
        <f t="shared" si="36"/>
        <v>〇</v>
      </c>
      <c r="CD71" s="87" t="str">
        <f t="shared" si="37"/>
        <v>〇</v>
      </c>
      <c r="CE71" s="87" t="str">
        <f t="shared" si="38"/>
        <v>〇</v>
      </c>
      <c r="CF71" s="87" t="str">
        <f t="shared" si="39"/>
        <v>〇</v>
      </c>
      <c r="CG71" s="87" t="str">
        <f t="shared" si="40"/>
        <v>〇</v>
      </c>
      <c r="CH71" s="87" t="str">
        <f t="shared" si="41"/>
        <v>〇</v>
      </c>
      <c r="CI71" s="87" t="str">
        <f t="shared" si="42"/>
        <v>〇</v>
      </c>
      <c r="CJ71" s="87" t="str">
        <f t="shared" si="43"/>
        <v>〇</v>
      </c>
      <c r="CK71" s="87" t="str">
        <f t="shared" si="44"/>
        <v>〇</v>
      </c>
      <c r="CL71" s="87" t="str">
        <f t="shared" si="45"/>
        <v>〇</v>
      </c>
      <c r="CM71" s="87" t="str">
        <f t="shared" si="46"/>
        <v>〇</v>
      </c>
      <c r="CN71" s="87" t="str">
        <f t="shared" si="47"/>
        <v>〇</v>
      </c>
      <c r="CO71" s="87" t="str">
        <f t="shared" si="48"/>
        <v>〇</v>
      </c>
      <c r="CP71" s="87" t="str">
        <f t="shared" si="49"/>
        <v>〇</v>
      </c>
      <c r="CQ71" s="87" t="str">
        <f t="shared" si="50"/>
        <v>〇</v>
      </c>
      <c r="CS71" s="476"/>
      <c r="CT71" s="476"/>
      <c r="CU71" s="476"/>
      <c r="CV71" s="476"/>
    </row>
    <row r="72" spans="1:100" s="90" customFormat="1" ht="23.15" customHeight="1">
      <c r="A72" s="2">
        <v>66</v>
      </c>
      <c r="B72" s="14"/>
      <c r="C72" s="4"/>
      <c r="D72" s="5"/>
      <c r="E72" s="3"/>
      <c r="F72" s="6"/>
      <c r="G72" s="7"/>
      <c r="H72" s="8"/>
      <c r="I72" s="8"/>
      <c r="J72" s="8"/>
      <c r="K72" s="8"/>
      <c r="L72" s="8"/>
      <c r="M72" s="8"/>
      <c r="N72" s="8"/>
      <c r="O72" s="8"/>
      <c r="P72" s="8"/>
      <c r="Q72" s="9"/>
      <c r="R72" s="10"/>
      <c r="S72" s="11"/>
      <c r="T72" s="9"/>
      <c r="U72" s="16"/>
      <c r="V72" s="9"/>
      <c r="W72" s="12"/>
      <c r="X72" s="13"/>
      <c r="Y72" s="89" t="str">
        <f t="shared" ref="Y72:Y106" si="89">IF(E72="","",CONCATENATE(E72,Z72," (",AA72,")"))</f>
        <v/>
      </c>
      <c r="Z72" s="87">
        <f>IF(COUNTIF($E$7:E72,E72)=1,"",COUNTIF($E$7:E72,E72))</f>
        <v>0</v>
      </c>
      <c r="AA72" s="87" t="str">
        <f t="shared" si="72"/>
        <v/>
      </c>
      <c r="AC72" s="87" t="str">
        <f t="shared" si="71"/>
        <v/>
      </c>
      <c r="AD72" s="87" t="str">
        <f t="shared" si="70"/>
        <v/>
      </c>
      <c r="AE72" s="87" t="str">
        <f t="shared" si="70"/>
        <v/>
      </c>
      <c r="AF72" s="87" t="str">
        <f t="shared" si="70"/>
        <v/>
      </c>
      <c r="AG72" s="87" t="str">
        <f t="shared" si="70"/>
        <v/>
      </c>
      <c r="AH72" s="87" t="str">
        <f t="shared" si="70"/>
        <v/>
      </c>
      <c r="AI72" s="87" t="str">
        <f t="shared" si="70"/>
        <v/>
      </c>
      <c r="AJ72" s="87" t="str">
        <f t="shared" si="70"/>
        <v/>
      </c>
      <c r="AK72" s="87" t="str">
        <f t="shared" si="70"/>
        <v/>
      </c>
      <c r="AL72" s="87" t="str">
        <f t="shared" si="70"/>
        <v/>
      </c>
      <c r="AM72" s="87" t="str">
        <f t="shared" si="70"/>
        <v/>
      </c>
      <c r="AN72" s="87" t="str">
        <f t="shared" si="70"/>
        <v/>
      </c>
      <c r="AP72" s="87" t="str">
        <f t="shared" si="73"/>
        <v/>
      </c>
      <c r="AQ72" s="87" t="str">
        <f t="shared" si="74"/>
        <v/>
      </c>
      <c r="AR72" s="87" t="str">
        <f t="shared" si="75"/>
        <v/>
      </c>
      <c r="AS72" s="87" t="str">
        <f t="shared" si="76"/>
        <v/>
      </c>
      <c r="AT72" s="87" t="str">
        <f t="shared" si="77"/>
        <v/>
      </c>
      <c r="AU72" s="87" t="str">
        <f t="shared" si="78"/>
        <v/>
      </c>
      <c r="AV72" s="87" t="str">
        <f t="shared" si="79"/>
        <v/>
      </c>
      <c r="AW72" s="87" t="str">
        <f t="shared" si="80"/>
        <v/>
      </c>
      <c r="AX72" s="87" t="str">
        <f t="shared" si="81"/>
        <v/>
      </c>
      <c r="AY72" s="87" t="str">
        <f t="shared" si="82"/>
        <v/>
      </c>
      <c r="AZ72" s="87" t="str">
        <f t="shared" si="83"/>
        <v/>
      </c>
      <c r="BA72" s="87" t="str">
        <f t="shared" si="84"/>
        <v/>
      </c>
      <c r="BB72" s="90" t="str">
        <f t="shared" ref="BB72:BB106" si="90">IF(BA72="",IF(AZ72="",IF(AY72="",IF(AX72="",IF(AW72="",IF(AV72="",IF(AU72="",IF(AT72="",IF(AS72="",IF(AR72="",IF(AQ72="",AP72,AQ72),AR72),AS72),AT72),AU72),AV72),AW72),AX72),AY72),AZ72),BA72)</f>
        <v/>
      </c>
      <c r="BE72" s="87" t="str">
        <f t="shared" si="85"/>
        <v/>
      </c>
      <c r="BF72" s="87" t="str">
        <f t="shared" si="86"/>
        <v/>
      </c>
      <c r="BG72" s="87" t="str">
        <f t="shared" si="87"/>
        <v/>
      </c>
      <c r="BH72" s="87" t="str">
        <f t="shared" ref="BH72:BH106" si="91">IF(OR(BF72="○",BG72="○"),"○","")</f>
        <v/>
      </c>
      <c r="BI72" s="87" t="str">
        <f t="shared" si="88"/>
        <v/>
      </c>
      <c r="BO72" s="87" t="str">
        <f t="shared" ref="BO72:BO106" si="92">IF(AND(LEN(E72)&gt;0, LEN(B72)=0), "×", "〇")</f>
        <v>〇</v>
      </c>
      <c r="BP72" s="87" t="str">
        <f t="shared" ref="BP72:BP106" si="93">IF(AND(LEN(E72)&gt;0, LEN(C72)=0), "×", "〇")</f>
        <v>〇</v>
      </c>
      <c r="BQ72" s="87" t="str">
        <f t="shared" ref="BQ72:BQ106" si="94">IF(AND(LEN(E72)&gt;0, LEN(D72)=0), "×", "〇")</f>
        <v>〇</v>
      </c>
      <c r="BR72" s="87" t="str">
        <f t="shared" ref="BR72:BR106" si="95">IF(AND(LEN(B72)&gt;0, LEN(E72)=0), "×", "〇")</f>
        <v>〇</v>
      </c>
      <c r="BS72" s="87" t="str">
        <f t="shared" ref="BS72:BS106" si="96">IF(AND(OR(B72="主幹保育教諭等",B72="指導保育教諭等",B72="保育教諭等"), H72&lt;&gt;"有"), "×", "〇")</f>
        <v>〇</v>
      </c>
      <c r="BT72" s="87" t="str">
        <f t="shared" ref="BT72:BT106" si="97">IF(AND(B72="保健師",L72&lt;&gt;"有"), "×", "〇")</f>
        <v>〇</v>
      </c>
      <c r="BU72" s="87" t="str">
        <f t="shared" ref="BU72:BU106" si="98">IF(AND(B72="看護師",M72&lt;&gt;"有"), "×", "〇")</f>
        <v>〇</v>
      </c>
      <c r="BV72" s="87" t="str">
        <f t="shared" ref="BV72:BV106" si="99">IF(AND(B72="准看護師",N72&lt;&gt;"有"), "×", "〇")</f>
        <v>〇</v>
      </c>
      <c r="BW72" s="87" t="str">
        <f t="shared" ref="BW72:BW106" si="100">IF(AND(B72="栄養士", O72&lt;&gt;"有"), "×", "〇")</f>
        <v>〇</v>
      </c>
      <c r="BX72" s="87" t="str">
        <f t="shared" ref="BX72:BX106" si="101">IF(AND(B72="要件緩和対象",R72=""), "×", "〇")</f>
        <v>〇</v>
      </c>
      <c r="BY72" s="87" t="str">
        <f t="shared" ref="BY72:BY106" si="102">IF(AND(LEN(E72)&gt;0, LEN(S72)=0), "×", "〇")</f>
        <v>〇</v>
      </c>
      <c r="BZ72" s="87" t="str">
        <f t="shared" ref="BZ72:BZ106" si="103">IF(AND(LEN(E72)&gt;0, LEN(T72)=0), "×", "〇")</f>
        <v>〇</v>
      </c>
      <c r="CA72" s="87" t="str">
        <f t="shared" ref="CA72:CA106" si="104">IF(AND(LEN(V72)&gt;0, LEN(U72)=0), "×", "〇")</f>
        <v>〇</v>
      </c>
      <c r="CB72" s="87" t="str">
        <f t="shared" ref="CB72:CB106" si="105">IF(AND(LEN(U72)&gt;0, LEN(V72)=0), "×", "〇")</f>
        <v>〇</v>
      </c>
      <c r="CC72" s="87" t="str">
        <f t="shared" ref="CC72:CC106" si="106">IF(AND(LEN(E72)&gt;0, LEN(W72)=0), "×", "〇")</f>
        <v>〇</v>
      </c>
      <c r="CD72" s="87" t="str">
        <f t="shared" ref="CD72:CD106" si="107">IF(AND(B72="園長", W72&lt;&gt;"園長"), "×", "〇")</f>
        <v>〇</v>
      </c>
      <c r="CE72" s="87" t="str">
        <f t="shared" ref="CE72:CE106" si="108">IF(AND(B72="副園長", W72&lt;&gt;"副園長"), "×", "〇")</f>
        <v>〇</v>
      </c>
      <c r="CF72" s="87" t="str">
        <f t="shared" ref="CF72:CF106" si="109">IF(AND(B72="教頭", W72&lt;&gt;"教頭"), "×", "〇")</f>
        <v>〇</v>
      </c>
      <c r="CG72" s="87" t="str">
        <f t="shared" ref="CG72:CG106" si="110">IF(AND(B72="主任保育士", W72&lt;&gt;"主任"), "×", "〇")</f>
        <v>〇</v>
      </c>
      <c r="CH72" s="87" t="str">
        <f t="shared" ref="CH72:CH106" si="111">IF(U72="","〇",IF(U72&lt;S72,"×","〇"))</f>
        <v>〇</v>
      </c>
      <c r="CI72" s="87" t="str">
        <f t="shared" ref="CI72:CI106" si="112">IF(AND(H72="有", NOT(OR(B72="園長",B72="副園長",B72="教頭",B72="主幹保育教諭等",B72="指導保育教諭等",B72="保育教諭等"))), "×", "〇")</f>
        <v>〇</v>
      </c>
      <c r="CJ72" s="87" t="str">
        <f t="shared" ref="CJ72:CJ106" si="113">IF(AND(L72="有", NOT(B72="保健師")), "×", "〇")</f>
        <v>〇</v>
      </c>
      <c r="CK72" s="87" t="str">
        <f t="shared" ref="CK72:CK106" si="114">IF(AND(M72="有", NOT(B72="看護師")), "×", "〇")</f>
        <v>〇</v>
      </c>
      <c r="CL72" s="87" t="str">
        <f t="shared" ref="CL72:CL106" si="115">IF(AND(N72="有", NOT(B72="准看護師")), "×", "〇")</f>
        <v>〇</v>
      </c>
      <c r="CM72" s="87" t="str">
        <f t="shared" ref="CM72:CM106" si="116">IF(AND(O72="有", NOT(B72="栄養士")), "×", "〇")</f>
        <v>〇</v>
      </c>
      <c r="CN72" s="87" t="str">
        <f t="shared" ref="CN72:CN106" si="117">IF(AND(P72="有", NOT(B72="調理員")), "×", "〇")</f>
        <v>〇</v>
      </c>
      <c r="CO72" s="87" t="str">
        <f t="shared" ref="CO72:CO106" si="118">IF(AND(B72="その他",X72=""), "×", "〇")</f>
        <v>〇</v>
      </c>
      <c r="CP72" s="87" t="str">
        <f t="shared" ref="CP72:CP106" si="119">IF(S72&gt;=EDATE($AN$6,1),"×","〇")</f>
        <v>〇</v>
      </c>
      <c r="CQ72" s="87" t="str">
        <f t="shared" ref="CQ72:CQ106" si="120">IF(U72&gt;=EDATE($AN$6,1),"×","〇")</f>
        <v>〇</v>
      </c>
      <c r="CS72" s="476"/>
      <c r="CT72" s="476"/>
      <c r="CU72" s="476"/>
      <c r="CV72" s="476"/>
    </row>
    <row r="73" spans="1:100" s="90" customFormat="1" ht="23.15" customHeight="1">
      <c r="A73" s="2">
        <v>67</v>
      </c>
      <c r="B73" s="14"/>
      <c r="C73" s="4"/>
      <c r="D73" s="5"/>
      <c r="E73" s="3"/>
      <c r="F73" s="6"/>
      <c r="G73" s="7"/>
      <c r="H73" s="8"/>
      <c r="I73" s="8"/>
      <c r="J73" s="8"/>
      <c r="K73" s="8"/>
      <c r="L73" s="8"/>
      <c r="M73" s="8"/>
      <c r="N73" s="8"/>
      <c r="O73" s="8"/>
      <c r="P73" s="8"/>
      <c r="Q73" s="9"/>
      <c r="R73" s="10"/>
      <c r="S73" s="11"/>
      <c r="T73" s="9"/>
      <c r="U73" s="16"/>
      <c r="V73" s="9"/>
      <c r="W73" s="12"/>
      <c r="X73" s="13"/>
      <c r="Y73" s="89" t="str">
        <f t="shared" si="89"/>
        <v/>
      </c>
      <c r="Z73" s="87">
        <f>IF(COUNTIF($E$7:E73,E73)=1,"",COUNTIF($E$7:E73,E73))</f>
        <v>0</v>
      </c>
      <c r="AA73" s="87" t="str">
        <f t="shared" si="72"/>
        <v/>
      </c>
      <c r="AC73" s="87" t="str">
        <f t="shared" si="71"/>
        <v/>
      </c>
      <c r="AD73" s="87" t="str">
        <f t="shared" si="70"/>
        <v/>
      </c>
      <c r="AE73" s="87" t="str">
        <f t="shared" si="70"/>
        <v/>
      </c>
      <c r="AF73" s="87" t="str">
        <f t="shared" si="70"/>
        <v/>
      </c>
      <c r="AG73" s="87" t="str">
        <f t="shared" si="70"/>
        <v/>
      </c>
      <c r="AH73" s="87" t="str">
        <f t="shared" si="70"/>
        <v/>
      </c>
      <c r="AI73" s="87" t="str">
        <f t="shared" si="70"/>
        <v/>
      </c>
      <c r="AJ73" s="87" t="str">
        <f t="shared" si="70"/>
        <v/>
      </c>
      <c r="AK73" s="87" t="str">
        <f t="shared" si="70"/>
        <v/>
      </c>
      <c r="AL73" s="87" t="str">
        <f t="shared" si="70"/>
        <v/>
      </c>
      <c r="AM73" s="87" t="str">
        <f t="shared" si="70"/>
        <v/>
      </c>
      <c r="AN73" s="87" t="str">
        <f t="shared" si="70"/>
        <v/>
      </c>
      <c r="AP73" s="87" t="str">
        <f t="shared" si="73"/>
        <v/>
      </c>
      <c r="AQ73" s="87" t="str">
        <f t="shared" si="74"/>
        <v/>
      </c>
      <c r="AR73" s="87" t="str">
        <f t="shared" si="75"/>
        <v/>
      </c>
      <c r="AS73" s="87" t="str">
        <f t="shared" si="76"/>
        <v/>
      </c>
      <c r="AT73" s="87" t="str">
        <f t="shared" si="77"/>
        <v/>
      </c>
      <c r="AU73" s="87" t="str">
        <f t="shared" si="78"/>
        <v/>
      </c>
      <c r="AV73" s="87" t="str">
        <f t="shared" si="79"/>
        <v/>
      </c>
      <c r="AW73" s="87" t="str">
        <f t="shared" si="80"/>
        <v/>
      </c>
      <c r="AX73" s="87" t="str">
        <f t="shared" si="81"/>
        <v/>
      </c>
      <c r="AY73" s="87" t="str">
        <f t="shared" si="82"/>
        <v/>
      </c>
      <c r="AZ73" s="87" t="str">
        <f t="shared" si="83"/>
        <v/>
      </c>
      <c r="BA73" s="87" t="str">
        <f t="shared" si="84"/>
        <v/>
      </c>
      <c r="BB73" s="90" t="str">
        <f t="shared" si="90"/>
        <v/>
      </c>
      <c r="BE73" s="87" t="str">
        <f t="shared" si="85"/>
        <v/>
      </c>
      <c r="BF73" s="87" t="str">
        <f t="shared" si="86"/>
        <v/>
      </c>
      <c r="BG73" s="87" t="str">
        <f t="shared" si="87"/>
        <v/>
      </c>
      <c r="BH73" s="87" t="str">
        <f t="shared" si="91"/>
        <v/>
      </c>
      <c r="BI73" s="87" t="str">
        <f t="shared" si="88"/>
        <v/>
      </c>
      <c r="BO73" s="87" t="str">
        <f t="shared" si="92"/>
        <v>〇</v>
      </c>
      <c r="BP73" s="87" t="str">
        <f t="shared" si="93"/>
        <v>〇</v>
      </c>
      <c r="BQ73" s="87" t="str">
        <f t="shared" si="94"/>
        <v>〇</v>
      </c>
      <c r="BR73" s="87" t="str">
        <f t="shared" si="95"/>
        <v>〇</v>
      </c>
      <c r="BS73" s="87" t="str">
        <f t="shared" si="96"/>
        <v>〇</v>
      </c>
      <c r="BT73" s="87" t="str">
        <f t="shared" si="97"/>
        <v>〇</v>
      </c>
      <c r="BU73" s="87" t="str">
        <f t="shared" si="98"/>
        <v>〇</v>
      </c>
      <c r="BV73" s="87" t="str">
        <f t="shared" si="99"/>
        <v>〇</v>
      </c>
      <c r="BW73" s="87" t="str">
        <f t="shared" si="100"/>
        <v>〇</v>
      </c>
      <c r="BX73" s="87" t="str">
        <f t="shared" si="101"/>
        <v>〇</v>
      </c>
      <c r="BY73" s="87" t="str">
        <f t="shared" si="102"/>
        <v>〇</v>
      </c>
      <c r="BZ73" s="87" t="str">
        <f t="shared" si="103"/>
        <v>〇</v>
      </c>
      <c r="CA73" s="87" t="str">
        <f t="shared" si="104"/>
        <v>〇</v>
      </c>
      <c r="CB73" s="87" t="str">
        <f t="shared" si="105"/>
        <v>〇</v>
      </c>
      <c r="CC73" s="87" t="str">
        <f t="shared" si="106"/>
        <v>〇</v>
      </c>
      <c r="CD73" s="87" t="str">
        <f t="shared" si="107"/>
        <v>〇</v>
      </c>
      <c r="CE73" s="87" t="str">
        <f t="shared" si="108"/>
        <v>〇</v>
      </c>
      <c r="CF73" s="87" t="str">
        <f t="shared" si="109"/>
        <v>〇</v>
      </c>
      <c r="CG73" s="87" t="str">
        <f t="shared" si="110"/>
        <v>〇</v>
      </c>
      <c r="CH73" s="87" t="str">
        <f t="shared" si="111"/>
        <v>〇</v>
      </c>
      <c r="CI73" s="87" t="str">
        <f t="shared" si="112"/>
        <v>〇</v>
      </c>
      <c r="CJ73" s="87" t="str">
        <f t="shared" si="113"/>
        <v>〇</v>
      </c>
      <c r="CK73" s="87" t="str">
        <f t="shared" si="114"/>
        <v>〇</v>
      </c>
      <c r="CL73" s="87" t="str">
        <f t="shared" si="115"/>
        <v>〇</v>
      </c>
      <c r="CM73" s="87" t="str">
        <f t="shared" si="116"/>
        <v>〇</v>
      </c>
      <c r="CN73" s="87" t="str">
        <f t="shared" si="117"/>
        <v>〇</v>
      </c>
      <c r="CO73" s="87" t="str">
        <f t="shared" si="118"/>
        <v>〇</v>
      </c>
      <c r="CP73" s="87" t="str">
        <f t="shared" si="119"/>
        <v>〇</v>
      </c>
      <c r="CQ73" s="87" t="str">
        <f t="shared" si="120"/>
        <v>〇</v>
      </c>
      <c r="CS73" s="476"/>
      <c r="CT73" s="476"/>
      <c r="CU73" s="476"/>
      <c r="CV73" s="476"/>
    </row>
    <row r="74" spans="1:100" s="90" customFormat="1" ht="23.15" customHeight="1">
      <c r="A74" s="2">
        <v>68</v>
      </c>
      <c r="B74" s="14"/>
      <c r="C74" s="4"/>
      <c r="D74" s="5"/>
      <c r="E74" s="3"/>
      <c r="F74" s="6"/>
      <c r="G74" s="7"/>
      <c r="H74" s="8"/>
      <c r="I74" s="8"/>
      <c r="J74" s="8"/>
      <c r="K74" s="8"/>
      <c r="L74" s="8"/>
      <c r="M74" s="8"/>
      <c r="N74" s="8"/>
      <c r="O74" s="8"/>
      <c r="P74" s="8"/>
      <c r="Q74" s="9"/>
      <c r="R74" s="10"/>
      <c r="S74" s="11"/>
      <c r="T74" s="9"/>
      <c r="U74" s="16"/>
      <c r="V74" s="9"/>
      <c r="W74" s="12"/>
      <c r="X74" s="13"/>
      <c r="Y74" s="89" t="str">
        <f t="shared" si="89"/>
        <v/>
      </c>
      <c r="Z74" s="87">
        <f>IF(COUNTIF($E$7:E74,E74)=1,"",COUNTIF($E$7:E74,E74))</f>
        <v>0</v>
      </c>
      <c r="AA74" s="87" t="str">
        <f t="shared" si="72"/>
        <v/>
      </c>
      <c r="AC74" s="87" t="str">
        <f t="shared" si="71"/>
        <v/>
      </c>
      <c r="AD74" s="87" t="str">
        <f t="shared" si="70"/>
        <v/>
      </c>
      <c r="AE74" s="87" t="str">
        <f t="shared" si="70"/>
        <v/>
      </c>
      <c r="AF74" s="87" t="str">
        <f t="shared" si="70"/>
        <v/>
      </c>
      <c r="AG74" s="87" t="str">
        <f t="shared" si="70"/>
        <v/>
      </c>
      <c r="AH74" s="87" t="str">
        <f t="shared" si="70"/>
        <v/>
      </c>
      <c r="AI74" s="87" t="str">
        <f t="shared" si="70"/>
        <v/>
      </c>
      <c r="AJ74" s="87" t="str">
        <f t="shared" si="70"/>
        <v/>
      </c>
      <c r="AK74" s="87" t="str">
        <f t="shared" si="70"/>
        <v/>
      </c>
      <c r="AL74" s="87" t="str">
        <f t="shared" si="70"/>
        <v/>
      </c>
      <c r="AM74" s="87" t="str">
        <f t="shared" si="70"/>
        <v/>
      </c>
      <c r="AN74" s="87" t="str">
        <f t="shared" si="70"/>
        <v/>
      </c>
      <c r="AP74" s="87" t="str">
        <f t="shared" si="73"/>
        <v/>
      </c>
      <c r="AQ74" s="87" t="str">
        <f t="shared" si="74"/>
        <v/>
      </c>
      <c r="AR74" s="87" t="str">
        <f t="shared" si="75"/>
        <v/>
      </c>
      <c r="AS74" s="87" t="str">
        <f t="shared" si="76"/>
        <v/>
      </c>
      <c r="AT74" s="87" t="str">
        <f t="shared" si="77"/>
        <v/>
      </c>
      <c r="AU74" s="87" t="str">
        <f t="shared" si="78"/>
        <v/>
      </c>
      <c r="AV74" s="87" t="str">
        <f t="shared" si="79"/>
        <v/>
      </c>
      <c r="AW74" s="87" t="str">
        <f t="shared" si="80"/>
        <v/>
      </c>
      <c r="AX74" s="87" t="str">
        <f t="shared" si="81"/>
        <v/>
      </c>
      <c r="AY74" s="87" t="str">
        <f t="shared" si="82"/>
        <v/>
      </c>
      <c r="AZ74" s="87" t="str">
        <f t="shared" si="83"/>
        <v/>
      </c>
      <c r="BA74" s="87" t="str">
        <f t="shared" si="84"/>
        <v/>
      </c>
      <c r="BB74" s="90" t="str">
        <f t="shared" si="90"/>
        <v/>
      </c>
      <c r="BE74" s="87" t="str">
        <f t="shared" si="85"/>
        <v/>
      </c>
      <c r="BF74" s="87" t="str">
        <f t="shared" si="86"/>
        <v/>
      </c>
      <c r="BG74" s="87" t="str">
        <f t="shared" si="87"/>
        <v/>
      </c>
      <c r="BH74" s="87" t="str">
        <f t="shared" si="91"/>
        <v/>
      </c>
      <c r="BI74" s="87" t="str">
        <f t="shared" si="88"/>
        <v/>
      </c>
      <c r="BO74" s="87" t="str">
        <f t="shared" si="92"/>
        <v>〇</v>
      </c>
      <c r="BP74" s="87" t="str">
        <f t="shared" si="93"/>
        <v>〇</v>
      </c>
      <c r="BQ74" s="87" t="str">
        <f t="shared" si="94"/>
        <v>〇</v>
      </c>
      <c r="BR74" s="87" t="str">
        <f t="shared" si="95"/>
        <v>〇</v>
      </c>
      <c r="BS74" s="87" t="str">
        <f t="shared" si="96"/>
        <v>〇</v>
      </c>
      <c r="BT74" s="87" t="str">
        <f t="shared" si="97"/>
        <v>〇</v>
      </c>
      <c r="BU74" s="87" t="str">
        <f t="shared" si="98"/>
        <v>〇</v>
      </c>
      <c r="BV74" s="87" t="str">
        <f t="shared" si="99"/>
        <v>〇</v>
      </c>
      <c r="BW74" s="87" t="str">
        <f t="shared" si="100"/>
        <v>〇</v>
      </c>
      <c r="BX74" s="87" t="str">
        <f t="shared" si="101"/>
        <v>〇</v>
      </c>
      <c r="BY74" s="87" t="str">
        <f t="shared" si="102"/>
        <v>〇</v>
      </c>
      <c r="BZ74" s="87" t="str">
        <f t="shared" si="103"/>
        <v>〇</v>
      </c>
      <c r="CA74" s="87" t="str">
        <f t="shared" si="104"/>
        <v>〇</v>
      </c>
      <c r="CB74" s="87" t="str">
        <f t="shared" si="105"/>
        <v>〇</v>
      </c>
      <c r="CC74" s="87" t="str">
        <f t="shared" si="106"/>
        <v>〇</v>
      </c>
      <c r="CD74" s="87" t="str">
        <f t="shared" si="107"/>
        <v>〇</v>
      </c>
      <c r="CE74" s="87" t="str">
        <f t="shared" si="108"/>
        <v>〇</v>
      </c>
      <c r="CF74" s="87" t="str">
        <f t="shared" si="109"/>
        <v>〇</v>
      </c>
      <c r="CG74" s="87" t="str">
        <f t="shared" si="110"/>
        <v>〇</v>
      </c>
      <c r="CH74" s="87" t="str">
        <f t="shared" si="111"/>
        <v>〇</v>
      </c>
      <c r="CI74" s="87" t="str">
        <f t="shared" si="112"/>
        <v>〇</v>
      </c>
      <c r="CJ74" s="87" t="str">
        <f t="shared" si="113"/>
        <v>〇</v>
      </c>
      <c r="CK74" s="87" t="str">
        <f t="shared" si="114"/>
        <v>〇</v>
      </c>
      <c r="CL74" s="87" t="str">
        <f t="shared" si="115"/>
        <v>〇</v>
      </c>
      <c r="CM74" s="87" t="str">
        <f t="shared" si="116"/>
        <v>〇</v>
      </c>
      <c r="CN74" s="87" t="str">
        <f t="shared" si="117"/>
        <v>〇</v>
      </c>
      <c r="CO74" s="87" t="str">
        <f t="shared" si="118"/>
        <v>〇</v>
      </c>
      <c r="CP74" s="87" t="str">
        <f t="shared" si="119"/>
        <v>〇</v>
      </c>
      <c r="CQ74" s="87" t="str">
        <f t="shared" si="120"/>
        <v>〇</v>
      </c>
      <c r="CS74" s="476"/>
      <c r="CT74" s="476"/>
      <c r="CU74" s="476"/>
      <c r="CV74" s="476"/>
    </row>
    <row r="75" spans="1:100" s="90" customFormat="1" ht="23.15" customHeight="1">
      <c r="A75" s="2">
        <v>69</v>
      </c>
      <c r="B75" s="14"/>
      <c r="C75" s="4"/>
      <c r="D75" s="5"/>
      <c r="E75" s="3"/>
      <c r="F75" s="6"/>
      <c r="G75" s="7"/>
      <c r="H75" s="8"/>
      <c r="I75" s="8"/>
      <c r="J75" s="8"/>
      <c r="K75" s="8"/>
      <c r="L75" s="8"/>
      <c r="M75" s="8"/>
      <c r="N75" s="8"/>
      <c r="O75" s="8"/>
      <c r="P75" s="8"/>
      <c r="Q75" s="9"/>
      <c r="R75" s="10"/>
      <c r="S75" s="11"/>
      <c r="T75" s="9"/>
      <c r="U75" s="16"/>
      <c r="V75" s="9"/>
      <c r="W75" s="12"/>
      <c r="X75" s="13"/>
      <c r="Y75" s="89" t="str">
        <f t="shared" si="89"/>
        <v/>
      </c>
      <c r="Z75" s="87">
        <f>IF(COUNTIF($E$7:E75,E75)=1,"",COUNTIF($E$7:E75,E75))</f>
        <v>0</v>
      </c>
      <c r="AA75" s="87" t="str">
        <f t="shared" si="72"/>
        <v/>
      </c>
      <c r="AC75" s="87" t="str">
        <f t="shared" si="71"/>
        <v/>
      </c>
      <c r="AD75" s="87" t="str">
        <f t="shared" si="70"/>
        <v/>
      </c>
      <c r="AE75" s="87" t="str">
        <f t="shared" si="70"/>
        <v/>
      </c>
      <c r="AF75" s="87" t="str">
        <f t="shared" si="70"/>
        <v/>
      </c>
      <c r="AG75" s="87" t="str">
        <f t="shared" si="70"/>
        <v/>
      </c>
      <c r="AH75" s="87" t="str">
        <f t="shared" si="70"/>
        <v/>
      </c>
      <c r="AI75" s="87" t="str">
        <f t="shared" si="70"/>
        <v/>
      </c>
      <c r="AJ75" s="87" t="str">
        <f t="shared" si="70"/>
        <v/>
      </c>
      <c r="AK75" s="87" t="str">
        <f t="shared" si="70"/>
        <v/>
      </c>
      <c r="AL75" s="87" t="str">
        <f t="shared" si="70"/>
        <v/>
      </c>
      <c r="AM75" s="87" t="str">
        <f t="shared" si="70"/>
        <v/>
      </c>
      <c r="AN75" s="87" t="str">
        <f t="shared" si="70"/>
        <v/>
      </c>
      <c r="AP75" s="87" t="str">
        <f t="shared" si="73"/>
        <v/>
      </c>
      <c r="AQ75" s="87" t="str">
        <f t="shared" si="74"/>
        <v/>
      </c>
      <c r="AR75" s="87" t="str">
        <f t="shared" si="75"/>
        <v/>
      </c>
      <c r="AS75" s="87" t="str">
        <f t="shared" si="76"/>
        <v/>
      </c>
      <c r="AT75" s="87" t="str">
        <f t="shared" si="77"/>
        <v/>
      </c>
      <c r="AU75" s="87" t="str">
        <f t="shared" si="78"/>
        <v/>
      </c>
      <c r="AV75" s="87" t="str">
        <f t="shared" si="79"/>
        <v/>
      </c>
      <c r="AW75" s="87" t="str">
        <f t="shared" si="80"/>
        <v/>
      </c>
      <c r="AX75" s="87" t="str">
        <f t="shared" si="81"/>
        <v/>
      </c>
      <c r="AY75" s="87" t="str">
        <f t="shared" si="82"/>
        <v/>
      </c>
      <c r="AZ75" s="87" t="str">
        <f t="shared" si="83"/>
        <v/>
      </c>
      <c r="BA75" s="87" t="str">
        <f t="shared" si="84"/>
        <v/>
      </c>
      <c r="BB75" s="90" t="str">
        <f t="shared" si="90"/>
        <v/>
      </c>
      <c r="BE75" s="87" t="str">
        <f t="shared" si="85"/>
        <v/>
      </c>
      <c r="BF75" s="87" t="str">
        <f t="shared" si="86"/>
        <v/>
      </c>
      <c r="BG75" s="87" t="str">
        <f t="shared" si="87"/>
        <v/>
      </c>
      <c r="BH75" s="87" t="str">
        <f t="shared" si="91"/>
        <v/>
      </c>
      <c r="BI75" s="87" t="str">
        <f t="shared" si="88"/>
        <v/>
      </c>
      <c r="BO75" s="87" t="str">
        <f t="shared" si="92"/>
        <v>〇</v>
      </c>
      <c r="BP75" s="87" t="str">
        <f t="shared" si="93"/>
        <v>〇</v>
      </c>
      <c r="BQ75" s="87" t="str">
        <f t="shared" si="94"/>
        <v>〇</v>
      </c>
      <c r="BR75" s="87" t="str">
        <f t="shared" si="95"/>
        <v>〇</v>
      </c>
      <c r="BS75" s="87" t="str">
        <f t="shared" si="96"/>
        <v>〇</v>
      </c>
      <c r="BT75" s="87" t="str">
        <f t="shared" si="97"/>
        <v>〇</v>
      </c>
      <c r="BU75" s="87" t="str">
        <f t="shared" si="98"/>
        <v>〇</v>
      </c>
      <c r="BV75" s="87" t="str">
        <f t="shared" si="99"/>
        <v>〇</v>
      </c>
      <c r="BW75" s="87" t="str">
        <f t="shared" si="100"/>
        <v>〇</v>
      </c>
      <c r="BX75" s="87" t="str">
        <f t="shared" si="101"/>
        <v>〇</v>
      </c>
      <c r="BY75" s="87" t="str">
        <f t="shared" si="102"/>
        <v>〇</v>
      </c>
      <c r="BZ75" s="87" t="str">
        <f t="shared" si="103"/>
        <v>〇</v>
      </c>
      <c r="CA75" s="87" t="str">
        <f t="shared" si="104"/>
        <v>〇</v>
      </c>
      <c r="CB75" s="87" t="str">
        <f t="shared" si="105"/>
        <v>〇</v>
      </c>
      <c r="CC75" s="87" t="str">
        <f t="shared" si="106"/>
        <v>〇</v>
      </c>
      <c r="CD75" s="87" t="str">
        <f t="shared" si="107"/>
        <v>〇</v>
      </c>
      <c r="CE75" s="87" t="str">
        <f t="shared" si="108"/>
        <v>〇</v>
      </c>
      <c r="CF75" s="87" t="str">
        <f t="shared" si="109"/>
        <v>〇</v>
      </c>
      <c r="CG75" s="87" t="str">
        <f t="shared" si="110"/>
        <v>〇</v>
      </c>
      <c r="CH75" s="87" t="str">
        <f t="shared" si="111"/>
        <v>〇</v>
      </c>
      <c r="CI75" s="87" t="str">
        <f t="shared" si="112"/>
        <v>〇</v>
      </c>
      <c r="CJ75" s="87" t="str">
        <f t="shared" si="113"/>
        <v>〇</v>
      </c>
      <c r="CK75" s="87" t="str">
        <f t="shared" si="114"/>
        <v>〇</v>
      </c>
      <c r="CL75" s="87" t="str">
        <f t="shared" si="115"/>
        <v>〇</v>
      </c>
      <c r="CM75" s="87" t="str">
        <f t="shared" si="116"/>
        <v>〇</v>
      </c>
      <c r="CN75" s="87" t="str">
        <f t="shared" si="117"/>
        <v>〇</v>
      </c>
      <c r="CO75" s="87" t="str">
        <f t="shared" si="118"/>
        <v>〇</v>
      </c>
      <c r="CP75" s="87" t="str">
        <f t="shared" si="119"/>
        <v>〇</v>
      </c>
      <c r="CQ75" s="87" t="str">
        <f t="shared" si="120"/>
        <v>〇</v>
      </c>
      <c r="CS75" s="476"/>
      <c r="CT75" s="476"/>
      <c r="CU75" s="476"/>
      <c r="CV75" s="476"/>
    </row>
    <row r="76" spans="1:100" s="90" customFormat="1" ht="23.15" customHeight="1">
      <c r="A76" s="2">
        <v>70</v>
      </c>
      <c r="B76" s="14"/>
      <c r="C76" s="4"/>
      <c r="D76" s="5"/>
      <c r="E76" s="3"/>
      <c r="F76" s="6"/>
      <c r="G76" s="7"/>
      <c r="H76" s="8"/>
      <c r="I76" s="8"/>
      <c r="J76" s="8"/>
      <c r="K76" s="8"/>
      <c r="L76" s="8"/>
      <c r="M76" s="8"/>
      <c r="N76" s="8"/>
      <c r="O76" s="8"/>
      <c r="P76" s="8"/>
      <c r="Q76" s="9"/>
      <c r="R76" s="10"/>
      <c r="S76" s="11"/>
      <c r="T76" s="9"/>
      <c r="U76" s="16"/>
      <c r="V76" s="9"/>
      <c r="W76" s="12"/>
      <c r="X76" s="13" t="str">
        <f t="shared" ref="X76:X107" si="121">IF(W76=$S$138,"→内容を記載してください","")</f>
        <v/>
      </c>
      <c r="Y76" s="89" t="str">
        <f t="shared" si="89"/>
        <v/>
      </c>
      <c r="Z76" s="87">
        <f>IF(COUNTIF($E$7:E76,E76)=1,"",COUNTIF($E$7:E76,E76))</f>
        <v>0</v>
      </c>
      <c r="AA76" s="87" t="str">
        <f t="shared" si="72"/>
        <v/>
      </c>
      <c r="AC76" s="87" t="str">
        <f t="shared" si="71"/>
        <v/>
      </c>
      <c r="AD76" s="87" t="str">
        <f t="shared" si="70"/>
        <v/>
      </c>
      <c r="AE76" s="87" t="str">
        <f t="shared" si="70"/>
        <v/>
      </c>
      <c r="AF76" s="87" t="str">
        <f t="shared" si="70"/>
        <v/>
      </c>
      <c r="AG76" s="87" t="str">
        <f t="shared" si="70"/>
        <v/>
      </c>
      <c r="AH76" s="87" t="str">
        <f t="shared" si="70"/>
        <v/>
      </c>
      <c r="AI76" s="87" t="str">
        <f t="shared" si="70"/>
        <v/>
      </c>
      <c r="AJ76" s="87" t="str">
        <f t="shared" si="70"/>
        <v/>
      </c>
      <c r="AK76" s="87" t="str">
        <f t="shared" si="70"/>
        <v/>
      </c>
      <c r="AL76" s="87" t="str">
        <f t="shared" si="70"/>
        <v/>
      </c>
      <c r="AM76" s="87" t="str">
        <f t="shared" si="70"/>
        <v/>
      </c>
      <c r="AN76" s="87" t="str">
        <f t="shared" si="70"/>
        <v/>
      </c>
      <c r="AP76" s="87" t="str">
        <f t="shared" si="73"/>
        <v/>
      </c>
      <c r="AQ76" s="87" t="str">
        <f t="shared" si="74"/>
        <v/>
      </c>
      <c r="AR76" s="87" t="str">
        <f t="shared" si="75"/>
        <v/>
      </c>
      <c r="AS76" s="87" t="str">
        <f t="shared" si="76"/>
        <v/>
      </c>
      <c r="AT76" s="87" t="str">
        <f t="shared" si="77"/>
        <v/>
      </c>
      <c r="AU76" s="87" t="str">
        <f t="shared" si="78"/>
        <v/>
      </c>
      <c r="AV76" s="87" t="str">
        <f t="shared" si="79"/>
        <v/>
      </c>
      <c r="AW76" s="87" t="str">
        <f t="shared" si="80"/>
        <v/>
      </c>
      <c r="AX76" s="87" t="str">
        <f t="shared" si="81"/>
        <v/>
      </c>
      <c r="AY76" s="87" t="str">
        <f t="shared" si="82"/>
        <v/>
      </c>
      <c r="AZ76" s="87" t="str">
        <f t="shared" si="83"/>
        <v/>
      </c>
      <c r="BA76" s="87" t="str">
        <f t="shared" si="84"/>
        <v/>
      </c>
      <c r="BB76" s="90" t="str">
        <f t="shared" si="90"/>
        <v/>
      </c>
      <c r="BE76" s="87" t="str">
        <f t="shared" si="85"/>
        <v/>
      </c>
      <c r="BF76" s="87" t="str">
        <f t="shared" si="86"/>
        <v/>
      </c>
      <c r="BG76" s="87" t="str">
        <f t="shared" si="87"/>
        <v/>
      </c>
      <c r="BH76" s="87" t="str">
        <f t="shared" si="91"/>
        <v/>
      </c>
      <c r="BI76" s="87" t="str">
        <f t="shared" si="88"/>
        <v/>
      </c>
      <c r="BO76" s="87" t="str">
        <f t="shared" si="92"/>
        <v>〇</v>
      </c>
      <c r="BP76" s="87" t="str">
        <f t="shared" si="93"/>
        <v>〇</v>
      </c>
      <c r="BQ76" s="87" t="str">
        <f t="shared" si="94"/>
        <v>〇</v>
      </c>
      <c r="BR76" s="87" t="str">
        <f t="shared" si="95"/>
        <v>〇</v>
      </c>
      <c r="BS76" s="87" t="str">
        <f t="shared" si="96"/>
        <v>〇</v>
      </c>
      <c r="BT76" s="87" t="str">
        <f t="shared" si="97"/>
        <v>〇</v>
      </c>
      <c r="BU76" s="87" t="str">
        <f t="shared" si="98"/>
        <v>〇</v>
      </c>
      <c r="BV76" s="87" t="str">
        <f t="shared" si="99"/>
        <v>〇</v>
      </c>
      <c r="BW76" s="87" t="str">
        <f t="shared" si="100"/>
        <v>〇</v>
      </c>
      <c r="BX76" s="87" t="str">
        <f t="shared" si="101"/>
        <v>〇</v>
      </c>
      <c r="BY76" s="87" t="str">
        <f t="shared" si="102"/>
        <v>〇</v>
      </c>
      <c r="BZ76" s="87" t="str">
        <f t="shared" si="103"/>
        <v>〇</v>
      </c>
      <c r="CA76" s="87" t="str">
        <f t="shared" si="104"/>
        <v>〇</v>
      </c>
      <c r="CB76" s="87" t="str">
        <f t="shared" si="105"/>
        <v>〇</v>
      </c>
      <c r="CC76" s="87" t="str">
        <f t="shared" si="106"/>
        <v>〇</v>
      </c>
      <c r="CD76" s="87" t="str">
        <f t="shared" si="107"/>
        <v>〇</v>
      </c>
      <c r="CE76" s="87" t="str">
        <f t="shared" si="108"/>
        <v>〇</v>
      </c>
      <c r="CF76" s="87" t="str">
        <f t="shared" si="109"/>
        <v>〇</v>
      </c>
      <c r="CG76" s="87" t="str">
        <f t="shared" si="110"/>
        <v>〇</v>
      </c>
      <c r="CH76" s="87" t="str">
        <f t="shared" si="111"/>
        <v>〇</v>
      </c>
      <c r="CI76" s="87" t="str">
        <f t="shared" si="112"/>
        <v>〇</v>
      </c>
      <c r="CJ76" s="87" t="str">
        <f t="shared" si="113"/>
        <v>〇</v>
      </c>
      <c r="CK76" s="87" t="str">
        <f t="shared" si="114"/>
        <v>〇</v>
      </c>
      <c r="CL76" s="87" t="str">
        <f t="shared" si="115"/>
        <v>〇</v>
      </c>
      <c r="CM76" s="87" t="str">
        <f t="shared" si="116"/>
        <v>〇</v>
      </c>
      <c r="CN76" s="87" t="str">
        <f t="shared" si="117"/>
        <v>〇</v>
      </c>
      <c r="CO76" s="87" t="str">
        <f t="shared" si="118"/>
        <v>〇</v>
      </c>
      <c r="CP76" s="87" t="str">
        <f t="shared" si="119"/>
        <v>〇</v>
      </c>
      <c r="CQ76" s="87" t="str">
        <f t="shared" si="120"/>
        <v>〇</v>
      </c>
      <c r="CS76" s="476"/>
      <c r="CT76" s="476"/>
      <c r="CU76" s="476"/>
      <c r="CV76" s="476"/>
    </row>
    <row r="77" spans="1:100" s="90" customFormat="1" ht="23.15" customHeight="1">
      <c r="A77" s="2">
        <v>71</v>
      </c>
      <c r="B77" s="14"/>
      <c r="C77" s="4"/>
      <c r="D77" s="5"/>
      <c r="E77" s="3"/>
      <c r="F77" s="6"/>
      <c r="G77" s="7"/>
      <c r="H77" s="8"/>
      <c r="I77" s="8"/>
      <c r="J77" s="8"/>
      <c r="K77" s="8"/>
      <c r="L77" s="8"/>
      <c r="M77" s="8"/>
      <c r="N77" s="8"/>
      <c r="O77" s="8"/>
      <c r="P77" s="8"/>
      <c r="Q77" s="9"/>
      <c r="R77" s="10"/>
      <c r="S77" s="11"/>
      <c r="T77" s="9"/>
      <c r="U77" s="16"/>
      <c r="V77" s="9"/>
      <c r="W77" s="12"/>
      <c r="X77" s="13" t="str">
        <f t="shared" si="121"/>
        <v/>
      </c>
      <c r="Y77" s="89" t="str">
        <f t="shared" si="89"/>
        <v/>
      </c>
      <c r="Z77" s="87">
        <f>IF(COUNTIF($E$7:E77,E77)=1,"",COUNTIF($E$7:E77,E77))</f>
        <v>0</v>
      </c>
      <c r="AA77" s="87" t="str">
        <f t="shared" si="72"/>
        <v/>
      </c>
      <c r="AC77" s="87" t="str">
        <f t="shared" si="71"/>
        <v/>
      </c>
      <c r="AD77" s="87" t="str">
        <f t="shared" si="70"/>
        <v/>
      </c>
      <c r="AE77" s="87" t="str">
        <f t="shared" si="70"/>
        <v/>
      </c>
      <c r="AF77" s="87" t="str">
        <f t="shared" si="70"/>
        <v/>
      </c>
      <c r="AG77" s="87" t="str">
        <f t="shared" si="70"/>
        <v/>
      </c>
      <c r="AH77" s="87" t="str">
        <f t="shared" si="70"/>
        <v/>
      </c>
      <c r="AI77" s="87" t="str">
        <f t="shared" si="70"/>
        <v/>
      </c>
      <c r="AJ77" s="87" t="str">
        <f t="shared" si="70"/>
        <v/>
      </c>
      <c r="AK77" s="87" t="str">
        <f t="shared" si="70"/>
        <v/>
      </c>
      <c r="AL77" s="87" t="str">
        <f t="shared" si="70"/>
        <v/>
      </c>
      <c r="AM77" s="87" t="str">
        <f t="shared" si="70"/>
        <v/>
      </c>
      <c r="AN77" s="87" t="str">
        <f t="shared" si="70"/>
        <v/>
      </c>
      <c r="AP77" s="87" t="str">
        <f t="shared" si="73"/>
        <v/>
      </c>
      <c r="AQ77" s="87" t="str">
        <f t="shared" si="74"/>
        <v/>
      </c>
      <c r="AR77" s="87" t="str">
        <f t="shared" si="75"/>
        <v/>
      </c>
      <c r="AS77" s="87" t="str">
        <f t="shared" si="76"/>
        <v/>
      </c>
      <c r="AT77" s="87" t="str">
        <f t="shared" si="77"/>
        <v/>
      </c>
      <c r="AU77" s="87" t="str">
        <f t="shared" si="78"/>
        <v/>
      </c>
      <c r="AV77" s="87" t="str">
        <f t="shared" si="79"/>
        <v/>
      </c>
      <c r="AW77" s="87" t="str">
        <f t="shared" si="80"/>
        <v/>
      </c>
      <c r="AX77" s="87" t="str">
        <f t="shared" si="81"/>
        <v/>
      </c>
      <c r="AY77" s="87" t="str">
        <f t="shared" si="82"/>
        <v/>
      </c>
      <c r="AZ77" s="87" t="str">
        <f t="shared" si="83"/>
        <v/>
      </c>
      <c r="BA77" s="87" t="str">
        <f t="shared" si="84"/>
        <v/>
      </c>
      <c r="BB77" s="90" t="str">
        <f t="shared" si="90"/>
        <v/>
      </c>
      <c r="BE77" s="87" t="str">
        <f t="shared" si="85"/>
        <v/>
      </c>
      <c r="BF77" s="87" t="str">
        <f t="shared" si="86"/>
        <v/>
      </c>
      <c r="BG77" s="87" t="str">
        <f t="shared" si="87"/>
        <v/>
      </c>
      <c r="BH77" s="87" t="str">
        <f t="shared" si="91"/>
        <v/>
      </c>
      <c r="BI77" s="87" t="str">
        <f t="shared" si="88"/>
        <v/>
      </c>
      <c r="BO77" s="87" t="str">
        <f t="shared" si="92"/>
        <v>〇</v>
      </c>
      <c r="BP77" s="87" t="str">
        <f t="shared" si="93"/>
        <v>〇</v>
      </c>
      <c r="BQ77" s="87" t="str">
        <f t="shared" si="94"/>
        <v>〇</v>
      </c>
      <c r="BR77" s="87" t="str">
        <f t="shared" si="95"/>
        <v>〇</v>
      </c>
      <c r="BS77" s="87" t="str">
        <f t="shared" si="96"/>
        <v>〇</v>
      </c>
      <c r="BT77" s="87" t="str">
        <f t="shared" si="97"/>
        <v>〇</v>
      </c>
      <c r="BU77" s="87" t="str">
        <f t="shared" si="98"/>
        <v>〇</v>
      </c>
      <c r="BV77" s="87" t="str">
        <f t="shared" si="99"/>
        <v>〇</v>
      </c>
      <c r="BW77" s="87" t="str">
        <f t="shared" si="100"/>
        <v>〇</v>
      </c>
      <c r="BX77" s="87" t="str">
        <f t="shared" si="101"/>
        <v>〇</v>
      </c>
      <c r="BY77" s="87" t="str">
        <f t="shared" si="102"/>
        <v>〇</v>
      </c>
      <c r="BZ77" s="87" t="str">
        <f t="shared" si="103"/>
        <v>〇</v>
      </c>
      <c r="CA77" s="87" t="str">
        <f t="shared" si="104"/>
        <v>〇</v>
      </c>
      <c r="CB77" s="87" t="str">
        <f t="shared" si="105"/>
        <v>〇</v>
      </c>
      <c r="CC77" s="87" t="str">
        <f t="shared" si="106"/>
        <v>〇</v>
      </c>
      <c r="CD77" s="87" t="str">
        <f t="shared" si="107"/>
        <v>〇</v>
      </c>
      <c r="CE77" s="87" t="str">
        <f t="shared" si="108"/>
        <v>〇</v>
      </c>
      <c r="CF77" s="87" t="str">
        <f t="shared" si="109"/>
        <v>〇</v>
      </c>
      <c r="CG77" s="87" t="str">
        <f t="shared" si="110"/>
        <v>〇</v>
      </c>
      <c r="CH77" s="87" t="str">
        <f t="shared" si="111"/>
        <v>〇</v>
      </c>
      <c r="CI77" s="87" t="str">
        <f t="shared" si="112"/>
        <v>〇</v>
      </c>
      <c r="CJ77" s="87" t="str">
        <f t="shared" si="113"/>
        <v>〇</v>
      </c>
      <c r="CK77" s="87" t="str">
        <f t="shared" si="114"/>
        <v>〇</v>
      </c>
      <c r="CL77" s="87" t="str">
        <f t="shared" si="115"/>
        <v>〇</v>
      </c>
      <c r="CM77" s="87" t="str">
        <f t="shared" si="116"/>
        <v>〇</v>
      </c>
      <c r="CN77" s="87" t="str">
        <f t="shared" si="117"/>
        <v>〇</v>
      </c>
      <c r="CO77" s="87" t="str">
        <f t="shared" si="118"/>
        <v>〇</v>
      </c>
      <c r="CP77" s="87" t="str">
        <f t="shared" si="119"/>
        <v>〇</v>
      </c>
      <c r="CQ77" s="87" t="str">
        <f t="shared" si="120"/>
        <v>〇</v>
      </c>
      <c r="CS77" s="476"/>
      <c r="CT77" s="476"/>
      <c r="CU77" s="476"/>
      <c r="CV77" s="476"/>
    </row>
    <row r="78" spans="1:100" s="90" customFormat="1" ht="23.15" customHeight="1">
      <c r="A78" s="2">
        <v>72</v>
      </c>
      <c r="B78" s="14"/>
      <c r="C78" s="4"/>
      <c r="D78" s="5"/>
      <c r="E78" s="3"/>
      <c r="F78" s="6"/>
      <c r="G78" s="7"/>
      <c r="H78" s="8"/>
      <c r="I78" s="8"/>
      <c r="J78" s="8"/>
      <c r="K78" s="8"/>
      <c r="L78" s="8"/>
      <c r="M78" s="8"/>
      <c r="N78" s="8"/>
      <c r="O78" s="8"/>
      <c r="P78" s="8"/>
      <c r="Q78" s="9"/>
      <c r="R78" s="10"/>
      <c r="S78" s="11"/>
      <c r="T78" s="9"/>
      <c r="U78" s="16"/>
      <c r="V78" s="9"/>
      <c r="W78" s="12"/>
      <c r="X78" s="13" t="str">
        <f t="shared" si="121"/>
        <v/>
      </c>
      <c r="Y78" s="89" t="str">
        <f t="shared" si="89"/>
        <v/>
      </c>
      <c r="Z78" s="87">
        <f>IF(COUNTIF($E$7:E78,E78)=1,"",COUNTIF($E$7:E78,E78))</f>
        <v>0</v>
      </c>
      <c r="AA78" s="87" t="str">
        <f t="shared" si="72"/>
        <v/>
      </c>
      <c r="AC78" s="87" t="str">
        <f t="shared" si="71"/>
        <v/>
      </c>
      <c r="AD78" s="87" t="str">
        <f t="shared" si="70"/>
        <v/>
      </c>
      <c r="AE78" s="87" t="str">
        <f t="shared" si="70"/>
        <v/>
      </c>
      <c r="AF78" s="87" t="str">
        <f t="shared" si="70"/>
        <v/>
      </c>
      <c r="AG78" s="87" t="str">
        <f t="shared" si="70"/>
        <v/>
      </c>
      <c r="AH78" s="87" t="str">
        <f t="shared" si="70"/>
        <v/>
      </c>
      <c r="AI78" s="87" t="str">
        <f t="shared" si="70"/>
        <v/>
      </c>
      <c r="AJ78" s="87" t="str">
        <f t="shared" si="70"/>
        <v/>
      </c>
      <c r="AK78" s="87" t="str">
        <f t="shared" si="70"/>
        <v/>
      </c>
      <c r="AL78" s="87" t="str">
        <f t="shared" si="70"/>
        <v/>
      </c>
      <c r="AM78" s="87" t="str">
        <f t="shared" si="70"/>
        <v/>
      </c>
      <c r="AN78" s="87" t="str">
        <f t="shared" si="70"/>
        <v/>
      </c>
      <c r="AP78" s="87" t="str">
        <f t="shared" si="73"/>
        <v/>
      </c>
      <c r="AQ78" s="87" t="str">
        <f t="shared" si="74"/>
        <v/>
      </c>
      <c r="AR78" s="87" t="str">
        <f t="shared" si="75"/>
        <v/>
      </c>
      <c r="AS78" s="87" t="str">
        <f t="shared" si="76"/>
        <v/>
      </c>
      <c r="AT78" s="87" t="str">
        <f t="shared" si="77"/>
        <v/>
      </c>
      <c r="AU78" s="87" t="str">
        <f t="shared" si="78"/>
        <v/>
      </c>
      <c r="AV78" s="87" t="str">
        <f t="shared" si="79"/>
        <v/>
      </c>
      <c r="AW78" s="87" t="str">
        <f t="shared" si="80"/>
        <v/>
      </c>
      <c r="AX78" s="87" t="str">
        <f t="shared" si="81"/>
        <v/>
      </c>
      <c r="AY78" s="87" t="str">
        <f t="shared" si="82"/>
        <v/>
      </c>
      <c r="AZ78" s="87" t="str">
        <f t="shared" si="83"/>
        <v/>
      </c>
      <c r="BA78" s="87" t="str">
        <f t="shared" si="84"/>
        <v/>
      </c>
      <c r="BB78" s="90" t="str">
        <f t="shared" si="90"/>
        <v/>
      </c>
      <c r="BE78" s="87" t="str">
        <f t="shared" si="85"/>
        <v/>
      </c>
      <c r="BF78" s="87" t="str">
        <f t="shared" si="86"/>
        <v/>
      </c>
      <c r="BG78" s="87" t="str">
        <f t="shared" si="87"/>
        <v/>
      </c>
      <c r="BH78" s="87" t="str">
        <f t="shared" si="91"/>
        <v/>
      </c>
      <c r="BI78" s="87" t="str">
        <f t="shared" si="88"/>
        <v/>
      </c>
      <c r="BO78" s="87" t="str">
        <f t="shared" si="92"/>
        <v>〇</v>
      </c>
      <c r="BP78" s="87" t="str">
        <f t="shared" si="93"/>
        <v>〇</v>
      </c>
      <c r="BQ78" s="87" t="str">
        <f t="shared" si="94"/>
        <v>〇</v>
      </c>
      <c r="BR78" s="87" t="str">
        <f t="shared" si="95"/>
        <v>〇</v>
      </c>
      <c r="BS78" s="87" t="str">
        <f t="shared" si="96"/>
        <v>〇</v>
      </c>
      <c r="BT78" s="87" t="str">
        <f t="shared" si="97"/>
        <v>〇</v>
      </c>
      <c r="BU78" s="87" t="str">
        <f t="shared" si="98"/>
        <v>〇</v>
      </c>
      <c r="BV78" s="87" t="str">
        <f t="shared" si="99"/>
        <v>〇</v>
      </c>
      <c r="BW78" s="87" t="str">
        <f t="shared" si="100"/>
        <v>〇</v>
      </c>
      <c r="BX78" s="87" t="str">
        <f t="shared" si="101"/>
        <v>〇</v>
      </c>
      <c r="BY78" s="87" t="str">
        <f t="shared" si="102"/>
        <v>〇</v>
      </c>
      <c r="BZ78" s="87" t="str">
        <f t="shared" si="103"/>
        <v>〇</v>
      </c>
      <c r="CA78" s="87" t="str">
        <f t="shared" si="104"/>
        <v>〇</v>
      </c>
      <c r="CB78" s="87" t="str">
        <f t="shared" si="105"/>
        <v>〇</v>
      </c>
      <c r="CC78" s="87" t="str">
        <f t="shared" si="106"/>
        <v>〇</v>
      </c>
      <c r="CD78" s="87" t="str">
        <f t="shared" si="107"/>
        <v>〇</v>
      </c>
      <c r="CE78" s="87" t="str">
        <f t="shared" si="108"/>
        <v>〇</v>
      </c>
      <c r="CF78" s="87" t="str">
        <f t="shared" si="109"/>
        <v>〇</v>
      </c>
      <c r="CG78" s="87" t="str">
        <f t="shared" si="110"/>
        <v>〇</v>
      </c>
      <c r="CH78" s="87" t="str">
        <f t="shared" si="111"/>
        <v>〇</v>
      </c>
      <c r="CI78" s="87" t="str">
        <f t="shared" si="112"/>
        <v>〇</v>
      </c>
      <c r="CJ78" s="87" t="str">
        <f t="shared" si="113"/>
        <v>〇</v>
      </c>
      <c r="CK78" s="87" t="str">
        <f t="shared" si="114"/>
        <v>〇</v>
      </c>
      <c r="CL78" s="87" t="str">
        <f t="shared" si="115"/>
        <v>〇</v>
      </c>
      <c r="CM78" s="87" t="str">
        <f t="shared" si="116"/>
        <v>〇</v>
      </c>
      <c r="CN78" s="87" t="str">
        <f t="shared" si="117"/>
        <v>〇</v>
      </c>
      <c r="CO78" s="87" t="str">
        <f t="shared" si="118"/>
        <v>〇</v>
      </c>
      <c r="CP78" s="87" t="str">
        <f t="shared" si="119"/>
        <v>〇</v>
      </c>
      <c r="CQ78" s="87" t="str">
        <f t="shared" si="120"/>
        <v>〇</v>
      </c>
      <c r="CS78" s="476"/>
      <c r="CT78" s="476"/>
      <c r="CU78" s="476"/>
      <c r="CV78" s="476"/>
    </row>
    <row r="79" spans="1:100" s="90" customFormat="1" ht="23.15" customHeight="1">
      <c r="A79" s="2">
        <v>73</v>
      </c>
      <c r="B79" s="14"/>
      <c r="C79" s="4"/>
      <c r="D79" s="5"/>
      <c r="E79" s="3"/>
      <c r="F79" s="6"/>
      <c r="G79" s="7"/>
      <c r="H79" s="8"/>
      <c r="I79" s="8"/>
      <c r="J79" s="8"/>
      <c r="K79" s="8"/>
      <c r="L79" s="8"/>
      <c r="M79" s="8"/>
      <c r="N79" s="8"/>
      <c r="O79" s="8"/>
      <c r="P79" s="8"/>
      <c r="Q79" s="9"/>
      <c r="R79" s="10"/>
      <c r="S79" s="11"/>
      <c r="T79" s="9"/>
      <c r="U79" s="16"/>
      <c r="V79" s="9"/>
      <c r="W79" s="12"/>
      <c r="X79" s="13" t="str">
        <f t="shared" si="121"/>
        <v/>
      </c>
      <c r="Y79" s="89" t="str">
        <f t="shared" si="89"/>
        <v/>
      </c>
      <c r="Z79" s="87">
        <f>IF(COUNTIF($E$7:E79,E79)=1,"",COUNTIF($E$7:E79,E79))</f>
        <v>0</v>
      </c>
      <c r="AA79" s="87" t="str">
        <f t="shared" si="72"/>
        <v/>
      </c>
      <c r="AC79" s="87" t="str">
        <f t="shared" si="71"/>
        <v/>
      </c>
      <c r="AD79" s="87" t="str">
        <f t="shared" si="70"/>
        <v/>
      </c>
      <c r="AE79" s="87" t="str">
        <f t="shared" si="70"/>
        <v/>
      </c>
      <c r="AF79" s="87" t="str">
        <f t="shared" si="70"/>
        <v/>
      </c>
      <c r="AG79" s="87" t="str">
        <f t="shared" si="70"/>
        <v/>
      </c>
      <c r="AH79" s="87" t="str">
        <f t="shared" si="70"/>
        <v/>
      </c>
      <c r="AI79" s="87" t="str">
        <f t="shared" si="70"/>
        <v/>
      </c>
      <c r="AJ79" s="87" t="str">
        <f t="shared" si="70"/>
        <v/>
      </c>
      <c r="AK79" s="87" t="str">
        <f t="shared" si="70"/>
        <v/>
      </c>
      <c r="AL79" s="87" t="str">
        <f t="shared" si="70"/>
        <v/>
      </c>
      <c r="AM79" s="87" t="str">
        <f t="shared" si="70"/>
        <v/>
      </c>
      <c r="AN79" s="87" t="str">
        <f t="shared" si="70"/>
        <v/>
      </c>
      <c r="AP79" s="87" t="str">
        <f t="shared" si="73"/>
        <v/>
      </c>
      <c r="AQ79" s="87" t="str">
        <f t="shared" si="74"/>
        <v/>
      </c>
      <c r="AR79" s="87" t="str">
        <f t="shared" si="75"/>
        <v/>
      </c>
      <c r="AS79" s="87" t="str">
        <f t="shared" si="76"/>
        <v/>
      </c>
      <c r="AT79" s="87" t="str">
        <f t="shared" si="77"/>
        <v/>
      </c>
      <c r="AU79" s="87" t="str">
        <f t="shared" si="78"/>
        <v/>
      </c>
      <c r="AV79" s="87" t="str">
        <f t="shared" si="79"/>
        <v/>
      </c>
      <c r="AW79" s="87" t="str">
        <f t="shared" si="80"/>
        <v/>
      </c>
      <c r="AX79" s="87" t="str">
        <f t="shared" si="81"/>
        <v/>
      </c>
      <c r="AY79" s="87" t="str">
        <f t="shared" si="82"/>
        <v/>
      </c>
      <c r="AZ79" s="87" t="str">
        <f t="shared" si="83"/>
        <v/>
      </c>
      <c r="BA79" s="87" t="str">
        <f t="shared" si="84"/>
        <v/>
      </c>
      <c r="BB79" s="90" t="str">
        <f t="shared" si="90"/>
        <v/>
      </c>
      <c r="BE79" s="87" t="str">
        <f t="shared" si="85"/>
        <v/>
      </c>
      <c r="BF79" s="87" t="str">
        <f t="shared" si="86"/>
        <v/>
      </c>
      <c r="BG79" s="87" t="str">
        <f t="shared" si="87"/>
        <v/>
      </c>
      <c r="BH79" s="87" t="str">
        <f t="shared" si="91"/>
        <v/>
      </c>
      <c r="BI79" s="87" t="str">
        <f t="shared" si="88"/>
        <v/>
      </c>
      <c r="BO79" s="87" t="str">
        <f t="shared" si="92"/>
        <v>〇</v>
      </c>
      <c r="BP79" s="87" t="str">
        <f t="shared" si="93"/>
        <v>〇</v>
      </c>
      <c r="BQ79" s="87" t="str">
        <f t="shared" si="94"/>
        <v>〇</v>
      </c>
      <c r="BR79" s="87" t="str">
        <f t="shared" si="95"/>
        <v>〇</v>
      </c>
      <c r="BS79" s="87" t="str">
        <f t="shared" si="96"/>
        <v>〇</v>
      </c>
      <c r="BT79" s="87" t="str">
        <f t="shared" si="97"/>
        <v>〇</v>
      </c>
      <c r="BU79" s="87" t="str">
        <f t="shared" si="98"/>
        <v>〇</v>
      </c>
      <c r="BV79" s="87" t="str">
        <f t="shared" si="99"/>
        <v>〇</v>
      </c>
      <c r="BW79" s="87" t="str">
        <f t="shared" si="100"/>
        <v>〇</v>
      </c>
      <c r="BX79" s="87" t="str">
        <f t="shared" si="101"/>
        <v>〇</v>
      </c>
      <c r="BY79" s="87" t="str">
        <f t="shared" si="102"/>
        <v>〇</v>
      </c>
      <c r="BZ79" s="87" t="str">
        <f t="shared" si="103"/>
        <v>〇</v>
      </c>
      <c r="CA79" s="87" t="str">
        <f t="shared" si="104"/>
        <v>〇</v>
      </c>
      <c r="CB79" s="87" t="str">
        <f t="shared" si="105"/>
        <v>〇</v>
      </c>
      <c r="CC79" s="87" t="str">
        <f t="shared" si="106"/>
        <v>〇</v>
      </c>
      <c r="CD79" s="87" t="str">
        <f t="shared" si="107"/>
        <v>〇</v>
      </c>
      <c r="CE79" s="87" t="str">
        <f t="shared" si="108"/>
        <v>〇</v>
      </c>
      <c r="CF79" s="87" t="str">
        <f t="shared" si="109"/>
        <v>〇</v>
      </c>
      <c r="CG79" s="87" t="str">
        <f t="shared" si="110"/>
        <v>〇</v>
      </c>
      <c r="CH79" s="87" t="str">
        <f t="shared" si="111"/>
        <v>〇</v>
      </c>
      <c r="CI79" s="87" t="str">
        <f t="shared" si="112"/>
        <v>〇</v>
      </c>
      <c r="CJ79" s="87" t="str">
        <f t="shared" si="113"/>
        <v>〇</v>
      </c>
      <c r="CK79" s="87" t="str">
        <f t="shared" si="114"/>
        <v>〇</v>
      </c>
      <c r="CL79" s="87" t="str">
        <f t="shared" si="115"/>
        <v>〇</v>
      </c>
      <c r="CM79" s="87" t="str">
        <f t="shared" si="116"/>
        <v>〇</v>
      </c>
      <c r="CN79" s="87" t="str">
        <f t="shared" si="117"/>
        <v>〇</v>
      </c>
      <c r="CO79" s="87" t="str">
        <f t="shared" si="118"/>
        <v>〇</v>
      </c>
      <c r="CP79" s="87" t="str">
        <f t="shared" si="119"/>
        <v>〇</v>
      </c>
      <c r="CQ79" s="87" t="str">
        <f t="shared" si="120"/>
        <v>〇</v>
      </c>
      <c r="CS79" s="476"/>
      <c r="CT79" s="476"/>
      <c r="CU79" s="476"/>
      <c r="CV79" s="476"/>
    </row>
    <row r="80" spans="1:100" s="90" customFormat="1" ht="23.15" customHeight="1">
      <c r="A80" s="2">
        <v>74</v>
      </c>
      <c r="B80" s="14"/>
      <c r="C80" s="4"/>
      <c r="D80" s="5"/>
      <c r="E80" s="3"/>
      <c r="F80" s="6"/>
      <c r="G80" s="7"/>
      <c r="H80" s="8"/>
      <c r="I80" s="8"/>
      <c r="J80" s="8"/>
      <c r="K80" s="8"/>
      <c r="L80" s="8"/>
      <c r="M80" s="8"/>
      <c r="N80" s="8"/>
      <c r="O80" s="8"/>
      <c r="P80" s="8"/>
      <c r="Q80" s="9"/>
      <c r="R80" s="10"/>
      <c r="S80" s="11"/>
      <c r="T80" s="9"/>
      <c r="U80" s="16"/>
      <c r="V80" s="9"/>
      <c r="W80" s="12"/>
      <c r="X80" s="13" t="str">
        <f t="shared" si="121"/>
        <v/>
      </c>
      <c r="Y80" s="89" t="str">
        <f t="shared" si="89"/>
        <v/>
      </c>
      <c r="Z80" s="87">
        <f>IF(COUNTIF($E$7:E80,E80)=1,"",COUNTIF($E$7:E80,E80))</f>
        <v>0</v>
      </c>
      <c r="AA80" s="87" t="str">
        <f t="shared" si="72"/>
        <v/>
      </c>
      <c r="AC80" s="87" t="str">
        <f t="shared" si="71"/>
        <v/>
      </c>
      <c r="AD80" s="87" t="str">
        <f t="shared" si="70"/>
        <v/>
      </c>
      <c r="AE80" s="87" t="str">
        <f t="shared" si="70"/>
        <v/>
      </c>
      <c r="AF80" s="87" t="str">
        <f t="shared" si="70"/>
        <v/>
      </c>
      <c r="AG80" s="87" t="str">
        <f t="shared" si="70"/>
        <v/>
      </c>
      <c r="AH80" s="87" t="str">
        <f t="shared" si="70"/>
        <v/>
      </c>
      <c r="AI80" s="87" t="str">
        <f t="shared" si="70"/>
        <v/>
      </c>
      <c r="AJ80" s="87" t="str">
        <f t="shared" si="70"/>
        <v/>
      </c>
      <c r="AK80" s="87" t="str">
        <f t="shared" si="70"/>
        <v/>
      </c>
      <c r="AL80" s="87" t="str">
        <f t="shared" si="70"/>
        <v/>
      </c>
      <c r="AM80" s="87" t="str">
        <f t="shared" si="70"/>
        <v/>
      </c>
      <c r="AN80" s="87" t="str">
        <f t="shared" si="70"/>
        <v/>
      </c>
      <c r="AP80" s="87" t="str">
        <f t="shared" si="73"/>
        <v/>
      </c>
      <c r="AQ80" s="87" t="str">
        <f t="shared" si="74"/>
        <v/>
      </c>
      <c r="AR80" s="87" t="str">
        <f t="shared" si="75"/>
        <v/>
      </c>
      <c r="AS80" s="87" t="str">
        <f t="shared" si="76"/>
        <v/>
      </c>
      <c r="AT80" s="87" t="str">
        <f t="shared" si="77"/>
        <v/>
      </c>
      <c r="AU80" s="87" t="str">
        <f t="shared" si="78"/>
        <v/>
      </c>
      <c r="AV80" s="87" t="str">
        <f t="shared" si="79"/>
        <v/>
      </c>
      <c r="AW80" s="87" t="str">
        <f t="shared" si="80"/>
        <v/>
      </c>
      <c r="AX80" s="87" t="str">
        <f t="shared" si="81"/>
        <v/>
      </c>
      <c r="AY80" s="87" t="str">
        <f t="shared" si="82"/>
        <v/>
      </c>
      <c r="AZ80" s="87" t="str">
        <f t="shared" si="83"/>
        <v/>
      </c>
      <c r="BA80" s="87" t="str">
        <f t="shared" si="84"/>
        <v/>
      </c>
      <c r="BB80" s="90" t="str">
        <f t="shared" si="90"/>
        <v/>
      </c>
      <c r="BE80" s="87" t="str">
        <f t="shared" si="85"/>
        <v/>
      </c>
      <c r="BF80" s="87" t="str">
        <f t="shared" si="86"/>
        <v/>
      </c>
      <c r="BG80" s="87" t="str">
        <f t="shared" si="87"/>
        <v/>
      </c>
      <c r="BH80" s="87" t="str">
        <f t="shared" si="91"/>
        <v/>
      </c>
      <c r="BI80" s="87" t="str">
        <f t="shared" si="88"/>
        <v/>
      </c>
      <c r="BO80" s="87" t="str">
        <f t="shared" si="92"/>
        <v>〇</v>
      </c>
      <c r="BP80" s="87" t="str">
        <f t="shared" si="93"/>
        <v>〇</v>
      </c>
      <c r="BQ80" s="87" t="str">
        <f t="shared" si="94"/>
        <v>〇</v>
      </c>
      <c r="BR80" s="87" t="str">
        <f t="shared" si="95"/>
        <v>〇</v>
      </c>
      <c r="BS80" s="87" t="str">
        <f t="shared" si="96"/>
        <v>〇</v>
      </c>
      <c r="BT80" s="87" t="str">
        <f t="shared" si="97"/>
        <v>〇</v>
      </c>
      <c r="BU80" s="87" t="str">
        <f t="shared" si="98"/>
        <v>〇</v>
      </c>
      <c r="BV80" s="87" t="str">
        <f t="shared" si="99"/>
        <v>〇</v>
      </c>
      <c r="BW80" s="87" t="str">
        <f t="shared" si="100"/>
        <v>〇</v>
      </c>
      <c r="BX80" s="87" t="str">
        <f t="shared" si="101"/>
        <v>〇</v>
      </c>
      <c r="BY80" s="87" t="str">
        <f t="shared" si="102"/>
        <v>〇</v>
      </c>
      <c r="BZ80" s="87" t="str">
        <f t="shared" si="103"/>
        <v>〇</v>
      </c>
      <c r="CA80" s="87" t="str">
        <f t="shared" si="104"/>
        <v>〇</v>
      </c>
      <c r="CB80" s="87" t="str">
        <f t="shared" si="105"/>
        <v>〇</v>
      </c>
      <c r="CC80" s="87" t="str">
        <f t="shared" si="106"/>
        <v>〇</v>
      </c>
      <c r="CD80" s="87" t="str">
        <f t="shared" si="107"/>
        <v>〇</v>
      </c>
      <c r="CE80" s="87" t="str">
        <f t="shared" si="108"/>
        <v>〇</v>
      </c>
      <c r="CF80" s="87" t="str">
        <f t="shared" si="109"/>
        <v>〇</v>
      </c>
      <c r="CG80" s="87" t="str">
        <f t="shared" si="110"/>
        <v>〇</v>
      </c>
      <c r="CH80" s="87" t="str">
        <f t="shared" si="111"/>
        <v>〇</v>
      </c>
      <c r="CI80" s="87" t="str">
        <f t="shared" si="112"/>
        <v>〇</v>
      </c>
      <c r="CJ80" s="87" t="str">
        <f t="shared" si="113"/>
        <v>〇</v>
      </c>
      <c r="CK80" s="87" t="str">
        <f t="shared" si="114"/>
        <v>〇</v>
      </c>
      <c r="CL80" s="87" t="str">
        <f t="shared" si="115"/>
        <v>〇</v>
      </c>
      <c r="CM80" s="87" t="str">
        <f t="shared" si="116"/>
        <v>〇</v>
      </c>
      <c r="CN80" s="87" t="str">
        <f t="shared" si="117"/>
        <v>〇</v>
      </c>
      <c r="CO80" s="87" t="str">
        <f t="shared" si="118"/>
        <v>〇</v>
      </c>
      <c r="CP80" s="87" t="str">
        <f t="shared" si="119"/>
        <v>〇</v>
      </c>
      <c r="CQ80" s="87" t="str">
        <f t="shared" si="120"/>
        <v>〇</v>
      </c>
      <c r="CS80" s="476"/>
      <c r="CT80" s="476"/>
      <c r="CU80" s="476"/>
      <c r="CV80" s="476"/>
    </row>
    <row r="81" spans="1:100" s="90" customFormat="1" ht="23.15" customHeight="1">
      <c r="A81" s="2">
        <v>75</v>
      </c>
      <c r="B81" s="14"/>
      <c r="C81" s="4"/>
      <c r="D81" s="5"/>
      <c r="E81" s="3"/>
      <c r="F81" s="6"/>
      <c r="G81" s="7"/>
      <c r="H81" s="8"/>
      <c r="I81" s="8"/>
      <c r="J81" s="8"/>
      <c r="K81" s="8"/>
      <c r="L81" s="8"/>
      <c r="M81" s="8"/>
      <c r="N81" s="8"/>
      <c r="O81" s="8"/>
      <c r="P81" s="8"/>
      <c r="Q81" s="9"/>
      <c r="R81" s="10"/>
      <c r="S81" s="11"/>
      <c r="T81" s="9"/>
      <c r="U81" s="16"/>
      <c r="V81" s="9"/>
      <c r="W81" s="12"/>
      <c r="X81" s="13" t="str">
        <f t="shared" si="121"/>
        <v/>
      </c>
      <c r="Y81" s="89" t="str">
        <f t="shared" si="89"/>
        <v/>
      </c>
      <c r="Z81" s="87">
        <f>IF(COUNTIF($E$7:E81,E81)=1,"",COUNTIF($E$7:E81,E81))</f>
        <v>0</v>
      </c>
      <c r="AA81" s="87" t="str">
        <f t="shared" si="72"/>
        <v/>
      </c>
      <c r="AC81" s="87" t="str">
        <f t="shared" si="71"/>
        <v/>
      </c>
      <c r="AD81" s="87" t="str">
        <f t="shared" si="70"/>
        <v/>
      </c>
      <c r="AE81" s="87" t="str">
        <f t="shared" si="70"/>
        <v/>
      </c>
      <c r="AF81" s="87" t="str">
        <f t="shared" si="70"/>
        <v/>
      </c>
      <c r="AG81" s="87" t="str">
        <f t="shared" si="70"/>
        <v/>
      </c>
      <c r="AH81" s="87" t="str">
        <f t="shared" si="70"/>
        <v/>
      </c>
      <c r="AI81" s="87" t="str">
        <f t="shared" si="70"/>
        <v/>
      </c>
      <c r="AJ81" s="87" t="str">
        <f t="shared" si="70"/>
        <v/>
      </c>
      <c r="AK81" s="87" t="str">
        <f t="shared" si="70"/>
        <v/>
      </c>
      <c r="AL81" s="87" t="str">
        <f t="shared" si="70"/>
        <v/>
      </c>
      <c r="AM81" s="87" t="str">
        <f t="shared" si="70"/>
        <v/>
      </c>
      <c r="AN81" s="87" t="str">
        <f t="shared" si="70"/>
        <v/>
      </c>
      <c r="AP81" s="87" t="str">
        <f t="shared" si="73"/>
        <v/>
      </c>
      <c r="AQ81" s="87" t="str">
        <f t="shared" si="74"/>
        <v/>
      </c>
      <c r="AR81" s="87" t="str">
        <f t="shared" si="75"/>
        <v/>
      </c>
      <c r="AS81" s="87" t="str">
        <f t="shared" si="76"/>
        <v/>
      </c>
      <c r="AT81" s="87" t="str">
        <f t="shared" si="77"/>
        <v/>
      </c>
      <c r="AU81" s="87" t="str">
        <f t="shared" si="78"/>
        <v/>
      </c>
      <c r="AV81" s="87" t="str">
        <f t="shared" si="79"/>
        <v/>
      </c>
      <c r="AW81" s="87" t="str">
        <f t="shared" si="80"/>
        <v/>
      </c>
      <c r="AX81" s="87" t="str">
        <f t="shared" si="81"/>
        <v/>
      </c>
      <c r="AY81" s="87" t="str">
        <f t="shared" si="82"/>
        <v/>
      </c>
      <c r="AZ81" s="87" t="str">
        <f t="shared" si="83"/>
        <v/>
      </c>
      <c r="BA81" s="87" t="str">
        <f t="shared" si="84"/>
        <v/>
      </c>
      <c r="BB81" s="90" t="str">
        <f t="shared" si="90"/>
        <v/>
      </c>
      <c r="BE81" s="87" t="str">
        <f t="shared" si="85"/>
        <v/>
      </c>
      <c r="BF81" s="87" t="str">
        <f t="shared" si="86"/>
        <v/>
      </c>
      <c r="BG81" s="87" t="str">
        <f t="shared" si="87"/>
        <v/>
      </c>
      <c r="BH81" s="87" t="str">
        <f t="shared" si="91"/>
        <v/>
      </c>
      <c r="BI81" s="87" t="str">
        <f t="shared" si="88"/>
        <v/>
      </c>
      <c r="BO81" s="87" t="str">
        <f t="shared" si="92"/>
        <v>〇</v>
      </c>
      <c r="BP81" s="87" t="str">
        <f t="shared" si="93"/>
        <v>〇</v>
      </c>
      <c r="BQ81" s="87" t="str">
        <f t="shared" si="94"/>
        <v>〇</v>
      </c>
      <c r="BR81" s="87" t="str">
        <f t="shared" si="95"/>
        <v>〇</v>
      </c>
      <c r="BS81" s="87" t="str">
        <f t="shared" si="96"/>
        <v>〇</v>
      </c>
      <c r="BT81" s="87" t="str">
        <f t="shared" si="97"/>
        <v>〇</v>
      </c>
      <c r="BU81" s="87" t="str">
        <f t="shared" si="98"/>
        <v>〇</v>
      </c>
      <c r="BV81" s="87" t="str">
        <f t="shared" si="99"/>
        <v>〇</v>
      </c>
      <c r="BW81" s="87" t="str">
        <f t="shared" si="100"/>
        <v>〇</v>
      </c>
      <c r="BX81" s="87" t="str">
        <f t="shared" si="101"/>
        <v>〇</v>
      </c>
      <c r="BY81" s="87" t="str">
        <f t="shared" si="102"/>
        <v>〇</v>
      </c>
      <c r="BZ81" s="87" t="str">
        <f t="shared" si="103"/>
        <v>〇</v>
      </c>
      <c r="CA81" s="87" t="str">
        <f t="shared" si="104"/>
        <v>〇</v>
      </c>
      <c r="CB81" s="87" t="str">
        <f t="shared" si="105"/>
        <v>〇</v>
      </c>
      <c r="CC81" s="87" t="str">
        <f t="shared" si="106"/>
        <v>〇</v>
      </c>
      <c r="CD81" s="87" t="str">
        <f t="shared" si="107"/>
        <v>〇</v>
      </c>
      <c r="CE81" s="87" t="str">
        <f t="shared" si="108"/>
        <v>〇</v>
      </c>
      <c r="CF81" s="87" t="str">
        <f t="shared" si="109"/>
        <v>〇</v>
      </c>
      <c r="CG81" s="87" t="str">
        <f t="shared" si="110"/>
        <v>〇</v>
      </c>
      <c r="CH81" s="87" t="str">
        <f t="shared" si="111"/>
        <v>〇</v>
      </c>
      <c r="CI81" s="87" t="str">
        <f t="shared" si="112"/>
        <v>〇</v>
      </c>
      <c r="CJ81" s="87" t="str">
        <f t="shared" si="113"/>
        <v>〇</v>
      </c>
      <c r="CK81" s="87" t="str">
        <f t="shared" si="114"/>
        <v>〇</v>
      </c>
      <c r="CL81" s="87" t="str">
        <f t="shared" si="115"/>
        <v>〇</v>
      </c>
      <c r="CM81" s="87" t="str">
        <f t="shared" si="116"/>
        <v>〇</v>
      </c>
      <c r="CN81" s="87" t="str">
        <f t="shared" si="117"/>
        <v>〇</v>
      </c>
      <c r="CO81" s="87" t="str">
        <f t="shared" si="118"/>
        <v>〇</v>
      </c>
      <c r="CP81" s="87" t="str">
        <f t="shared" si="119"/>
        <v>〇</v>
      </c>
      <c r="CQ81" s="87" t="str">
        <f t="shared" si="120"/>
        <v>〇</v>
      </c>
      <c r="CS81" s="476"/>
      <c r="CT81" s="476"/>
      <c r="CU81" s="476"/>
      <c r="CV81" s="476"/>
    </row>
    <row r="82" spans="1:100" s="90" customFormat="1" ht="23.15" customHeight="1">
      <c r="A82" s="2">
        <v>76</v>
      </c>
      <c r="B82" s="14"/>
      <c r="C82" s="4"/>
      <c r="D82" s="5"/>
      <c r="E82" s="3"/>
      <c r="F82" s="6"/>
      <c r="G82" s="7"/>
      <c r="H82" s="8"/>
      <c r="I82" s="8"/>
      <c r="J82" s="8"/>
      <c r="K82" s="8"/>
      <c r="L82" s="8"/>
      <c r="M82" s="8"/>
      <c r="N82" s="8"/>
      <c r="O82" s="8"/>
      <c r="P82" s="8"/>
      <c r="Q82" s="9"/>
      <c r="R82" s="10"/>
      <c r="S82" s="11"/>
      <c r="T82" s="9"/>
      <c r="U82" s="16"/>
      <c r="V82" s="9"/>
      <c r="W82" s="12"/>
      <c r="X82" s="13" t="str">
        <f t="shared" si="121"/>
        <v/>
      </c>
      <c r="Y82" s="89" t="str">
        <f t="shared" si="89"/>
        <v/>
      </c>
      <c r="Z82" s="87">
        <f>IF(COUNTIF($E$7:E82,E82)=1,"",COUNTIF($E$7:E82,E82))</f>
        <v>0</v>
      </c>
      <c r="AA82" s="87" t="str">
        <f t="shared" si="72"/>
        <v/>
      </c>
      <c r="AC82" s="87" t="str">
        <f t="shared" si="71"/>
        <v/>
      </c>
      <c r="AD82" s="87" t="str">
        <f t="shared" si="70"/>
        <v/>
      </c>
      <c r="AE82" s="87" t="str">
        <f t="shared" si="70"/>
        <v/>
      </c>
      <c r="AF82" s="87" t="str">
        <f t="shared" si="70"/>
        <v/>
      </c>
      <c r="AG82" s="87" t="str">
        <f t="shared" si="70"/>
        <v/>
      </c>
      <c r="AH82" s="87" t="str">
        <f t="shared" si="70"/>
        <v/>
      </c>
      <c r="AI82" s="87" t="str">
        <f t="shared" si="70"/>
        <v/>
      </c>
      <c r="AJ82" s="87" t="str">
        <f t="shared" si="70"/>
        <v/>
      </c>
      <c r="AK82" s="87" t="str">
        <f t="shared" si="70"/>
        <v/>
      </c>
      <c r="AL82" s="87" t="str">
        <f t="shared" si="70"/>
        <v/>
      </c>
      <c r="AM82" s="87" t="str">
        <f t="shared" si="70"/>
        <v/>
      </c>
      <c r="AN82" s="87" t="str">
        <f t="shared" si="70"/>
        <v/>
      </c>
      <c r="AP82" s="87" t="str">
        <f t="shared" si="73"/>
        <v/>
      </c>
      <c r="AQ82" s="87" t="str">
        <f t="shared" si="74"/>
        <v/>
      </c>
      <c r="AR82" s="87" t="str">
        <f t="shared" si="75"/>
        <v/>
      </c>
      <c r="AS82" s="87" t="str">
        <f t="shared" si="76"/>
        <v/>
      </c>
      <c r="AT82" s="87" t="str">
        <f t="shared" si="77"/>
        <v/>
      </c>
      <c r="AU82" s="87" t="str">
        <f t="shared" si="78"/>
        <v/>
      </c>
      <c r="AV82" s="87" t="str">
        <f t="shared" si="79"/>
        <v/>
      </c>
      <c r="AW82" s="87" t="str">
        <f t="shared" si="80"/>
        <v/>
      </c>
      <c r="AX82" s="87" t="str">
        <f t="shared" si="81"/>
        <v/>
      </c>
      <c r="AY82" s="87" t="str">
        <f t="shared" si="82"/>
        <v/>
      </c>
      <c r="AZ82" s="87" t="str">
        <f t="shared" si="83"/>
        <v/>
      </c>
      <c r="BA82" s="87" t="str">
        <f t="shared" si="84"/>
        <v/>
      </c>
      <c r="BB82" s="90" t="str">
        <f t="shared" si="90"/>
        <v/>
      </c>
      <c r="BE82" s="87" t="str">
        <f t="shared" si="85"/>
        <v/>
      </c>
      <c r="BF82" s="87" t="str">
        <f t="shared" si="86"/>
        <v/>
      </c>
      <c r="BG82" s="87" t="str">
        <f t="shared" si="87"/>
        <v/>
      </c>
      <c r="BH82" s="87" t="str">
        <f t="shared" si="91"/>
        <v/>
      </c>
      <c r="BI82" s="87" t="str">
        <f t="shared" si="88"/>
        <v/>
      </c>
      <c r="BO82" s="87" t="str">
        <f t="shared" si="92"/>
        <v>〇</v>
      </c>
      <c r="BP82" s="87" t="str">
        <f t="shared" si="93"/>
        <v>〇</v>
      </c>
      <c r="BQ82" s="87" t="str">
        <f t="shared" si="94"/>
        <v>〇</v>
      </c>
      <c r="BR82" s="87" t="str">
        <f t="shared" si="95"/>
        <v>〇</v>
      </c>
      <c r="BS82" s="87" t="str">
        <f t="shared" si="96"/>
        <v>〇</v>
      </c>
      <c r="BT82" s="87" t="str">
        <f t="shared" si="97"/>
        <v>〇</v>
      </c>
      <c r="BU82" s="87" t="str">
        <f t="shared" si="98"/>
        <v>〇</v>
      </c>
      <c r="BV82" s="87" t="str">
        <f t="shared" si="99"/>
        <v>〇</v>
      </c>
      <c r="BW82" s="87" t="str">
        <f t="shared" si="100"/>
        <v>〇</v>
      </c>
      <c r="BX82" s="87" t="str">
        <f t="shared" si="101"/>
        <v>〇</v>
      </c>
      <c r="BY82" s="87" t="str">
        <f t="shared" si="102"/>
        <v>〇</v>
      </c>
      <c r="BZ82" s="87" t="str">
        <f t="shared" si="103"/>
        <v>〇</v>
      </c>
      <c r="CA82" s="87" t="str">
        <f t="shared" si="104"/>
        <v>〇</v>
      </c>
      <c r="CB82" s="87" t="str">
        <f t="shared" si="105"/>
        <v>〇</v>
      </c>
      <c r="CC82" s="87" t="str">
        <f t="shared" si="106"/>
        <v>〇</v>
      </c>
      <c r="CD82" s="87" t="str">
        <f t="shared" si="107"/>
        <v>〇</v>
      </c>
      <c r="CE82" s="87" t="str">
        <f t="shared" si="108"/>
        <v>〇</v>
      </c>
      <c r="CF82" s="87" t="str">
        <f t="shared" si="109"/>
        <v>〇</v>
      </c>
      <c r="CG82" s="87" t="str">
        <f t="shared" si="110"/>
        <v>〇</v>
      </c>
      <c r="CH82" s="87" t="str">
        <f t="shared" si="111"/>
        <v>〇</v>
      </c>
      <c r="CI82" s="87" t="str">
        <f t="shared" si="112"/>
        <v>〇</v>
      </c>
      <c r="CJ82" s="87" t="str">
        <f t="shared" si="113"/>
        <v>〇</v>
      </c>
      <c r="CK82" s="87" t="str">
        <f t="shared" si="114"/>
        <v>〇</v>
      </c>
      <c r="CL82" s="87" t="str">
        <f t="shared" si="115"/>
        <v>〇</v>
      </c>
      <c r="CM82" s="87" t="str">
        <f t="shared" si="116"/>
        <v>〇</v>
      </c>
      <c r="CN82" s="87" t="str">
        <f t="shared" si="117"/>
        <v>〇</v>
      </c>
      <c r="CO82" s="87" t="str">
        <f t="shared" si="118"/>
        <v>〇</v>
      </c>
      <c r="CP82" s="87" t="str">
        <f t="shared" si="119"/>
        <v>〇</v>
      </c>
      <c r="CQ82" s="87" t="str">
        <f t="shared" si="120"/>
        <v>〇</v>
      </c>
      <c r="CS82" s="476"/>
      <c r="CT82" s="476"/>
      <c r="CU82" s="476"/>
      <c r="CV82" s="476"/>
    </row>
    <row r="83" spans="1:100" s="90" customFormat="1" ht="23.15" customHeight="1">
      <c r="A83" s="2">
        <v>77</v>
      </c>
      <c r="B83" s="14"/>
      <c r="C83" s="4"/>
      <c r="D83" s="5"/>
      <c r="E83" s="3"/>
      <c r="F83" s="6"/>
      <c r="G83" s="7"/>
      <c r="H83" s="8"/>
      <c r="I83" s="8"/>
      <c r="J83" s="8"/>
      <c r="K83" s="8"/>
      <c r="L83" s="8"/>
      <c r="M83" s="8"/>
      <c r="N83" s="8"/>
      <c r="O83" s="8"/>
      <c r="P83" s="8"/>
      <c r="Q83" s="9"/>
      <c r="R83" s="10"/>
      <c r="S83" s="11"/>
      <c r="T83" s="9"/>
      <c r="U83" s="16"/>
      <c r="V83" s="9"/>
      <c r="W83" s="12"/>
      <c r="X83" s="13" t="str">
        <f t="shared" si="121"/>
        <v/>
      </c>
      <c r="Y83" s="89" t="str">
        <f t="shared" si="89"/>
        <v/>
      </c>
      <c r="Z83" s="87">
        <f>IF(COUNTIF($E$7:E83,E83)=1,"",COUNTIF($E$7:E83,E83))</f>
        <v>0</v>
      </c>
      <c r="AA83" s="87" t="str">
        <f t="shared" si="72"/>
        <v/>
      </c>
      <c r="AC83" s="87" t="str">
        <f t="shared" si="71"/>
        <v/>
      </c>
      <c r="AD83" s="87" t="str">
        <f t="shared" si="70"/>
        <v/>
      </c>
      <c r="AE83" s="87" t="str">
        <f t="shared" si="70"/>
        <v/>
      </c>
      <c r="AF83" s="87" t="str">
        <f t="shared" si="70"/>
        <v/>
      </c>
      <c r="AG83" s="87" t="str">
        <f t="shared" si="70"/>
        <v/>
      </c>
      <c r="AH83" s="87" t="str">
        <f t="shared" si="70"/>
        <v/>
      </c>
      <c r="AI83" s="87" t="str">
        <f t="shared" si="70"/>
        <v/>
      </c>
      <c r="AJ83" s="87" t="str">
        <f t="shared" si="70"/>
        <v/>
      </c>
      <c r="AK83" s="87" t="str">
        <f t="shared" si="70"/>
        <v/>
      </c>
      <c r="AL83" s="87" t="str">
        <f t="shared" si="70"/>
        <v/>
      </c>
      <c r="AM83" s="87" t="str">
        <f t="shared" si="70"/>
        <v/>
      </c>
      <c r="AN83" s="87" t="str">
        <f t="shared" si="70"/>
        <v/>
      </c>
      <c r="AP83" s="87" t="str">
        <f t="shared" si="73"/>
        <v/>
      </c>
      <c r="AQ83" s="87" t="str">
        <f t="shared" si="74"/>
        <v/>
      </c>
      <c r="AR83" s="87" t="str">
        <f t="shared" si="75"/>
        <v/>
      </c>
      <c r="AS83" s="87" t="str">
        <f t="shared" si="76"/>
        <v/>
      </c>
      <c r="AT83" s="87" t="str">
        <f t="shared" si="77"/>
        <v/>
      </c>
      <c r="AU83" s="87" t="str">
        <f t="shared" si="78"/>
        <v/>
      </c>
      <c r="AV83" s="87" t="str">
        <f t="shared" si="79"/>
        <v/>
      </c>
      <c r="AW83" s="87" t="str">
        <f t="shared" si="80"/>
        <v/>
      </c>
      <c r="AX83" s="87" t="str">
        <f t="shared" si="81"/>
        <v/>
      </c>
      <c r="AY83" s="87" t="str">
        <f t="shared" si="82"/>
        <v/>
      </c>
      <c r="AZ83" s="87" t="str">
        <f t="shared" si="83"/>
        <v/>
      </c>
      <c r="BA83" s="87" t="str">
        <f t="shared" si="84"/>
        <v/>
      </c>
      <c r="BB83" s="90" t="str">
        <f t="shared" si="90"/>
        <v/>
      </c>
      <c r="BE83" s="87" t="str">
        <f t="shared" si="85"/>
        <v/>
      </c>
      <c r="BF83" s="87" t="str">
        <f t="shared" si="86"/>
        <v/>
      </c>
      <c r="BG83" s="87" t="str">
        <f t="shared" si="87"/>
        <v/>
      </c>
      <c r="BH83" s="87" t="str">
        <f t="shared" si="91"/>
        <v/>
      </c>
      <c r="BI83" s="87" t="str">
        <f t="shared" si="88"/>
        <v/>
      </c>
      <c r="BO83" s="87" t="str">
        <f t="shared" si="92"/>
        <v>〇</v>
      </c>
      <c r="BP83" s="87" t="str">
        <f t="shared" si="93"/>
        <v>〇</v>
      </c>
      <c r="BQ83" s="87" t="str">
        <f t="shared" si="94"/>
        <v>〇</v>
      </c>
      <c r="BR83" s="87" t="str">
        <f t="shared" si="95"/>
        <v>〇</v>
      </c>
      <c r="BS83" s="87" t="str">
        <f t="shared" si="96"/>
        <v>〇</v>
      </c>
      <c r="BT83" s="87" t="str">
        <f t="shared" si="97"/>
        <v>〇</v>
      </c>
      <c r="BU83" s="87" t="str">
        <f t="shared" si="98"/>
        <v>〇</v>
      </c>
      <c r="BV83" s="87" t="str">
        <f t="shared" si="99"/>
        <v>〇</v>
      </c>
      <c r="BW83" s="87" t="str">
        <f t="shared" si="100"/>
        <v>〇</v>
      </c>
      <c r="BX83" s="87" t="str">
        <f t="shared" si="101"/>
        <v>〇</v>
      </c>
      <c r="BY83" s="87" t="str">
        <f t="shared" si="102"/>
        <v>〇</v>
      </c>
      <c r="BZ83" s="87" t="str">
        <f t="shared" si="103"/>
        <v>〇</v>
      </c>
      <c r="CA83" s="87" t="str">
        <f t="shared" si="104"/>
        <v>〇</v>
      </c>
      <c r="CB83" s="87" t="str">
        <f t="shared" si="105"/>
        <v>〇</v>
      </c>
      <c r="CC83" s="87" t="str">
        <f t="shared" si="106"/>
        <v>〇</v>
      </c>
      <c r="CD83" s="87" t="str">
        <f t="shared" si="107"/>
        <v>〇</v>
      </c>
      <c r="CE83" s="87" t="str">
        <f t="shared" si="108"/>
        <v>〇</v>
      </c>
      <c r="CF83" s="87" t="str">
        <f t="shared" si="109"/>
        <v>〇</v>
      </c>
      <c r="CG83" s="87" t="str">
        <f t="shared" si="110"/>
        <v>〇</v>
      </c>
      <c r="CH83" s="87" t="str">
        <f t="shared" si="111"/>
        <v>〇</v>
      </c>
      <c r="CI83" s="87" t="str">
        <f t="shared" si="112"/>
        <v>〇</v>
      </c>
      <c r="CJ83" s="87" t="str">
        <f t="shared" si="113"/>
        <v>〇</v>
      </c>
      <c r="CK83" s="87" t="str">
        <f t="shared" si="114"/>
        <v>〇</v>
      </c>
      <c r="CL83" s="87" t="str">
        <f t="shared" si="115"/>
        <v>〇</v>
      </c>
      <c r="CM83" s="87" t="str">
        <f t="shared" si="116"/>
        <v>〇</v>
      </c>
      <c r="CN83" s="87" t="str">
        <f t="shared" si="117"/>
        <v>〇</v>
      </c>
      <c r="CO83" s="87" t="str">
        <f t="shared" si="118"/>
        <v>〇</v>
      </c>
      <c r="CP83" s="87" t="str">
        <f t="shared" si="119"/>
        <v>〇</v>
      </c>
      <c r="CQ83" s="87" t="str">
        <f t="shared" si="120"/>
        <v>〇</v>
      </c>
      <c r="CS83" s="476"/>
      <c r="CT83" s="476"/>
      <c r="CU83" s="476"/>
      <c r="CV83" s="476"/>
    </row>
    <row r="84" spans="1:100" s="90" customFormat="1" ht="23.15" customHeight="1">
      <c r="A84" s="2">
        <v>78</v>
      </c>
      <c r="B84" s="14"/>
      <c r="C84" s="4"/>
      <c r="D84" s="5"/>
      <c r="E84" s="3"/>
      <c r="F84" s="6"/>
      <c r="G84" s="7"/>
      <c r="H84" s="8"/>
      <c r="I84" s="8"/>
      <c r="J84" s="8"/>
      <c r="K84" s="8"/>
      <c r="L84" s="8"/>
      <c r="M84" s="8"/>
      <c r="N84" s="8"/>
      <c r="O84" s="8"/>
      <c r="P84" s="8"/>
      <c r="Q84" s="9"/>
      <c r="R84" s="10"/>
      <c r="S84" s="11"/>
      <c r="T84" s="9"/>
      <c r="U84" s="16"/>
      <c r="V84" s="9"/>
      <c r="W84" s="12"/>
      <c r="X84" s="13" t="str">
        <f t="shared" si="121"/>
        <v/>
      </c>
      <c r="Y84" s="89" t="str">
        <f t="shared" si="89"/>
        <v/>
      </c>
      <c r="Z84" s="87">
        <f>IF(COUNTIF($E$7:E84,E84)=1,"",COUNTIF($E$7:E84,E84))</f>
        <v>0</v>
      </c>
      <c r="AA84" s="87" t="str">
        <f t="shared" si="72"/>
        <v/>
      </c>
      <c r="AC84" s="87" t="str">
        <f t="shared" si="71"/>
        <v/>
      </c>
      <c r="AD84" s="87" t="str">
        <f t="shared" si="70"/>
        <v/>
      </c>
      <c r="AE84" s="87" t="str">
        <f t="shared" si="70"/>
        <v/>
      </c>
      <c r="AF84" s="87" t="str">
        <f t="shared" si="70"/>
        <v/>
      </c>
      <c r="AG84" s="87" t="str">
        <f t="shared" si="70"/>
        <v/>
      </c>
      <c r="AH84" s="87" t="str">
        <f t="shared" ref="AD84:AN106" si="122">IF(OR($W84=$S$137,$W84=$S$130,$W84=$S$134,$W84=$S$135,$W84=$S$136,$W84=$S$138),"",IF($S84="","",IF($U84="",IF($R84="",IF($S84&lt;=AH$6,"○",""),IF(AND($R84&lt;=AH$6,$S84&lt;=AH$6),"●",IF($S84&lt;=AH$6,"○",""))),IF($U84&gt;=AH$6,IF($R84="",IF($S84&lt;=AH$6,"○",""),IF(AND($R84&lt;=AH$6,$S84&lt;=AH$6),"●",IF($S84&lt;=AH$6,"○",""))),""))))</f>
        <v/>
      </c>
      <c r="AI84" s="87" t="str">
        <f t="shared" si="122"/>
        <v/>
      </c>
      <c r="AJ84" s="87" t="str">
        <f t="shared" si="122"/>
        <v/>
      </c>
      <c r="AK84" s="87" t="str">
        <f t="shared" si="122"/>
        <v/>
      </c>
      <c r="AL84" s="87" t="str">
        <f t="shared" si="122"/>
        <v/>
      </c>
      <c r="AM84" s="87" t="str">
        <f t="shared" si="122"/>
        <v/>
      </c>
      <c r="AN84" s="87" t="str">
        <f t="shared" si="122"/>
        <v/>
      </c>
      <c r="AP84" s="87" t="str">
        <f t="shared" si="73"/>
        <v/>
      </c>
      <c r="AQ84" s="87" t="str">
        <f t="shared" si="74"/>
        <v/>
      </c>
      <c r="AR84" s="87" t="str">
        <f t="shared" si="75"/>
        <v/>
      </c>
      <c r="AS84" s="87" t="str">
        <f t="shared" si="76"/>
        <v/>
      </c>
      <c r="AT84" s="87" t="str">
        <f t="shared" si="77"/>
        <v/>
      </c>
      <c r="AU84" s="87" t="str">
        <f t="shared" si="78"/>
        <v/>
      </c>
      <c r="AV84" s="87" t="str">
        <f t="shared" si="79"/>
        <v/>
      </c>
      <c r="AW84" s="87" t="str">
        <f t="shared" si="80"/>
        <v/>
      </c>
      <c r="AX84" s="87" t="str">
        <f t="shared" si="81"/>
        <v/>
      </c>
      <c r="AY84" s="87" t="str">
        <f t="shared" si="82"/>
        <v/>
      </c>
      <c r="AZ84" s="87" t="str">
        <f t="shared" si="83"/>
        <v/>
      </c>
      <c r="BA84" s="87" t="str">
        <f t="shared" si="84"/>
        <v/>
      </c>
      <c r="BB84" s="90" t="str">
        <f t="shared" si="90"/>
        <v/>
      </c>
      <c r="BE84" s="87" t="str">
        <f t="shared" si="85"/>
        <v/>
      </c>
      <c r="BF84" s="87" t="str">
        <f t="shared" si="86"/>
        <v/>
      </c>
      <c r="BG84" s="87" t="str">
        <f t="shared" si="87"/>
        <v/>
      </c>
      <c r="BH84" s="87" t="str">
        <f t="shared" si="91"/>
        <v/>
      </c>
      <c r="BI84" s="87" t="str">
        <f t="shared" si="88"/>
        <v/>
      </c>
      <c r="BO84" s="87" t="str">
        <f t="shared" si="92"/>
        <v>〇</v>
      </c>
      <c r="BP84" s="87" t="str">
        <f t="shared" si="93"/>
        <v>〇</v>
      </c>
      <c r="BQ84" s="87" t="str">
        <f t="shared" si="94"/>
        <v>〇</v>
      </c>
      <c r="BR84" s="87" t="str">
        <f t="shared" si="95"/>
        <v>〇</v>
      </c>
      <c r="BS84" s="87" t="str">
        <f t="shared" si="96"/>
        <v>〇</v>
      </c>
      <c r="BT84" s="87" t="str">
        <f t="shared" si="97"/>
        <v>〇</v>
      </c>
      <c r="BU84" s="87" t="str">
        <f t="shared" si="98"/>
        <v>〇</v>
      </c>
      <c r="BV84" s="87" t="str">
        <f t="shared" si="99"/>
        <v>〇</v>
      </c>
      <c r="BW84" s="87" t="str">
        <f t="shared" si="100"/>
        <v>〇</v>
      </c>
      <c r="BX84" s="87" t="str">
        <f t="shared" si="101"/>
        <v>〇</v>
      </c>
      <c r="BY84" s="87" t="str">
        <f t="shared" si="102"/>
        <v>〇</v>
      </c>
      <c r="BZ84" s="87" t="str">
        <f t="shared" si="103"/>
        <v>〇</v>
      </c>
      <c r="CA84" s="87" t="str">
        <f t="shared" si="104"/>
        <v>〇</v>
      </c>
      <c r="CB84" s="87" t="str">
        <f t="shared" si="105"/>
        <v>〇</v>
      </c>
      <c r="CC84" s="87" t="str">
        <f t="shared" si="106"/>
        <v>〇</v>
      </c>
      <c r="CD84" s="87" t="str">
        <f t="shared" si="107"/>
        <v>〇</v>
      </c>
      <c r="CE84" s="87" t="str">
        <f t="shared" si="108"/>
        <v>〇</v>
      </c>
      <c r="CF84" s="87" t="str">
        <f t="shared" si="109"/>
        <v>〇</v>
      </c>
      <c r="CG84" s="87" t="str">
        <f t="shared" si="110"/>
        <v>〇</v>
      </c>
      <c r="CH84" s="87" t="str">
        <f t="shared" si="111"/>
        <v>〇</v>
      </c>
      <c r="CI84" s="87" t="str">
        <f t="shared" si="112"/>
        <v>〇</v>
      </c>
      <c r="CJ84" s="87" t="str">
        <f t="shared" si="113"/>
        <v>〇</v>
      </c>
      <c r="CK84" s="87" t="str">
        <f t="shared" si="114"/>
        <v>〇</v>
      </c>
      <c r="CL84" s="87" t="str">
        <f t="shared" si="115"/>
        <v>〇</v>
      </c>
      <c r="CM84" s="87" t="str">
        <f t="shared" si="116"/>
        <v>〇</v>
      </c>
      <c r="CN84" s="87" t="str">
        <f t="shared" si="117"/>
        <v>〇</v>
      </c>
      <c r="CO84" s="87" t="str">
        <f t="shared" si="118"/>
        <v>〇</v>
      </c>
      <c r="CP84" s="87" t="str">
        <f t="shared" si="119"/>
        <v>〇</v>
      </c>
      <c r="CQ84" s="87" t="str">
        <f t="shared" si="120"/>
        <v>〇</v>
      </c>
      <c r="CS84" s="476"/>
      <c r="CT84" s="476"/>
      <c r="CU84" s="476"/>
      <c r="CV84" s="476"/>
    </row>
    <row r="85" spans="1:100" s="90" customFormat="1" ht="23.15" customHeight="1">
      <c r="A85" s="2">
        <v>79</v>
      </c>
      <c r="B85" s="14"/>
      <c r="C85" s="4"/>
      <c r="D85" s="5"/>
      <c r="E85" s="3"/>
      <c r="F85" s="6"/>
      <c r="G85" s="7"/>
      <c r="H85" s="8"/>
      <c r="I85" s="8"/>
      <c r="J85" s="8"/>
      <c r="K85" s="8"/>
      <c r="L85" s="8"/>
      <c r="M85" s="8"/>
      <c r="N85" s="8"/>
      <c r="O85" s="8"/>
      <c r="P85" s="8"/>
      <c r="Q85" s="9"/>
      <c r="R85" s="10"/>
      <c r="S85" s="11"/>
      <c r="T85" s="9"/>
      <c r="U85" s="16"/>
      <c r="V85" s="9"/>
      <c r="W85" s="12"/>
      <c r="X85" s="13" t="str">
        <f t="shared" si="121"/>
        <v/>
      </c>
      <c r="Y85" s="89" t="str">
        <f t="shared" si="89"/>
        <v/>
      </c>
      <c r="Z85" s="87">
        <f>IF(COUNTIF($E$7:E85,E85)=1,"",COUNTIF($E$7:E85,E85))</f>
        <v>0</v>
      </c>
      <c r="AA85" s="87" t="str">
        <f t="shared" si="72"/>
        <v/>
      </c>
      <c r="AC85" s="87" t="str">
        <f t="shared" si="71"/>
        <v/>
      </c>
      <c r="AD85" s="87" t="str">
        <f t="shared" si="122"/>
        <v/>
      </c>
      <c r="AE85" s="87" t="str">
        <f t="shared" si="122"/>
        <v/>
      </c>
      <c r="AF85" s="87" t="str">
        <f t="shared" si="122"/>
        <v/>
      </c>
      <c r="AG85" s="87" t="str">
        <f t="shared" si="122"/>
        <v/>
      </c>
      <c r="AH85" s="87" t="str">
        <f t="shared" si="122"/>
        <v/>
      </c>
      <c r="AI85" s="87" t="str">
        <f t="shared" si="122"/>
        <v/>
      </c>
      <c r="AJ85" s="87" t="str">
        <f t="shared" si="122"/>
        <v/>
      </c>
      <c r="AK85" s="87" t="str">
        <f t="shared" si="122"/>
        <v/>
      </c>
      <c r="AL85" s="87" t="str">
        <f t="shared" si="122"/>
        <v/>
      </c>
      <c r="AM85" s="87" t="str">
        <f t="shared" si="122"/>
        <v/>
      </c>
      <c r="AN85" s="87" t="str">
        <f t="shared" si="122"/>
        <v/>
      </c>
      <c r="AP85" s="87" t="str">
        <f t="shared" si="73"/>
        <v/>
      </c>
      <c r="AQ85" s="87" t="str">
        <f t="shared" si="74"/>
        <v/>
      </c>
      <c r="AR85" s="87" t="str">
        <f t="shared" si="75"/>
        <v/>
      </c>
      <c r="AS85" s="87" t="str">
        <f t="shared" si="76"/>
        <v/>
      </c>
      <c r="AT85" s="87" t="str">
        <f t="shared" si="77"/>
        <v/>
      </c>
      <c r="AU85" s="87" t="str">
        <f t="shared" si="78"/>
        <v/>
      </c>
      <c r="AV85" s="87" t="str">
        <f t="shared" si="79"/>
        <v/>
      </c>
      <c r="AW85" s="87" t="str">
        <f t="shared" si="80"/>
        <v/>
      </c>
      <c r="AX85" s="87" t="str">
        <f t="shared" si="81"/>
        <v/>
      </c>
      <c r="AY85" s="87" t="str">
        <f t="shared" si="82"/>
        <v/>
      </c>
      <c r="AZ85" s="87" t="str">
        <f t="shared" si="83"/>
        <v/>
      </c>
      <c r="BA85" s="87" t="str">
        <f t="shared" si="84"/>
        <v/>
      </c>
      <c r="BB85" s="90" t="str">
        <f t="shared" si="90"/>
        <v/>
      </c>
      <c r="BE85" s="87" t="str">
        <f t="shared" si="85"/>
        <v/>
      </c>
      <c r="BF85" s="87" t="str">
        <f t="shared" si="86"/>
        <v/>
      </c>
      <c r="BG85" s="87" t="str">
        <f t="shared" si="87"/>
        <v/>
      </c>
      <c r="BH85" s="87" t="str">
        <f t="shared" si="91"/>
        <v/>
      </c>
      <c r="BI85" s="87" t="str">
        <f t="shared" si="88"/>
        <v/>
      </c>
      <c r="BO85" s="87" t="str">
        <f t="shared" si="92"/>
        <v>〇</v>
      </c>
      <c r="BP85" s="87" t="str">
        <f t="shared" si="93"/>
        <v>〇</v>
      </c>
      <c r="BQ85" s="87" t="str">
        <f t="shared" si="94"/>
        <v>〇</v>
      </c>
      <c r="BR85" s="87" t="str">
        <f t="shared" si="95"/>
        <v>〇</v>
      </c>
      <c r="BS85" s="87" t="str">
        <f t="shared" si="96"/>
        <v>〇</v>
      </c>
      <c r="BT85" s="87" t="str">
        <f t="shared" si="97"/>
        <v>〇</v>
      </c>
      <c r="BU85" s="87" t="str">
        <f t="shared" si="98"/>
        <v>〇</v>
      </c>
      <c r="BV85" s="87" t="str">
        <f t="shared" si="99"/>
        <v>〇</v>
      </c>
      <c r="BW85" s="87" t="str">
        <f t="shared" si="100"/>
        <v>〇</v>
      </c>
      <c r="BX85" s="87" t="str">
        <f t="shared" si="101"/>
        <v>〇</v>
      </c>
      <c r="BY85" s="87" t="str">
        <f t="shared" si="102"/>
        <v>〇</v>
      </c>
      <c r="BZ85" s="87" t="str">
        <f t="shared" si="103"/>
        <v>〇</v>
      </c>
      <c r="CA85" s="87" t="str">
        <f t="shared" si="104"/>
        <v>〇</v>
      </c>
      <c r="CB85" s="87" t="str">
        <f t="shared" si="105"/>
        <v>〇</v>
      </c>
      <c r="CC85" s="87" t="str">
        <f t="shared" si="106"/>
        <v>〇</v>
      </c>
      <c r="CD85" s="87" t="str">
        <f t="shared" si="107"/>
        <v>〇</v>
      </c>
      <c r="CE85" s="87" t="str">
        <f t="shared" si="108"/>
        <v>〇</v>
      </c>
      <c r="CF85" s="87" t="str">
        <f t="shared" si="109"/>
        <v>〇</v>
      </c>
      <c r="CG85" s="87" t="str">
        <f t="shared" si="110"/>
        <v>〇</v>
      </c>
      <c r="CH85" s="87" t="str">
        <f t="shared" si="111"/>
        <v>〇</v>
      </c>
      <c r="CI85" s="87" t="str">
        <f t="shared" si="112"/>
        <v>〇</v>
      </c>
      <c r="CJ85" s="87" t="str">
        <f t="shared" si="113"/>
        <v>〇</v>
      </c>
      <c r="CK85" s="87" t="str">
        <f t="shared" si="114"/>
        <v>〇</v>
      </c>
      <c r="CL85" s="87" t="str">
        <f t="shared" si="115"/>
        <v>〇</v>
      </c>
      <c r="CM85" s="87" t="str">
        <f t="shared" si="116"/>
        <v>〇</v>
      </c>
      <c r="CN85" s="87" t="str">
        <f t="shared" si="117"/>
        <v>〇</v>
      </c>
      <c r="CO85" s="87" t="str">
        <f t="shared" si="118"/>
        <v>〇</v>
      </c>
      <c r="CP85" s="87" t="str">
        <f t="shared" si="119"/>
        <v>〇</v>
      </c>
      <c r="CQ85" s="87" t="str">
        <f t="shared" si="120"/>
        <v>〇</v>
      </c>
      <c r="CS85" s="476"/>
      <c r="CT85" s="476"/>
      <c r="CU85" s="476"/>
      <c r="CV85" s="476"/>
    </row>
    <row r="86" spans="1:100" s="90" customFormat="1" ht="23.15" customHeight="1">
      <c r="A86" s="2">
        <v>80</v>
      </c>
      <c r="B86" s="14"/>
      <c r="C86" s="4"/>
      <c r="D86" s="5"/>
      <c r="E86" s="3"/>
      <c r="F86" s="6"/>
      <c r="G86" s="7"/>
      <c r="H86" s="8"/>
      <c r="I86" s="8"/>
      <c r="J86" s="8"/>
      <c r="K86" s="8"/>
      <c r="L86" s="8"/>
      <c r="M86" s="8"/>
      <c r="N86" s="8"/>
      <c r="O86" s="8"/>
      <c r="P86" s="8"/>
      <c r="Q86" s="9"/>
      <c r="R86" s="10"/>
      <c r="S86" s="11"/>
      <c r="T86" s="9"/>
      <c r="U86" s="16"/>
      <c r="V86" s="9"/>
      <c r="W86" s="12"/>
      <c r="X86" s="13" t="str">
        <f t="shared" si="121"/>
        <v/>
      </c>
      <c r="Y86" s="89" t="str">
        <f t="shared" si="89"/>
        <v/>
      </c>
      <c r="Z86" s="87">
        <f>IF(COUNTIF($E$7:E86,E86)=1,"",COUNTIF($E$7:E86,E86))</f>
        <v>0</v>
      </c>
      <c r="AA86" s="87" t="str">
        <f t="shared" si="72"/>
        <v/>
      </c>
      <c r="AC86" s="87" t="str">
        <f t="shared" si="71"/>
        <v/>
      </c>
      <c r="AD86" s="87" t="str">
        <f t="shared" si="122"/>
        <v/>
      </c>
      <c r="AE86" s="87" t="str">
        <f t="shared" si="122"/>
        <v/>
      </c>
      <c r="AF86" s="87" t="str">
        <f t="shared" si="122"/>
        <v/>
      </c>
      <c r="AG86" s="87" t="str">
        <f t="shared" si="122"/>
        <v/>
      </c>
      <c r="AH86" s="87" t="str">
        <f t="shared" si="122"/>
        <v/>
      </c>
      <c r="AI86" s="87" t="str">
        <f t="shared" si="122"/>
        <v/>
      </c>
      <c r="AJ86" s="87" t="str">
        <f t="shared" si="122"/>
        <v/>
      </c>
      <c r="AK86" s="87" t="str">
        <f t="shared" si="122"/>
        <v/>
      </c>
      <c r="AL86" s="87" t="str">
        <f t="shared" si="122"/>
        <v/>
      </c>
      <c r="AM86" s="87" t="str">
        <f t="shared" si="122"/>
        <v/>
      </c>
      <c r="AN86" s="87" t="str">
        <f t="shared" si="122"/>
        <v/>
      </c>
      <c r="AP86" s="87" t="str">
        <f t="shared" si="73"/>
        <v/>
      </c>
      <c r="AQ86" s="87" t="str">
        <f t="shared" si="74"/>
        <v/>
      </c>
      <c r="AR86" s="87" t="str">
        <f t="shared" si="75"/>
        <v/>
      </c>
      <c r="AS86" s="87" t="str">
        <f t="shared" si="76"/>
        <v/>
      </c>
      <c r="AT86" s="87" t="str">
        <f t="shared" si="77"/>
        <v/>
      </c>
      <c r="AU86" s="87" t="str">
        <f t="shared" si="78"/>
        <v/>
      </c>
      <c r="AV86" s="87" t="str">
        <f t="shared" si="79"/>
        <v/>
      </c>
      <c r="AW86" s="87" t="str">
        <f t="shared" si="80"/>
        <v/>
      </c>
      <c r="AX86" s="87" t="str">
        <f t="shared" si="81"/>
        <v/>
      </c>
      <c r="AY86" s="87" t="str">
        <f t="shared" si="82"/>
        <v/>
      </c>
      <c r="AZ86" s="87" t="str">
        <f t="shared" si="83"/>
        <v/>
      </c>
      <c r="BA86" s="87" t="str">
        <f t="shared" si="84"/>
        <v/>
      </c>
      <c r="BB86" s="90" t="str">
        <f t="shared" si="90"/>
        <v/>
      </c>
      <c r="BE86" s="87" t="str">
        <f t="shared" si="85"/>
        <v/>
      </c>
      <c r="BF86" s="87" t="str">
        <f t="shared" si="86"/>
        <v/>
      </c>
      <c r="BG86" s="87" t="str">
        <f t="shared" si="87"/>
        <v/>
      </c>
      <c r="BH86" s="87" t="str">
        <f t="shared" si="91"/>
        <v/>
      </c>
      <c r="BI86" s="87" t="str">
        <f t="shared" si="88"/>
        <v/>
      </c>
      <c r="BO86" s="87" t="str">
        <f t="shared" si="92"/>
        <v>〇</v>
      </c>
      <c r="BP86" s="87" t="str">
        <f t="shared" si="93"/>
        <v>〇</v>
      </c>
      <c r="BQ86" s="87" t="str">
        <f t="shared" si="94"/>
        <v>〇</v>
      </c>
      <c r="BR86" s="87" t="str">
        <f t="shared" si="95"/>
        <v>〇</v>
      </c>
      <c r="BS86" s="87" t="str">
        <f t="shared" si="96"/>
        <v>〇</v>
      </c>
      <c r="BT86" s="87" t="str">
        <f t="shared" si="97"/>
        <v>〇</v>
      </c>
      <c r="BU86" s="87" t="str">
        <f t="shared" si="98"/>
        <v>〇</v>
      </c>
      <c r="BV86" s="87" t="str">
        <f t="shared" si="99"/>
        <v>〇</v>
      </c>
      <c r="BW86" s="87" t="str">
        <f t="shared" si="100"/>
        <v>〇</v>
      </c>
      <c r="BX86" s="87" t="str">
        <f t="shared" si="101"/>
        <v>〇</v>
      </c>
      <c r="BY86" s="87" t="str">
        <f t="shared" si="102"/>
        <v>〇</v>
      </c>
      <c r="BZ86" s="87" t="str">
        <f t="shared" si="103"/>
        <v>〇</v>
      </c>
      <c r="CA86" s="87" t="str">
        <f t="shared" si="104"/>
        <v>〇</v>
      </c>
      <c r="CB86" s="87" t="str">
        <f t="shared" si="105"/>
        <v>〇</v>
      </c>
      <c r="CC86" s="87" t="str">
        <f t="shared" si="106"/>
        <v>〇</v>
      </c>
      <c r="CD86" s="87" t="str">
        <f t="shared" si="107"/>
        <v>〇</v>
      </c>
      <c r="CE86" s="87" t="str">
        <f t="shared" si="108"/>
        <v>〇</v>
      </c>
      <c r="CF86" s="87" t="str">
        <f t="shared" si="109"/>
        <v>〇</v>
      </c>
      <c r="CG86" s="87" t="str">
        <f t="shared" si="110"/>
        <v>〇</v>
      </c>
      <c r="CH86" s="87" t="str">
        <f t="shared" si="111"/>
        <v>〇</v>
      </c>
      <c r="CI86" s="87" t="str">
        <f t="shared" si="112"/>
        <v>〇</v>
      </c>
      <c r="CJ86" s="87" t="str">
        <f t="shared" si="113"/>
        <v>〇</v>
      </c>
      <c r="CK86" s="87" t="str">
        <f t="shared" si="114"/>
        <v>〇</v>
      </c>
      <c r="CL86" s="87" t="str">
        <f t="shared" si="115"/>
        <v>〇</v>
      </c>
      <c r="CM86" s="87" t="str">
        <f t="shared" si="116"/>
        <v>〇</v>
      </c>
      <c r="CN86" s="87" t="str">
        <f t="shared" si="117"/>
        <v>〇</v>
      </c>
      <c r="CO86" s="87" t="str">
        <f t="shared" si="118"/>
        <v>〇</v>
      </c>
      <c r="CP86" s="87" t="str">
        <f t="shared" si="119"/>
        <v>〇</v>
      </c>
      <c r="CQ86" s="87" t="str">
        <f t="shared" si="120"/>
        <v>〇</v>
      </c>
      <c r="CS86" s="476"/>
      <c r="CT86" s="476"/>
      <c r="CU86" s="476"/>
      <c r="CV86" s="476"/>
    </row>
    <row r="87" spans="1:100" s="90" customFormat="1" ht="23.15" customHeight="1">
      <c r="A87" s="2">
        <v>81</v>
      </c>
      <c r="B87" s="14"/>
      <c r="C87" s="4"/>
      <c r="D87" s="5"/>
      <c r="E87" s="3"/>
      <c r="F87" s="6"/>
      <c r="G87" s="7"/>
      <c r="H87" s="8"/>
      <c r="I87" s="8"/>
      <c r="J87" s="8"/>
      <c r="K87" s="8"/>
      <c r="L87" s="8"/>
      <c r="M87" s="8"/>
      <c r="N87" s="8"/>
      <c r="O87" s="8"/>
      <c r="P87" s="8"/>
      <c r="Q87" s="9"/>
      <c r="R87" s="10"/>
      <c r="S87" s="11"/>
      <c r="T87" s="9"/>
      <c r="U87" s="16"/>
      <c r="V87" s="9"/>
      <c r="W87" s="12"/>
      <c r="X87" s="13" t="str">
        <f t="shared" si="121"/>
        <v/>
      </c>
      <c r="Y87" s="89" t="str">
        <f t="shared" si="89"/>
        <v/>
      </c>
      <c r="Z87" s="87">
        <f>IF(COUNTIF($E$7:E87,E87)=1,"",COUNTIF($E$7:E87,E87))</f>
        <v>0</v>
      </c>
      <c r="AA87" s="87" t="str">
        <f t="shared" si="72"/>
        <v/>
      </c>
      <c r="AC87" s="87" t="str">
        <f t="shared" si="71"/>
        <v/>
      </c>
      <c r="AD87" s="87" t="str">
        <f t="shared" si="122"/>
        <v/>
      </c>
      <c r="AE87" s="87" t="str">
        <f t="shared" si="122"/>
        <v/>
      </c>
      <c r="AF87" s="87" t="str">
        <f t="shared" si="122"/>
        <v/>
      </c>
      <c r="AG87" s="87" t="str">
        <f t="shared" si="122"/>
        <v/>
      </c>
      <c r="AH87" s="87" t="str">
        <f t="shared" si="122"/>
        <v/>
      </c>
      <c r="AI87" s="87" t="str">
        <f t="shared" si="122"/>
        <v/>
      </c>
      <c r="AJ87" s="87" t="str">
        <f t="shared" si="122"/>
        <v/>
      </c>
      <c r="AK87" s="87" t="str">
        <f t="shared" si="122"/>
        <v/>
      </c>
      <c r="AL87" s="87" t="str">
        <f t="shared" si="122"/>
        <v/>
      </c>
      <c r="AM87" s="87" t="str">
        <f t="shared" si="122"/>
        <v/>
      </c>
      <c r="AN87" s="87" t="str">
        <f t="shared" si="122"/>
        <v/>
      </c>
      <c r="AP87" s="87" t="str">
        <f t="shared" si="73"/>
        <v/>
      </c>
      <c r="AQ87" s="87" t="str">
        <f t="shared" si="74"/>
        <v/>
      </c>
      <c r="AR87" s="87" t="str">
        <f t="shared" si="75"/>
        <v/>
      </c>
      <c r="AS87" s="87" t="str">
        <f t="shared" si="76"/>
        <v/>
      </c>
      <c r="AT87" s="87" t="str">
        <f t="shared" si="77"/>
        <v/>
      </c>
      <c r="AU87" s="87" t="str">
        <f t="shared" si="78"/>
        <v/>
      </c>
      <c r="AV87" s="87" t="str">
        <f t="shared" si="79"/>
        <v/>
      </c>
      <c r="AW87" s="87" t="str">
        <f t="shared" si="80"/>
        <v/>
      </c>
      <c r="AX87" s="87" t="str">
        <f t="shared" si="81"/>
        <v/>
      </c>
      <c r="AY87" s="87" t="str">
        <f t="shared" si="82"/>
        <v/>
      </c>
      <c r="AZ87" s="87" t="str">
        <f t="shared" si="83"/>
        <v/>
      </c>
      <c r="BA87" s="87" t="str">
        <f t="shared" si="84"/>
        <v/>
      </c>
      <c r="BB87" s="90" t="str">
        <f t="shared" si="90"/>
        <v/>
      </c>
      <c r="BE87" s="87" t="str">
        <f t="shared" si="85"/>
        <v/>
      </c>
      <c r="BF87" s="87" t="str">
        <f t="shared" si="86"/>
        <v/>
      </c>
      <c r="BG87" s="87" t="str">
        <f t="shared" si="87"/>
        <v/>
      </c>
      <c r="BH87" s="87" t="str">
        <f t="shared" si="91"/>
        <v/>
      </c>
      <c r="BI87" s="87" t="str">
        <f t="shared" si="88"/>
        <v/>
      </c>
      <c r="BO87" s="87" t="str">
        <f t="shared" si="92"/>
        <v>〇</v>
      </c>
      <c r="BP87" s="87" t="str">
        <f t="shared" si="93"/>
        <v>〇</v>
      </c>
      <c r="BQ87" s="87" t="str">
        <f t="shared" si="94"/>
        <v>〇</v>
      </c>
      <c r="BR87" s="87" t="str">
        <f t="shared" si="95"/>
        <v>〇</v>
      </c>
      <c r="BS87" s="87" t="str">
        <f t="shared" si="96"/>
        <v>〇</v>
      </c>
      <c r="BT87" s="87" t="str">
        <f t="shared" si="97"/>
        <v>〇</v>
      </c>
      <c r="BU87" s="87" t="str">
        <f t="shared" si="98"/>
        <v>〇</v>
      </c>
      <c r="BV87" s="87" t="str">
        <f t="shared" si="99"/>
        <v>〇</v>
      </c>
      <c r="BW87" s="87" t="str">
        <f t="shared" si="100"/>
        <v>〇</v>
      </c>
      <c r="BX87" s="87" t="str">
        <f t="shared" si="101"/>
        <v>〇</v>
      </c>
      <c r="BY87" s="87" t="str">
        <f t="shared" si="102"/>
        <v>〇</v>
      </c>
      <c r="BZ87" s="87" t="str">
        <f t="shared" si="103"/>
        <v>〇</v>
      </c>
      <c r="CA87" s="87" t="str">
        <f t="shared" si="104"/>
        <v>〇</v>
      </c>
      <c r="CB87" s="87" t="str">
        <f t="shared" si="105"/>
        <v>〇</v>
      </c>
      <c r="CC87" s="87" t="str">
        <f t="shared" si="106"/>
        <v>〇</v>
      </c>
      <c r="CD87" s="87" t="str">
        <f t="shared" si="107"/>
        <v>〇</v>
      </c>
      <c r="CE87" s="87" t="str">
        <f t="shared" si="108"/>
        <v>〇</v>
      </c>
      <c r="CF87" s="87" t="str">
        <f t="shared" si="109"/>
        <v>〇</v>
      </c>
      <c r="CG87" s="87" t="str">
        <f t="shared" si="110"/>
        <v>〇</v>
      </c>
      <c r="CH87" s="87" t="str">
        <f t="shared" si="111"/>
        <v>〇</v>
      </c>
      <c r="CI87" s="87" t="str">
        <f t="shared" si="112"/>
        <v>〇</v>
      </c>
      <c r="CJ87" s="87" t="str">
        <f t="shared" si="113"/>
        <v>〇</v>
      </c>
      <c r="CK87" s="87" t="str">
        <f t="shared" si="114"/>
        <v>〇</v>
      </c>
      <c r="CL87" s="87" t="str">
        <f t="shared" si="115"/>
        <v>〇</v>
      </c>
      <c r="CM87" s="87" t="str">
        <f t="shared" si="116"/>
        <v>〇</v>
      </c>
      <c r="CN87" s="87" t="str">
        <f t="shared" si="117"/>
        <v>〇</v>
      </c>
      <c r="CO87" s="87" t="str">
        <f t="shared" si="118"/>
        <v>〇</v>
      </c>
      <c r="CP87" s="87" t="str">
        <f t="shared" si="119"/>
        <v>〇</v>
      </c>
      <c r="CQ87" s="87" t="str">
        <f t="shared" si="120"/>
        <v>〇</v>
      </c>
      <c r="CS87" s="476"/>
      <c r="CT87" s="476"/>
      <c r="CU87" s="476"/>
      <c r="CV87" s="476"/>
    </row>
    <row r="88" spans="1:100" s="90" customFormat="1" ht="23.15" customHeight="1">
      <c r="A88" s="2">
        <v>82</v>
      </c>
      <c r="B88" s="14"/>
      <c r="C88" s="4"/>
      <c r="D88" s="5"/>
      <c r="E88" s="3"/>
      <c r="F88" s="6"/>
      <c r="G88" s="7"/>
      <c r="H88" s="8"/>
      <c r="I88" s="8"/>
      <c r="J88" s="8"/>
      <c r="K88" s="8"/>
      <c r="L88" s="8"/>
      <c r="M88" s="8"/>
      <c r="N88" s="8"/>
      <c r="O88" s="8"/>
      <c r="P88" s="8"/>
      <c r="Q88" s="9"/>
      <c r="R88" s="10"/>
      <c r="S88" s="11"/>
      <c r="T88" s="9"/>
      <c r="U88" s="16"/>
      <c r="V88" s="9"/>
      <c r="W88" s="12"/>
      <c r="X88" s="13" t="str">
        <f t="shared" si="121"/>
        <v/>
      </c>
      <c r="Y88" s="89" t="str">
        <f t="shared" si="89"/>
        <v/>
      </c>
      <c r="Z88" s="87">
        <f>IF(COUNTIF($E$7:E88,E88)=1,"",COUNTIF($E$7:E88,E88))</f>
        <v>0</v>
      </c>
      <c r="AA88" s="87" t="str">
        <f t="shared" si="72"/>
        <v/>
      </c>
      <c r="AC88" s="87" t="str">
        <f t="shared" si="71"/>
        <v/>
      </c>
      <c r="AD88" s="87" t="str">
        <f t="shared" si="122"/>
        <v/>
      </c>
      <c r="AE88" s="87" t="str">
        <f t="shared" si="122"/>
        <v/>
      </c>
      <c r="AF88" s="87" t="str">
        <f t="shared" si="122"/>
        <v/>
      </c>
      <c r="AG88" s="87" t="str">
        <f t="shared" si="122"/>
        <v/>
      </c>
      <c r="AH88" s="87" t="str">
        <f t="shared" si="122"/>
        <v/>
      </c>
      <c r="AI88" s="87" t="str">
        <f t="shared" si="122"/>
        <v/>
      </c>
      <c r="AJ88" s="87" t="str">
        <f t="shared" si="122"/>
        <v/>
      </c>
      <c r="AK88" s="87" t="str">
        <f t="shared" si="122"/>
        <v/>
      </c>
      <c r="AL88" s="87" t="str">
        <f t="shared" si="122"/>
        <v/>
      </c>
      <c r="AM88" s="87" t="str">
        <f t="shared" si="122"/>
        <v/>
      </c>
      <c r="AN88" s="87" t="str">
        <f t="shared" si="122"/>
        <v/>
      </c>
      <c r="AP88" s="87" t="str">
        <f t="shared" si="73"/>
        <v/>
      </c>
      <c r="AQ88" s="87" t="str">
        <f t="shared" si="74"/>
        <v/>
      </c>
      <c r="AR88" s="87" t="str">
        <f t="shared" si="75"/>
        <v/>
      </c>
      <c r="AS88" s="87" t="str">
        <f t="shared" si="76"/>
        <v/>
      </c>
      <c r="AT88" s="87" t="str">
        <f t="shared" si="77"/>
        <v/>
      </c>
      <c r="AU88" s="87" t="str">
        <f t="shared" si="78"/>
        <v/>
      </c>
      <c r="AV88" s="87" t="str">
        <f t="shared" si="79"/>
        <v/>
      </c>
      <c r="AW88" s="87" t="str">
        <f t="shared" si="80"/>
        <v/>
      </c>
      <c r="AX88" s="87" t="str">
        <f t="shared" si="81"/>
        <v/>
      </c>
      <c r="AY88" s="87" t="str">
        <f t="shared" si="82"/>
        <v/>
      </c>
      <c r="AZ88" s="87" t="str">
        <f t="shared" si="83"/>
        <v/>
      </c>
      <c r="BA88" s="87" t="str">
        <f t="shared" si="84"/>
        <v/>
      </c>
      <c r="BB88" s="90" t="str">
        <f t="shared" si="90"/>
        <v/>
      </c>
      <c r="BE88" s="87" t="str">
        <f t="shared" si="85"/>
        <v/>
      </c>
      <c r="BF88" s="87" t="str">
        <f t="shared" si="86"/>
        <v/>
      </c>
      <c r="BG88" s="87" t="str">
        <f t="shared" si="87"/>
        <v/>
      </c>
      <c r="BH88" s="87" t="str">
        <f t="shared" si="91"/>
        <v/>
      </c>
      <c r="BI88" s="87" t="str">
        <f t="shared" si="88"/>
        <v/>
      </c>
      <c r="BO88" s="87" t="str">
        <f t="shared" si="92"/>
        <v>〇</v>
      </c>
      <c r="BP88" s="87" t="str">
        <f t="shared" si="93"/>
        <v>〇</v>
      </c>
      <c r="BQ88" s="87" t="str">
        <f t="shared" si="94"/>
        <v>〇</v>
      </c>
      <c r="BR88" s="87" t="str">
        <f t="shared" si="95"/>
        <v>〇</v>
      </c>
      <c r="BS88" s="87" t="str">
        <f t="shared" si="96"/>
        <v>〇</v>
      </c>
      <c r="BT88" s="87" t="str">
        <f t="shared" si="97"/>
        <v>〇</v>
      </c>
      <c r="BU88" s="87" t="str">
        <f t="shared" si="98"/>
        <v>〇</v>
      </c>
      <c r="BV88" s="87" t="str">
        <f t="shared" si="99"/>
        <v>〇</v>
      </c>
      <c r="BW88" s="87" t="str">
        <f t="shared" si="100"/>
        <v>〇</v>
      </c>
      <c r="BX88" s="87" t="str">
        <f t="shared" si="101"/>
        <v>〇</v>
      </c>
      <c r="BY88" s="87" t="str">
        <f t="shared" si="102"/>
        <v>〇</v>
      </c>
      <c r="BZ88" s="87" t="str">
        <f t="shared" si="103"/>
        <v>〇</v>
      </c>
      <c r="CA88" s="87" t="str">
        <f t="shared" si="104"/>
        <v>〇</v>
      </c>
      <c r="CB88" s="87" t="str">
        <f t="shared" si="105"/>
        <v>〇</v>
      </c>
      <c r="CC88" s="87" t="str">
        <f t="shared" si="106"/>
        <v>〇</v>
      </c>
      <c r="CD88" s="87" t="str">
        <f t="shared" si="107"/>
        <v>〇</v>
      </c>
      <c r="CE88" s="87" t="str">
        <f t="shared" si="108"/>
        <v>〇</v>
      </c>
      <c r="CF88" s="87" t="str">
        <f t="shared" si="109"/>
        <v>〇</v>
      </c>
      <c r="CG88" s="87" t="str">
        <f t="shared" si="110"/>
        <v>〇</v>
      </c>
      <c r="CH88" s="87" t="str">
        <f t="shared" si="111"/>
        <v>〇</v>
      </c>
      <c r="CI88" s="87" t="str">
        <f t="shared" si="112"/>
        <v>〇</v>
      </c>
      <c r="CJ88" s="87" t="str">
        <f t="shared" si="113"/>
        <v>〇</v>
      </c>
      <c r="CK88" s="87" t="str">
        <f t="shared" si="114"/>
        <v>〇</v>
      </c>
      <c r="CL88" s="87" t="str">
        <f t="shared" si="115"/>
        <v>〇</v>
      </c>
      <c r="CM88" s="87" t="str">
        <f t="shared" si="116"/>
        <v>〇</v>
      </c>
      <c r="CN88" s="87" t="str">
        <f t="shared" si="117"/>
        <v>〇</v>
      </c>
      <c r="CO88" s="87" t="str">
        <f t="shared" si="118"/>
        <v>〇</v>
      </c>
      <c r="CP88" s="87" t="str">
        <f t="shared" si="119"/>
        <v>〇</v>
      </c>
      <c r="CQ88" s="87" t="str">
        <f t="shared" si="120"/>
        <v>〇</v>
      </c>
      <c r="CS88" s="476"/>
      <c r="CT88" s="476"/>
      <c r="CU88" s="476"/>
      <c r="CV88" s="476"/>
    </row>
    <row r="89" spans="1:100" s="90" customFormat="1" ht="23.15" customHeight="1">
      <c r="A89" s="2">
        <v>83</v>
      </c>
      <c r="B89" s="14"/>
      <c r="C89" s="4"/>
      <c r="D89" s="5"/>
      <c r="E89" s="3"/>
      <c r="F89" s="6"/>
      <c r="G89" s="7"/>
      <c r="H89" s="8"/>
      <c r="I89" s="8"/>
      <c r="J89" s="8"/>
      <c r="K89" s="8"/>
      <c r="L89" s="8"/>
      <c r="M89" s="8"/>
      <c r="N89" s="8"/>
      <c r="O89" s="8"/>
      <c r="P89" s="8"/>
      <c r="Q89" s="9"/>
      <c r="R89" s="10"/>
      <c r="S89" s="11"/>
      <c r="T89" s="9"/>
      <c r="U89" s="16"/>
      <c r="V89" s="9"/>
      <c r="W89" s="12"/>
      <c r="X89" s="13" t="str">
        <f t="shared" si="121"/>
        <v/>
      </c>
      <c r="Y89" s="89" t="str">
        <f t="shared" si="89"/>
        <v/>
      </c>
      <c r="Z89" s="87">
        <f>IF(COUNTIF($E$7:E89,E89)=1,"",COUNTIF($E$7:E89,E89))</f>
        <v>0</v>
      </c>
      <c r="AA89" s="87" t="str">
        <f t="shared" si="72"/>
        <v/>
      </c>
      <c r="AC89" s="87" t="str">
        <f t="shared" si="71"/>
        <v/>
      </c>
      <c r="AD89" s="87" t="str">
        <f t="shared" si="122"/>
        <v/>
      </c>
      <c r="AE89" s="87" t="str">
        <f t="shared" si="122"/>
        <v/>
      </c>
      <c r="AF89" s="87" t="str">
        <f t="shared" si="122"/>
        <v/>
      </c>
      <c r="AG89" s="87" t="str">
        <f t="shared" si="122"/>
        <v/>
      </c>
      <c r="AH89" s="87" t="str">
        <f t="shared" si="122"/>
        <v/>
      </c>
      <c r="AI89" s="87" t="str">
        <f t="shared" si="122"/>
        <v/>
      </c>
      <c r="AJ89" s="87" t="str">
        <f t="shared" si="122"/>
        <v/>
      </c>
      <c r="AK89" s="87" t="str">
        <f t="shared" si="122"/>
        <v/>
      </c>
      <c r="AL89" s="87" t="str">
        <f t="shared" si="122"/>
        <v/>
      </c>
      <c r="AM89" s="87" t="str">
        <f t="shared" si="122"/>
        <v/>
      </c>
      <c r="AN89" s="87" t="str">
        <f t="shared" si="122"/>
        <v/>
      </c>
      <c r="AP89" s="87" t="str">
        <f t="shared" si="73"/>
        <v/>
      </c>
      <c r="AQ89" s="87" t="str">
        <f t="shared" si="74"/>
        <v/>
      </c>
      <c r="AR89" s="87" t="str">
        <f t="shared" si="75"/>
        <v/>
      </c>
      <c r="AS89" s="87" t="str">
        <f t="shared" si="76"/>
        <v/>
      </c>
      <c r="AT89" s="87" t="str">
        <f t="shared" si="77"/>
        <v/>
      </c>
      <c r="AU89" s="87" t="str">
        <f t="shared" si="78"/>
        <v/>
      </c>
      <c r="AV89" s="87" t="str">
        <f t="shared" si="79"/>
        <v/>
      </c>
      <c r="AW89" s="87" t="str">
        <f t="shared" si="80"/>
        <v/>
      </c>
      <c r="AX89" s="87" t="str">
        <f t="shared" si="81"/>
        <v/>
      </c>
      <c r="AY89" s="87" t="str">
        <f t="shared" si="82"/>
        <v/>
      </c>
      <c r="AZ89" s="87" t="str">
        <f t="shared" si="83"/>
        <v/>
      </c>
      <c r="BA89" s="87" t="str">
        <f t="shared" si="84"/>
        <v/>
      </c>
      <c r="BB89" s="90" t="str">
        <f t="shared" si="90"/>
        <v/>
      </c>
      <c r="BE89" s="87" t="str">
        <f t="shared" si="85"/>
        <v/>
      </c>
      <c r="BF89" s="87" t="str">
        <f t="shared" si="86"/>
        <v/>
      </c>
      <c r="BG89" s="87" t="str">
        <f t="shared" si="87"/>
        <v/>
      </c>
      <c r="BH89" s="87" t="str">
        <f t="shared" si="91"/>
        <v/>
      </c>
      <c r="BI89" s="87" t="str">
        <f t="shared" si="88"/>
        <v/>
      </c>
      <c r="BO89" s="87" t="str">
        <f t="shared" si="92"/>
        <v>〇</v>
      </c>
      <c r="BP89" s="87" t="str">
        <f t="shared" si="93"/>
        <v>〇</v>
      </c>
      <c r="BQ89" s="87" t="str">
        <f t="shared" si="94"/>
        <v>〇</v>
      </c>
      <c r="BR89" s="87" t="str">
        <f t="shared" si="95"/>
        <v>〇</v>
      </c>
      <c r="BS89" s="87" t="str">
        <f t="shared" si="96"/>
        <v>〇</v>
      </c>
      <c r="BT89" s="87" t="str">
        <f t="shared" si="97"/>
        <v>〇</v>
      </c>
      <c r="BU89" s="87" t="str">
        <f t="shared" si="98"/>
        <v>〇</v>
      </c>
      <c r="BV89" s="87" t="str">
        <f t="shared" si="99"/>
        <v>〇</v>
      </c>
      <c r="BW89" s="87" t="str">
        <f t="shared" si="100"/>
        <v>〇</v>
      </c>
      <c r="BX89" s="87" t="str">
        <f t="shared" si="101"/>
        <v>〇</v>
      </c>
      <c r="BY89" s="87" t="str">
        <f t="shared" si="102"/>
        <v>〇</v>
      </c>
      <c r="BZ89" s="87" t="str">
        <f t="shared" si="103"/>
        <v>〇</v>
      </c>
      <c r="CA89" s="87" t="str">
        <f t="shared" si="104"/>
        <v>〇</v>
      </c>
      <c r="CB89" s="87" t="str">
        <f t="shared" si="105"/>
        <v>〇</v>
      </c>
      <c r="CC89" s="87" t="str">
        <f t="shared" si="106"/>
        <v>〇</v>
      </c>
      <c r="CD89" s="87" t="str">
        <f t="shared" si="107"/>
        <v>〇</v>
      </c>
      <c r="CE89" s="87" t="str">
        <f t="shared" si="108"/>
        <v>〇</v>
      </c>
      <c r="CF89" s="87" t="str">
        <f t="shared" si="109"/>
        <v>〇</v>
      </c>
      <c r="CG89" s="87" t="str">
        <f t="shared" si="110"/>
        <v>〇</v>
      </c>
      <c r="CH89" s="87" t="str">
        <f t="shared" si="111"/>
        <v>〇</v>
      </c>
      <c r="CI89" s="87" t="str">
        <f t="shared" si="112"/>
        <v>〇</v>
      </c>
      <c r="CJ89" s="87" t="str">
        <f t="shared" si="113"/>
        <v>〇</v>
      </c>
      <c r="CK89" s="87" t="str">
        <f t="shared" si="114"/>
        <v>〇</v>
      </c>
      <c r="CL89" s="87" t="str">
        <f t="shared" si="115"/>
        <v>〇</v>
      </c>
      <c r="CM89" s="87" t="str">
        <f t="shared" si="116"/>
        <v>〇</v>
      </c>
      <c r="CN89" s="87" t="str">
        <f t="shared" si="117"/>
        <v>〇</v>
      </c>
      <c r="CO89" s="87" t="str">
        <f t="shared" si="118"/>
        <v>〇</v>
      </c>
      <c r="CP89" s="87" t="str">
        <f t="shared" si="119"/>
        <v>〇</v>
      </c>
      <c r="CQ89" s="87" t="str">
        <f t="shared" si="120"/>
        <v>〇</v>
      </c>
      <c r="CS89" s="476"/>
      <c r="CT89" s="476"/>
      <c r="CU89" s="476"/>
      <c r="CV89" s="476"/>
    </row>
    <row r="90" spans="1:100" s="90" customFormat="1" ht="23.15" customHeight="1">
      <c r="A90" s="2">
        <v>84</v>
      </c>
      <c r="B90" s="14"/>
      <c r="C90" s="4"/>
      <c r="D90" s="5"/>
      <c r="E90" s="3"/>
      <c r="F90" s="6"/>
      <c r="G90" s="7"/>
      <c r="H90" s="8"/>
      <c r="I90" s="8"/>
      <c r="J90" s="8"/>
      <c r="K90" s="8"/>
      <c r="L90" s="8"/>
      <c r="M90" s="8"/>
      <c r="N90" s="8"/>
      <c r="O90" s="8"/>
      <c r="P90" s="8"/>
      <c r="Q90" s="9"/>
      <c r="R90" s="10"/>
      <c r="S90" s="11"/>
      <c r="T90" s="9"/>
      <c r="U90" s="16"/>
      <c r="V90" s="9"/>
      <c r="W90" s="12"/>
      <c r="X90" s="13" t="str">
        <f t="shared" si="121"/>
        <v/>
      </c>
      <c r="Y90" s="89" t="str">
        <f t="shared" si="89"/>
        <v/>
      </c>
      <c r="Z90" s="87">
        <f>IF(COUNTIF($E$7:E90,E90)=1,"",COUNTIF($E$7:E90,E90))</f>
        <v>0</v>
      </c>
      <c r="AA90" s="87" t="str">
        <f t="shared" si="72"/>
        <v/>
      </c>
      <c r="AC90" s="87" t="str">
        <f t="shared" si="71"/>
        <v/>
      </c>
      <c r="AD90" s="87" t="str">
        <f t="shared" si="122"/>
        <v/>
      </c>
      <c r="AE90" s="87" t="str">
        <f t="shared" si="122"/>
        <v/>
      </c>
      <c r="AF90" s="87" t="str">
        <f t="shared" si="122"/>
        <v/>
      </c>
      <c r="AG90" s="87" t="str">
        <f t="shared" si="122"/>
        <v/>
      </c>
      <c r="AH90" s="87" t="str">
        <f t="shared" si="122"/>
        <v/>
      </c>
      <c r="AI90" s="87" t="str">
        <f t="shared" si="122"/>
        <v/>
      </c>
      <c r="AJ90" s="87" t="str">
        <f t="shared" si="122"/>
        <v/>
      </c>
      <c r="AK90" s="87" t="str">
        <f t="shared" si="122"/>
        <v/>
      </c>
      <c r="AL90" s="87" t="str">
        <f t="shared" si="122"/>
        <v/>
      </c>
      <c r="AM90" s="87" t="str">
        <f t="shared" si="122"/>
        <v/>
      </c>
      <c r="AN90" s="87" t="str">
        <f t="shared" si="122"/>
        <v/>
      </c>
      <c r="AP90" s="87" t="str">
        <f t="shared" si="73"/>
        <v/>
      </c>
      <c r="AQ90" s="87" t="str">
        <f t="shared" si="74"/>
        <v/>
      </c>
      <c r="AR90" s="87" t="str">
        <f t="shared" si="75"/>
        <v/>
      </c>
      <c r="AS90" s="87" t="str">
        <f t="shared" si="76"/>
        <v/>
      </c>
      <c r="AT90" s="87" t="str">
        <f t="shared" si="77"/>
        <v/>
      </c>
      <c r="AU90" s="87" t="str">
        <f t="shared" si="78"/>
        <v/>
      </c>
      <c r="AV90" s="87" t="str">
        <f t="shared" si="79"/>
        <v/>
      </c>
      <c r="AW90" s="87" t="str">
        <f t="shared" si="80"/>
        <v/>
      </c>
      <c r="AX90" s="87" t="str">
        <f t="shared" si="81"/>
        <v/>
      </c>
      <c r="AY90" s="87" t="str">
        <f t="shared" si="82"/>
        <v/>
      </c>
      <c r="AZ90" s="87" t="str">
        <f t="shared" si="83"/>
        <v/>
      </c>
      <c r="BA90" s="87" t="str">
        <f t="shared" si="84"/>
        <v/>
      </c>
      <c r="BB90" s="90" t="str">
        <f t="shared" si="90"/>
        <v/>
      </c>
      <c r="BE90" s="87" t="str">
        <f t="shared" si="85"/>
        <v/>
      </c>
      <c r="BF90" s="87" t="str">
        <f t="shared" si="86"/>
        <v/>
      </c>
      <c r="BG90" s="87" t="str">
        <f t="shared" si="87"/>
        <v/>
      </c>
      <c r="BH90" s="87" t="str">
        <f t="shared" si="91"/>
        <v/>
      </c>
      <c r="BI90" s="87" t="str">
        <f t="shared" si="88"/>
        <v/>
      </c>
      <c r="BO90" s="87" t="str">
        <f t="shared" si="92"/>
        <v>〇</v>
      </c>
      <c r="BP90" s="87" t="str">
        <f t="shared" si="93"/>
        <v>〇</v>
      </c>
      <c r="BQ90" s="87" t="str">
        <f t="shared" si="94"/>
        <v>〇</v>
      </c>
      <c r="BR90" s="87" t="str">
        <f t="shared" si="95"/>
        <v>〇</v>
      </c>
      <c r="BS90" s="87" t="str">
        <f t="shared" si="96"/>
        <v>〇</v>
      </c>
      <c r="BT90" s="87" t="str">
        <f t="shared" si="97"/>
        <v>〇</v>
      </c>
      <c r="BU90" s="87" t="str">
        <f t="shared" si="98"/>
        <v>〇</v>
      </c>
      <c r="BV90" s="87" t="str">
        <f t="shared" si="99"/>
        <v>〇</v>
      </c>
      <c r="BW90" s="87" t="str">
        <f t="shared" si="100"/>
        <v>〇</v>
      </c>
      <c r="BX90" s="87" t="str">
        <f t="shared" si="101"/>
        <v>〇</v>
      </c>
      <c r="BY90" s="87" t="str">
        <f t="shared" si="102"/>
        <v>〇</v>
      </c>
      <c r="BZ90" s="87" t="str">
        <f t="shared" si="103"/>
        <v>〇</v>
      </c>
      <c r="CA90" s="87" t="str">
        <f t="shared" si="104"/>
        <v>〇</v>
      </c>
      <c r="CB90" s="87" t="str">
        <f t="shared" si="105"/>
        <v>〇</v>
      </c>
      <c r="CC90" s="87" t="str">
        <f t="shared" si="106"/>
        <v>〇</v>
      </c>
      <c r="CD90" s="87" t="str">
        <f t="shared" si="107"/>
        <v>〇</v>
      </c>
      <c r="CE90" s="87" t="str">
        <f t="shared" si="108"/>
        <v>〇</v>
      </c>
      <c r="CF90" s="87" t="str">
        <f t="shared" si="109"/>
        <v>〇</v>
      </c>
      <c r="CG90" s="87" t="str">
        <f t="shared" si="110"/>
        <v>〇</v>
      </c>
      <c r="CH90" s="87" t="str">
        <f t="shared" si="111"/>
        <v>〇</v>
      </c>
      <c r="CI90" s="87" t="str">
        <f t="shared" si="112"/>
        <v>〇</v>
      </c>
      <c r="CJ90" s="87" t="str">
        <f t="shared" si="113"/>
        <v>〇</v>
      </c>
      <c r="CK90" s="87" t="str">
        <f t="shared" si="114"/>
        <v>〇</v>
      </c>
      <c r="CL90" s="87" t="str">
        <f t="shared" si="115"/>
        <v>〇</v>
      </c>
      <c r="CM90" s="87" t="str">
        <f t="shared" si="116"/>
        <v>〇</v>
      </c>
      <c r="CN90" s="87" t="str">
        <f t="shared" si="117"/>
        <v>〇</v>
      </c>
      <c r="CO90" s="87" t="str">
        <f t="shared" si="118"/>
        <v>〇</v>
      </c>
      <c r="CP90" s="87" t="str">
        <f t="shared" si="119"/>
        <v>〇</v>
      </c>
      <c r="CQ90" s="87" t="str">
        <f t="shared" si="120"/>
        <v>〇</v>
      </c>
      <c r="CS90" s="476"/>
      <c r="CT90" s="476"/>
      <c r="CU90" s="476"/>
      <c r="CV90" s="476"/>
    </row>
    <row r="91" spans="1:100" s="90" customFormat="1" ht="23.15" customHeight="1">
      <c r="A91" s="2">
        <v>85</v>
      </c>
      <c r="B91" s="14"/>
      <c r="C91" s="4"/>
      <c r="D91" s="5"/>
      <c r="E91" s="3"/>
      <c r="F91" s="6"/>
      <c r="G91" s="7"/>
      <c r="H91" s="8"/>
      <c r="I91" s="8"/>
      <c r="J91" s="8"/>
      <c r="K91" s="8"/>
      <c r="L91" s="8"/>
      <c r="M91" s="8"/>
      <c r="N91" s="8"/>
      <c r="O91" s="8"/>
      <c r="P91" s="8"/>
      <c r="Q91" s="9"/>
      <c r="R91" s="10"/>
      <c r="S91" s="11"/>
      <c r="T91" s="9"/>
      <c r="U91" s="16"/>
      <c r="V91" s="9"/>
      <c r="W91" s="12"/>
      <c r="X91" s="13" t="str">
        <f t="shared" si="121"/>
        <v/>
      </c>
      <c r="Y91" s="89" t="str">
        <f t="shared" si="89"/>
        <v/>
      </c>
      <c r="Z91" s="87">
        <f>IF(COUNTIF($E$7:E91,E91)=1,"",COUNTIF($E$7:E91,E91))</f>
        <v>0</v>
      </c>
      <c r="AA91" s="87" t="str">
        <f t="shared" si="72"/>
        <v/>
      </c>
      <c r="AC91" s="87" t="str">
        <f t="shared" si="71"/>
        <v/>
      </c>
      <c r="AD91" s="87" t="str">
        <f t="shared" si="122"/>
        <v/>
      </c>
      <c r="AE91" s="87" t="str">
        <f t="shared" si="122"/>
        <v/>
      </c>
      <c r="AF91" s="87" t="str">
        <f t="shared" si="122"/>
        <v/>
      </c>
      <c r="AG91" s="87" t="str">
        <f t="shared" si="122"/>
        <v/>
      </c>
      <c r="AH91" s="87" t="str">
        <f t="shared" si="122"/>
        <v/>
      </c>
      <c r="AI91" s="87" t="str">
        <f t="shared" si="122"/>
        <v/>
      </c>
      <c r="AJ91" s="87" t="str">
        <f t="shared" si="122"/>
        <v/>
      </c>
      <c r="AK91" s="87" t="str">
        <f t="shared" si="122"/>
        <v/>
      </c>
      <c r="AL91" s="87" t="str">
        <f t="shared" si="122"/>
        <v/>
      </c>
      <c r="AM91" s="87" t="str">
        <f t="shared" si="122"/>
        <v/>
      </c>
      <c r="AN91" s="87" t="str">
        <f t="shared" si="122"/>
        <v/>
      </c>
      <c r="AP91" s="87" t="str">
        <f t="shared" si="73"/>
        <v/>
      </c>
      <c r="AQ91" s="87" t="str">
        <f t="shared" si="74"/>
        <v/>
      </c>
      <c r="AR91" s="87" t="str">
        <f t="shared" si="75"/>
        <v/>
      </c>
      <c r="AS91" s="87" t="str">
        <f t="shared" si="76"/>
        <v/>
      </c>
      <c r="AT91" s="87" t="str">
        <f t="shared" si="77"/>
        <v/>
      </c>
      <c r="AU91" s="87" t="str">
        <f t="shared" si="78"/>
        <v/>
      </c>
      <c r="AV91" s="87" t="str">
        <f t="shared" si="79"/>
        <v/>
      </c>
      <c r="AW91" s="87" t="str">
        <f t="shared" si="80"/>
        <v/>
      </c>
      <c r="AX91" s="87" t="str">
        <f t="shared" si="81"/>
        <v/>
      </c>
      <c r="AY91" s="87" t="str">
        <f t="shared" si="82"/>
        <v/>
      </c>
      <c r="AZ91" s="87" t="str">
        <f t="shared" si="83"/>
        <v/>
      </c>
      <c r="BA91" s="87" t="str">
        <f t="shared" si="84"/>
        <v/>
      </c>
      <c r="BB91" s="90" t="str">
        <f t="shared" si="90"/>
        <v/>
      </c>
      <c r="BE91" s="87" t="str">
        <f t="shared" si="85"/>
        <v/>
      </c>
      <c r="BF91" s="87" t="str">
        <f t="shared" si="86"/>
        <v/>
      </c>
      <c r="BG91" s="87" t="str">
        <f t="shared" si="87"/>
        <v/>
      </c>
      <c r="BH91" s="87" t="str">
        <f t="shared" si="91"/>
        <v/>
      </c>
      <c r="BI91" s="87" t="str">
        <f t="shared" si="88"/>
        <v/>
      </c>
      <c r="BO91" s="87" t="str">
        <f t="shared" si="92"/>
        <v>〇</v>
      </c>
      <c r="BP91" s="87" t="str">
        <f t="shared" si="93"/>
        <v>〇</v>
      </c>
      <c r="BQ91" s="87" t="str">
        <f t="shared" si="94"/>
        <v>〇</v>
      </c>
      <c r="BR91" s="87" t="str">
        <f t="shared" si="95"/>
        <v>〇</v>
      </c>
      <c r="BS91" s="87" t="str">
        <f t="shared" si="96"/>
        <v>〇</v>
      </c>
      <c r="BT91" s="87" t="str">
        <f t="shared" si="97"/>
        <v>〇</v>
      </c>
      <c r="BU91" s="87" t="str">
        <f t="shared" si="98"/>
        <v>〇</v>
      </c>
      <c r="BV91" s="87" t="str">
        <f t="shared" si="99"/>
        <v>〇</v>
      </c>
      <c r="BW91" s="87" t="str">
        <f t="shared" si="100"/>
        <v>〇</v>
      </c>
      <c r="BX91" s="87" t="str">
        <f t="shared" si="101"/>
        <v>〇</v>
      </c>
      <c r="BY91" s="87" t="str">
        <f t="shared" si="102"/>
        <v>〇</v>
      </c>
      <c r="BZ91" s="87" t="str">
        <f t="shared" si="103"/>
        <v>〇</v>
      </c>
      <c r="CA91" s="87" t="str">
        <f t="shared" si="104"/>
        <v>〇</v>
      </c>
      <c r="CB91" s="87" t="str">
        <f t="shared" si="105"/>
        <v>〇</v>
      </c>
      <c r="CC91" s="87" t="str">
        <f t="shared" si="106"/>
        <v>〇</v>
      </c>
      <c r="CD91" s="87" t="str">
        <f t="shared" si="107"/>
        <v>〇</v>
      </c>
      <c r="CE91" s="87" t="str">
        <f t="shared" si="108"/>
        <v>〇</v>
      </c>
      <c r="CF91" s="87" t="str">
        <f t="shared" si="109"/>
        <v>〇</v>
      </c>
      <c r="CG91" s="87" t="str">
        <f t="shared" si="110"/>
        <v>〇</v>
      </c>
      <c r="CH91" s="87" t="str">
        <f t="shared" si="111"/>
        <v>〇</v>
      </c>
      <c r="CI91" s="87" t="str">
        <f t="shared" si="112"/>
        <v>〇</v>
      </c>
      <c r="CJ91" s="87" t="str">
        <f t="shared" si="113"/>
        <v>〇</v>
      </c>
      <c r="CK91" s="87" t="str">
        <f t="shared" si="114"/>
        <v>〇</v>
      </c>
      <c r="CL91" s="87" t="str">
        <f t="shared" si="115"/>
        <v>〇</v>
      </c>
      <c r="CM91" s="87" t="str">
        <f t="shared" si="116"/>
        <v>〇</v>
      </c>
      <c r="CN91" s="87" t="str">
        <f t="shared" si="117"/>
        <v>〇</v>
      </c>
      <c r="CO91" s="87" t="str">
        <f t="shared" si="118"/>
        <v>〇</v>
      </c>
      <c r="CP91" s="87" t="str">
        <f t="shared" si="119"/>
        <v>〇</v>
      </c>
      <c r="CQ91" s="87" t="str">
        <f t="shared" si="120"/>
        <v>〇</v>
      </c>
      <c r="CS91" s="476"/>
      <c r="CT91" s="476"/>
      <c r="CU91" s="476"/>
      <c r="CV91" s="476"/>
    </row>
    <row r="92" spans="1:100" s="90" customFormat="1" ht="23.15" customHeight="1">
      <c r="A92" s="2">
        <v>86</v>
      </c>
      <c r="B92" s="14"/>
      <c r="C92" s="4"/>
      <c r="D92" s="5"/>
      <c r="E92" s="3"/>
      <c r="F92" s="6"/>
      <c r="G92" s="7"/>
      <c r="H92" s="8"/>
      <c r="I92" s="8"/>
      <c r="J92" s="8"/>
      <c r="K92" s="8"/>
      <c r="L92" s="8"/>
      <c r="M92" s="8"/>
      <c r="N92" s="8"/>
      <c r="O92" s="8"/>
      <c r="P92" s="8"/>
      <c r="Q92" s="9"/>
      <c r="R92" s="10"/>
      <c r="S92" s="11"/>
      <c r="T92" s="9"/>
      <c r="U92" s="16"/>
      <c r="V92" s="9"/>
      <c r="W92" s="12"/>
      <c r="X92" s="13" t="str">
        <f t="shared" si="121"/>
        <v/>
      </c>
      <c r="Y92" s="89" t="str">
        <f t="shared" si="89"/>
        <v/>
      </c>
      <c r="Z92" s="87">
        <f>IF(COUNTIF($E$7:E92,E92)=1,"",COUNTIF($E$7:E92,E92))</f>
        <v>0</v>
      </c>
      <c r="AA92" s="87" t="str">
        <f t="shared" si="72"/>
        <v/>
      </c>
      <c r="AC92" s="87" t="str">
        <f t="shared" si="71"/>
        <v/>
      </c>
      <c r="AD92" s="87" t="str">
        <f t="shared" si="122"/>
        <v/>
      </c>
      <c r="AE92" s="87" t="str">
        <f t="shared" si="122"/>
        <v/>
      </c>
      <c r="AF92" s="87" t="str">
        <f t="shared" si="122"/>
        <v/>
      </c>
      <c r="AG92" s="87" t="str">
        <f t="shared" si="122"/>
        <v/>
      </c>
      <c r="AH92" s="87" t="str">
        <f t="shared" si="122"/>
        <v/>
      </c>
      <c r="AI92" s="87" t="str">
        <f t="shared" si="122"/>
        <v/>
      </c>
      <c r="AJ92" s="87" t="str">
        <f t="shared" si="122"/>
        <v/>
      </c>
      <c r="AK92" s="87" t="str">
        <f t="shared" si="122"/>
        <v/>
      </c>
      <c r="AL92" s="87" t="str">
        <f t="shared" si="122"/>
        <v/>
      </c>
      <c r="AM92" s="87" t="str">
        <f t="shared" si="122"/>
        <v/>
      </c>
      <c r="AN92" s="87" t="str">
        <f t="shared" si="122"/>
        <v/>
      </c>
      <c r="AP92" s="87" t="str">
        <f t="shared" si="73"/>
        <v/>
      </c>
      <c r="AQ92" s="87" t="str">
        <f t="shared" si="74"/>
        <v/>
      </c>
      <c r="AR92" s="87" t="str">
        <f t="shared" si="75"/>
        <v/>
      </c>
      <c r="AS92" s="87" t="str">
        <f t="shared" si="76"/>
        <v/>
      </c>
      <c r="AT92" s="87" t="str">
        <f t="shared" si="77"/>
        <v/>
      </c>
      <c r="AU92" s="87" t="str">
        <f t="shared" si="78"/>
        <v/>
      </c>
      <c r="AV92" s="87" t="str">
        <f t="shared" si="79"/>
        <v/>
      </c>
      <c r="AW92" s="87" t="str">
        <f t="shared" si="80"/>
        <v/>
      </c>
      <c r="AX92" s="87" t="str">
        <f t="shared" si="81"/>
        <v/>
      </c>
      <c r="AY92" s="87" t="str">
        <f t="shared" si="82"/>
        <v/>
      </c>
      <c r="AZ92" s="87" t="str">
        <f t="shared" si="83"/>
        <v/>
      </c>
      <c r="BA92" s="87" t="str">
        <f t="shared" si="84"/>
        <v/>
      </c>
      <c r="BB92" s="90" t="str">
        <f t="shared" si="90"/>
        <v/>
      </c>
      <c r="BE92" s="87" t="str">
        <f t="shared" si="85"/>
        <v/>
      </c>
      <c r="BF92" s="87" t="str">
        <f t="shared" si="86"/>
        <v/>
      </c>
      <c r="BG92" s="87" t="str">
        <f t="shared" si="87"/>
        <v/>
      </c>
      <c r="BH92" s="87" t="str">
        <f t="shared" si="91"/>
        <v/>
      </c>
      <c r="BI92" s="87" t="str">
        <f t="shared" si="88"/>
        <v/>
      </c>
      <c r="BO92" s="87" t="str">
        <f t="shared" si="92"/>
        <v>〇</v>
      </c>
      <c r="BP92" s="87" t="str">
        <f t="shared" si="93"/>
        <v>〇</v>
      </c>
      <c r="BQ92" s="87" t="str">
        <f t="shared" si="94"/>
        <v>〇</v>
      </c>
      <c r="BR92" s="87" t="str">
        <f t="shared" si="95"/>
        <v>〇</v>
      </c>
      <c r="BS92" s="87" t="str">
        <f t="shared" si="96"/>
        <v>〇</v>
      </c>
      <c r="BT92" s="87" t="str">
        <f t="shared" si="97"/>
        <v>〇</v>
      </c>
      <c r="BU92" s="87" t="str">
        <f t="shared" si="98"/>
        <v>〇</v>
      </c>
      <c r="BV92" s="87" t="str">
        <f t="shared" si="99"/>
        <v>〇</v>
      </c>
      <c r="BW92" s="87" t="str">
        <f t="shared" si="100"/>
        <v>〇</v>
      </c>
      <c r="BX92" s="87" t="str">
        <f t="shared" si="101"/>
        <v>〇</v>
      </c>
      <c r="BY92" s="87" t="str">
        <f t="shared" si="102"/>
        <v>〇</v>
      </c>
      <c r="BZ92" s="87" t="str">
        <f t="shared" si="103"/>
        <v>〇</v>
      </c>
      <c r="CA92" s="87" t="str">
        <f t="shared" si="104"/>
        <v>〇</v>
      </c>
      <c r="CB92" s="87" t="str">
        <f t="shared" si="105"/>
        <v>〇</v>
      </c>
      <c r="CC92" s="87" t="str">
        <f t="shared" si="106"/>
        <v>〇</v>
      </c>
      <c r="CD92" s="87" t="str">
        <f t="shared" si="107"/>
        <v>〇</v>
      </c>
      <c r="CE92" s="87" t="str">
        <f t="shared" si="108"/>
        <v>〇</v>
      </c>
      <c r="CF92" s="87" t="str">
        <f t="shared" si="109"/>
        <v>〇</v>
      </c>
      <c r="CG92" s="87" t="str">
        <f t="shared" si="110"/>
        <v>〇</v>
      </c>
      <c r="CH92" s="87" t="str">
        <f t="shared" si="111"/>
        <v>〇</v>
      </c>
      <c r="CI92" s="87" t="str">
        <f t="shared" si="112"/>
        <v>〇</v>
      </c>
      <c r="CJ92" s="87" t="str">
        <f t="shared" si="113"/>
        <v>〇</v>
      </c>
      <c r="CK92" s="87" t="str">
        <f t="shared" si="114"/>
        <v>〇</v>
      </c>
      <c r="CL92" s="87" t="str">
        <f t="shared" si="115"/>
        <v>〇</v>
      </c>
      <c r="CM92" s="87" t="str">
        <f t="shared" si="116"/>
        <v>〇</v>
      </c>
      <c r="CN92" s="87" t="str">
        <f t="shared" si="117"/>
        <v>〇</v>
      </c>
      <c r="CO92" s="87" t="str">
        <f t="shared" si="118"/>
        <v>〇</v>
      </c>
      <c r="CP92" s="87" t="str">
        <f t="shared" si="119"/>
        <v>〇</v>
      </c>
      <c r="CQ92" s="87" t="str">
        <f t="shared" si="120"/>
        <v>〇</v>
      </c>
      <c r="CS92" s="476"/>
      <c r="CT92" s="476"/>
      <c r="CU92" s="476"/>
      <c r="CV92" s="476"/>
    </row>
    <row r="93" spans="1:100" s="90" customFormat="1" ht="23.15" customHeight="1">
      <c r="A93" s="2">
        <v>87</v>
      </c>
      <c r="B93" s="14"/>
      <c r="C93" s="4"/>
      <c r="D93" s="5"/>
      <c r="E93" s="3"/>
      <c r="F93" s="6"/>
      <c r="G93" s="7"/>
      <c r="H93" s="8"/>
      <c r="I93" s="8"/>
      <c r="J93" s="8"/>
      <c r="K93" s="8"/>
      <c r="L93" s="8"/>
      <c r="M93" s="8"/>
      <c r="N93" s="8"/>
      <c r="O93" s="8"/>
      <c r="P93" s="8"/>
      <c r="Q93" s="9"/>
      <c r="R93" s="10"/>
      <c r="S93" s="11"/>
      <c r="T93" s="9"/>
      <c r="U93" s="16"/>
      <c r="V93" s="9"/>
      <c r="W93" s="12"/>
      <c r="X93" s="13" t="str">
        <f t="shared" si="121"/>
        <v/>
      </c>
      <c r="Y93" s="89" t="str">
        <f t="shared" si="89"/>
        <v/>
      </c>
      <c r="Z93" s="87">
        <f>IF(COUNTIF($E$7:E93,E93)=1,"",COUNTIF($E$7:E93,E93))</f>
        <v>0</v>
      </c>
      <c r="AA93" s="87" t="str">
        <f t="shared" si="72"/>
        <v/>
      </c>
      <c r="AC93" s="87" t="str">
        <f t="shared" si="71"/>
        <v/>
      </c>
      <c r="AD93" s="87" t="str">
        <f t="shared" si="122"/>
        <v/>
      </c>
      <c r="AE93" s="87" t="str">
        <f t="shared" si="122"/>
        <v/>
      </c>
      <c r="AF93" s="87" t="str">
        <f t="shared" si="122"/>
        <v/>
      </c>
      <c r="AG93" s="87" t="str">
        <f t="shared" si="122"/>
        <v/>
      </c>
      <c r="AH93" s="87" t="str">
        <f t="shared" si="122"/>
        <v/>
      </c>
      <c r="AI93" s="87" t="str">
        <f t="shared" si="122"/>
        <v/>
      </c>
      <c r="AJ93" s="87" t="str">
        <f t="shared" si="122"/>
        <v/>
      </c>
      <c r="AK93" s="87" t="str">
        <f t="shared" si="122"/>
        <v/>
      </c>
      <c r="AL93" s="87" t="str">
        <f t="shared" si="122"/>
        <v/>
      </c>
      <c r="AM93" s="87" t="str">
        <f t="shared" si="122"/>
        <v/>
      </c>
      <c r="AN93" s="87" t="str">
        <f t="shared" si="122"/>
        <v/>
      </c>
      <c r="AP93" s="87" t="str">
        <f t="shared" si="73"/>
        <v/>
      </c>
      <c r="AQ93" s="87" t="str">
        <f t="shared" si="74"/>
        <v/>
      </c>
      <c r="AR93" s="87" t="str">
        <f t="shared" si="75"/>
        <v/>
      </c>
      <c r="AS93" s="87" t="str">
        <f t="shared" si="76"/>
        <v/>
      </c>
      <c r="AT93" s="87" t="str">
        <f t="shared" si="77"/>
        <v/>
      </c>
      <c r="AU93" s="87" t="str">
        <f t="shared" si="78"/>
        <v/>
      </c>
      <c r="AV93" s="87" t="str">
        <f t="shared" si="79"/>
        <v/>
      </c>
      <c r="AW93" s="87" t="str">
        <f t="shared" si="80"/>
        <v/>
      </c>
      <c r="AX93" s="87" t="str">
        <f t="shared" si="81"/>
        <v/>
      </c>
      <c r="AY93" s="87" t="str">
        <f t="shared" si="82"/>
        <v/>
      </c>
      <c r="AZ93" s="87" t="str">
        <f t="shared" si="83"/>
        <v/>
      </c>
      <c r="BA93" s="87" t="str">
        <f t="shared" si="84"/>
        <v/>
      </c>
      <c r="BB93" s="90" t="str">
        <f t="shared" si="90"/>
        <v/>
      </c>
      <c r="BE93" s="87" t="str">
        <f t="shared" si="85"/>
        <v/>
      </c>
      <c r="BF93" s="87" t="str">
        <f t="shared" si="86"/>
        <v/>
      </c>
      <c r="BG93" s="87" t="str">
        <f t="shared" si="87"/>
        <v/>
      </c>
      <c r="BH93" s="87" t="str">
        <f t="shared" si="91"/>
        <v/>
      </c>
      <c r="BI93" s="87" t="str">
        <f t="shared" si="88"/>
        <v/>
      </c>
      <c r="BO93" s="87" t="str">
        <f t="shared" si="92"/>
        <v>〇</v>
      </c>
      <c r="BP93" s="87" t="str">
        <f t="shared" si="93"/>
        <v>〇</v>
      </c>
      <c r="BQ93" s="87" t="str">
        <f t="shared" si="94"/>
        <v>〇</v>
      </c>
      <c r="BR93" s="87" t="str">
        <f t="shared" si="95"/>
        <v>〇</v>
      </c>
      <c r="BS93" s="87" t="str">
        <f t="shared" si="96"/>
        <v>〇</v>
      </c>
      <c r="BT93" s="87" t="str">
        <f t="shared" si="97"/>
        <v>〇</v>
      </c>
      <c r="BU93" s="87" t="str">
        <f t="shared" si="98"/>
        <v>〇</v>
      </c>
      <c r="BV93" s="87" t="str">
        <f t="shared" si="99"/>
        <v>〇</v>
      </c>
      <c r="BW93" s="87" t="str">
        <f t="shared" si="100"/>
        <v>〇</v>
      </c>
      <c r="BX93" s="87" t="str">
        <f t="shared" si="101"/>
        <v>〇</v>
      </c>
      <c r="BY93" s="87" t="str">
        <f t="shared" si="102"/>
        <v>〇</v>
      </c>
      <c r="BZ93" s="87" t="str">
        <f t="shared" si="103"/>
        <v>〇</v>
      </c>
      <c r="CA93" s="87" t="str">
        <f t="shared" si="104"/>
        <v>〇</v>
      </c>
      <c r="CB93" s="87" t="str">
        <f t="shared" si="105"/>
        <v>〇</v>
      </c>
      <c r="CC93" s="87" t="str">
        <f t="shared" si="106"/>
        <v>〇</v>
      </c>
      <c r="CD93" s="87" t="str">
        <f t="shared" si="107"/>
        <v>〇</v>
      </c>
      <c r="CE93" s="87" t="str">
        <f t="shared" si="108"/>
        <v>〇</v>
      </c>
      <c r="CF93" s="87" t="str">
        <f t="shared" si="109"/>
        <v>〇</v>
      </c>
      <c r="CG93" s="87" t="str">
        <f t="shared" si="110"/>
        <v>〇</v>
      </c>
      <c r="CH93" s="87" t="str">
        <f t="shared" si="111"/>
        <v>〇</v>
      </c>
      <c r="CI93" s="87" t="str">
        <f t="shared" si="112"/>
        <v>〇</v>
      </c>
      <c r="CJ93" s="87" t="str">
        <f t="shared" si="113"/>
        <v>〇</v>
      </c>
      <c r="CK93" s="87" t="str">
        <f t="shared" si="114"/>
        <v>〇</v>
      </c>
      <c r="CL93" s="87" t="str">
        <f t="shared" si="115"/>
        <v>〇</v>
      </c>
      <c r="CM93" s="87" t="str">
        <f t="shared" si="116"/>
        <v>〇</v>
      </c>
      <c r="CN93" s="87" t="str">
        <f t="shared" si="117"/>
        <v>〇</v>
      </c>
      <c r="CO93" s="87" t="str">
        <f t="shared" si="118"/>
        <v>〇</v>
      </c>
      <c r="CP93" s="87" t="str">
        <f t="shared" si="119"/>
        <v>〇</v>
      </c>
      <c r="CQ93" s="87" t="str">
        <f t="shared" si="120"/>
        <v>〇</v>
      </c>
      <c r="CS93" s="476"/>
      <c r="CT93" s="476"/>
      <c r="CU93" s="476"/>
      <c r="CV93" s="476"/>
    </row>
    <row r="94" spans="1:100" s="90" customFormat="1" ht="23.15" customHeight="1">
      <c r="A94" s="2">
        <v>88</v>
      </c>
      <c r="B94" s="14"/>
      <c r="C94" s="4"/>
      <c r="D94" s="5"/>
      <c r="E94" s="3"/>
      <c r="F94" s="6"/>
      <c r="G94" s="7"/>
      <c r="H94" s="8"/>
      <c r="I94" s="8"/>
      <c r="J94" s="8"/>
      <c r="K94" s="8"/>
      <c r="L94" s="8"/>
      <c r="M94" s="8"/>
      <c r="N94" s="8"/>
      <c r="O94" s="8"/>
      <c r="P94" s="8"/>
      <c r="Q94" s="9"/>
      <c r="R94" s="10"/>
      <c r="S94" s="11"/>
      <c r="T94" s="9"/>
      <c r="U94" s="16"/>
      <c r="V94" s="9"/>
      <c r="W94" s="12"/>
      <c r="X94" s="13" t="str">
        <f t="shared" si="121"/>
        <v/>
      </c>
      <c r="Y94" s="89" t="str">
        <f t="shared" si="89"/>
        <v/>
      </c>
      <c r="Z94" s="87">
        <f>IF(COUNTIF($E$7:E94,E94)=1,"",COUNTIF($E$7:E94,E94))</f>
        <v>0</v>
      </c>
      <c r="AA94" s="87" t="str">
        <f t="shared" si="72"/>
        <v/>
      </c>
      <c r="AC94" s="87" t="str">
        <f t="shared" si="71"/>
        <v/>
      </c>
      <c r="AD94" s="87" t="str">
        <f t="shared" si="122"/>
        <v/>
      </c>
      <c r="AE94" s="87" t="str">
        <f t="shared" si="122"/>
        <v/>
      </c>
      <c r="AF94" s="87" t="str">
        <f t="shared" si="122"/>
        <v/>
      </c>
      <c r="AG94" s="87" t="str">
        <f t="shared" si="122"/>
        <v/>
      </c>
      <c r="AH94" s="87" t="str">
        <f t="shared" si="122"/>
        <v/>
      </c>
      <c r="AI94" s="87" t="str">
        <f t="shared" si="122"/>
        <v/>
      </c>
      <c r="AJ94" s="87" t="str">
        <f t="shared" si="122"/>
        <v/>
      </c>
      <c r="AK94" s="87" t="str">
        <f t="shared" si="122"/>
        <v/>
      </c>
      <c r="AL94" s="87" t="str">
        <f t="shared" si="122"/>
        <v/>
      </c>
      <c r="AM94" s="87" t="str">
        <f t="shared" si="122"/>
        <v/>
      </c>
      <c r="AN94" s="87" t="str">
        <f t="shared" si="122"/>
        <v/>
      </c>
      <c r="AP94" s="87" t="str">
        <f t="shared" si="73"/>
        <v/>
      </c>
      <c r="AQ94" s="87" t="str">
        <f t="shared" si="74"/>
        <v/>
      </c>
      <c r="AR94" s="87" t="str">
        <f t="shared" si="75"/>
        <v/>
      </c>
      <c r="AS94" s="87" t="str">
        <f t="shared" si="76"/>
        <v/>
      </c>
      <c r="AT94" s="87" t="str">
        <f t="shared" si="77"/>
        <v/>
      </c>
      <c r="AU94" s="87" t="str">
        <f t="shared" si="78"/>
        <v/>
      </c>
      <c r="AV94" s="87" t="str">
        <f t="shared" si="79"/>
        <v/>
      </c>
      <c r="AW94" s="87" t="str">
        <f t="shared" si="80"/>
        <v/>
      </c>
      <c r="AX94" s="87" t="str">
        <f t="shared" si="81"/>
        <v/>
      </c>
      <c r="AY94" s="87" t="str">
        <f t="shared" si="82"/>
        <v/>
      </c>
      <c r="AZ94" s="87" t="str">
        <f t="shared" si="83"/>
        <v/>
      </c>
      <c r="BA94" s="87" t="str">
        <f t="shared" si="84"/>
        <v/>
      </c>
      <c r="BB94" s="90" t="str">
        <f t="shared" si="90"/>
        <v/>
      </c>
      <c r="BE94" s="87" t="str">
        <f t="shared" si="85"/>
        <v/>
      </c>
      <c r="BF94" s="87" t="str">
        <f t="shared" si="86"/>
        <v/>
      </c>
      <c r="BG94" s="87" t="str">
        <f t="shared" si="87"/>
        <v/>
      </c>
      <c r="BH94" s="87" t="str">
        <f t="shared" si="91"/>
        <v/>
      </c>
      <c r="BI94" s="87" t="str">
        <f t="shared" si="88"/>
        <v/>
      </c>
      <c r="BO94" s="87" t="str">
        <f t="shared" si="92"/>
        <v>〇</v>
      </c>
      <c r="BP94" s="87" t="str">
        <f t="shared" si="93"/>
        <v>〇</v>
      </c>
      <c r="BQ94" s="87" t="str">
        <f t="shared" si="94"/>
        <v>〇</v>
      </c>
      <c r="BR94" s="87" t="str">
        <f t="shared" si="95"/>
        <v>〇</v>
      </c>
      <c r="BS94" s="87" t="str">
        <f t="shared" si="96"/>
        <v>〇</v>
      </c>
      <c r="BT94" s="87" t="str">
        <f t="shared" si="97"/>
        <v>〇</v>
      </c>
      <c r="BU94" s="87" t="str">
        <f t="shared" si="98"/>
        <v>〇</v>
      </c>
      <c r="BV94" s="87" t="str">
        <f t="shared" si="99"/>
        <v>〇</v>
      </c>
      <c r="BW94" s="87" t="str">
        <f t="shared" si="100"/>
        <v>〇</v>
      </c>
      <c r="BX94" s="87" t="str">
        <f t="shared" si="101"/>
        <v>〇</v>
      </c>
      <c r="BY94" s="87" t="str">
        <f t="shared" si="102"/>
        <v>〇</v>
      </c>
      <c r="BZ94" s="87" t="str">
        <f t="shared" si="103"/>
        <v>〇</v>
      </c>
      <c r="CA94" s="87" t="str">
        <f t="shared" si="104"/>
        <v>〇</v>
      </c>
      <c r="CB94" s="87" t="str">
        <f t="shared" si="105"/>
        <v>〇</v>
      </c>
      <c r="CC94" s="87" t="str">
        <f t="shared" si="106"/>
        <v>〇</v>
      </c>
      <c r="CD94" s="87" t="str">
        <f t="shared" si="107"/>
        <v>〇</v>
      </c>
      <c r="CE94" s="87" t="str">
        <f t="shared" si="108"/>
        <v>〇</v>
      </c>
      <c r="CF94" s="87" t="str">
        <f t="shared" si="109"/>
        <v>〇</v>
      </c>
      <c r="CG94" s="87" t="str">
        <f t="shared" si="110"/>
        <v>〇</v>
      </c>
      <c r="CH94" s="87" t="str">
        <f t="shared" si="111"/>
        <v>〇</v>
      </c>
      <c r="CI94" s="87" t="str">
        <f t="shared" si="112"/>
        <v>〇</v>
      </c>
      <c r="CJ94" s="87" t="str">
        <f t="shared" si="113"/>
        <v>〇</v>
      </c>
      <c r="CK94" s="87" t="str">
        <f t="shared" si="114"/>
        <v>〇</v>
      </c>
      <c r="CL94" s="87" t="str">
        <f t="shared" si="115"/>
        <v>〇</v>
      </c>
      <c r="CM94" s="87" t="str">
        <f t="shared" si="116"/>
        <v>〇</v>
      </c>
      <c r="CN94" s="87" t="str">
        <f t="shared" si="117"/>
        <v>〇</v>
      </c>
      <c r="CO94" s="87" t="str">
        <f t="shared" si="118"/>
        <v>〇</v>
      </c>
      <c r="CP94" s="87" t="str">
        <f t="shared" si="119"/>
        <v>〇</v>
      </c>
      <c r="CQ94" s="87" t="str">
        <f t="shared" si="120"/>
        <v>〇</v>
      </c>
      <c r="CS94" s="476"/>
      <c r="CT94" s="476"/>
      <c r="CU94" s="476"/>
      <c r="CV94" s="476"/>
    </row>
    <row r="95" spans="1:100" s="90" customFormat="1" ht="23.15" customHeight="1">
      <c r="A95" s="2">
        <v>89</v>
      </c>
      <c r="B95" s="14"/>
      <c r="C95" s="4"/>
      <c r="D95" s="5"/>
      <c r="E95" s="3"/>
      <c r="F95" s="6"/>
      <c r="G95" s="7"/>
      <c r="H95" s="8"/>
      <c r="I95" s="8"/>
      <c r="J95" s="8"/>
      <c r="K95" s="8"/>
      <c r="L95" s="8"/>
      <c r="M95" s="8"/>
      <c r="N95" s="8"/>
      <c r="O95" s="8"/>
      <c r="P95" s="8"/>
      <c r="Q95" s="9"/>
      <c r="R95" s="10"/>
      <c r="S95" s="11"/>
      <c r="T95" s="9"/>
      <c r="U95" s="16"/>
      <c r="V95" s="9"/>
      <c r="W95" s="12"/>
      <c r="X95" s="13" t="str">
        <f t="shared" si="121"/>
        <v/>
      </c>
      <c r="Y95" s="89" t="str">
        <f t="shared" si="89"/>
        <v/>
      </c>
      <c r="Z95" s="87">
        <f>IF(COUNTIF($E$7:E95,E95)=1,"",COUNTIF($E$7:E95,E95))</f>
        <v>0</v>
      </c>
      <c r="AA95" s="87" t="str">
        <f t="shared" si="72"/>
        <v/>
      </c>
      <c r="AC95" s="87" t="str">
        <f t="shared" si="71"/>
        <v/>
      </c>
      <c r="AD95" s="87" t="str">
        <f t="shared" si="122"/>
        <v/>
      </c>
      <c r="AE95" s="87" t="str">
        <f t="shared" si="122"/>
        <v/>
      </c>
      <c r="AF95" s="87" t="str">
        <f t="shared" si="122"/>
        <v/>
      </c>
      <c r="AG95" s="87" t="str">
        <f t="shared" si="122"/>
        <v/>
      </c>
      <c r="AH95" s="87" t="str">
        <f t="shared" si="122"/>
        <v/>
      </c>
      <c r="AI95" s="87" t="str">
        <f t="shared" si="122"/>
        <v/>
      </c>
      <c r="AJ95" s="87" t="str">
        <f t="shared" si="122"/>
        <v/>
      </c>
      <c r="AK95" s="87" t="str">
        <f t="shared" si="122"/>
        <v/>
      </c>
      <c r="AL95" s="87" t="str">
        <f t="shared" si="122"/>
        <v/>
      </c>
      <c r="AM95" s="87" t="str">
        <f t="shared" si="122"/>
        <v/>
      </c>
      <c r="AN95" s="87" t="str">
        <f t="shared" si="122"/>
        <v/>
      </c>
      <c r="AP95" s="87" t="str">
        <f t="shared" si="73"/>
        <v/>
      </c>
      <c r="AQ95" s="87" t="str">
        <f t="shared" si="74"/>
        <v/>
      </c>
      <c r="AR95" s="87" t="str">
        <f t="shared" si="75"/>
        <v/>
      </c>
      <c r="AS95" s="87" t="str">
        <f t="shared" si="76"/>
        <v/>
      </c>
      <c r="AT95" s="87" t="str">
        <f t="shared" si="77"/>
        <v/>
      </c>
      <c r="AU95" s="87" t="str">
        <f t="shared" si="78"/>
        <v/>
      </c>
      <c r="AV95" s="87" t="str">
        <f t="shared" si="79"/>
        <v/>
      </c>
      <c r="AW95" s="87" t="str">
        <f t="shared" si="80"/>
        <v/>
      </c>
      <c r="AX95" s="87" t="str">
        <f t="shared" si="81"/>
        <v/>
      </c>
      <c r="AY95" s="87" t="str">
        <f t="shared" si="82"/>
        <v/>
      </c>
      <c r="AZ95" s="87" t="str">
        <f t="shared" si="83"/>
        <v/>
      </c>
      <c r="BA95" s="87" t="str">
        <f t="shared" si="84"/>
        <v/>
      </c>
      <c r="BB95" s="90" t="str">
        <f t="shared" si="90"/>
        <v/>
      </c>
      <c r="BE95" s="87" t="str">
        <f t="shared" si="85"/>
        <v/>
      </c>
      <c r="BF95" s="87" t="str">
        <f t="shared" si="86"/>
        <v/>
      </c>
      <c r="BG95" s="87" t="str">
        <f t="shared" si="87"/>
        <v/>
      </c>
      <c r="BH95" s="87" t="str">
        <f t="shared" si="91"/>
        <v/>
      </c>
      <c r="BI95" s="87" t="str">
        <f t="shared" si="88"/>
        <v/>
      </c>
      <c r="BO95" s="87" t="str">
        <f t="shared" si="92"/>
        <v>〇</v>
      </c>
      <c r="BP95" s="87" t="str">
        <f t="shared" si="93"/>
        <v>〇</v>
      </c>
      <c r="BQ95" s="87" t="str">
        <f t="shared" si="94"/>
        <v>〇</v>
      </c>
      <c r="BR95" s="87" t="str">
        <f t="shared" si="95"/>
        <v>〇</v>
      </c>
      <c r="BS95" s="87" t="str">
        <f t="shared" si="96"/>
        <v>〇</v>
      </c>
      <c r="BT95" s="87" t="str">
        <f t="shared" si="97"/>
        <v>〇</v>
      </c>
      <c r="BU95" s="87" t="str">
        <f t="shared" si="98"/>
        <v>〇</v>
      </c>
      <c r="BV95" s="87" t="str">
        <f t="shared" si="99"/>
        <v>〇</v>
      </c>
      <c r="BW95" s="87" t="str">
        <f t="shared" si="100"/>
        <v>〇</v>
      </c>
      <c r="BX95" s="87" t="str">
        <f t="shared" si="101"/>
        <v>〇</v>
      </c>
      <c r="BY95" s="87" t="str">
        <f t="shared" si="102"/>
        <v>〇</v>
      </c>
      <c r="BZ95" s="87" t="str">
        <f t="shared" si="103"/>
        <v>〇</v>
      </c>
      <c r="CA95" s="87" t="str">
        <f t="shared" si="104"/>
        <v>〇</v>
      </c>
      <c r="CB95" s="87" t="str">
        <f t="shared" si="105"/>
        <v>〇</v>
      </c>
      <c r="CC95" s="87" t="str">
        <f t="shared" si="106"/>
        <v>〇</v>
      </c>
      <c r="CD95" s="87" t="str">
        <f t="shared" si="107"/>
        <v>〇</v>
      </c>
      <c r="CE95" s="87" t="str">
        <f t="shared" si="108"/>
        <v>〇</v>
      </c>
      <c r="CF95" s="87" t="str">
        <f t="shared" si="109"/>
        <v>〇</v>
      </c>
      <c r="CG95" s="87" t="str">
        <f t="shared" si="110"/>
        <v>〇</v>
      </c>
      <c r="CH95" s="87" t="str">
        <f t="shared" si="111"/>
        <v>〇</v>
      </c>
      <c r="CI95" s="87" t="str">
        <f t="shared" si="112"/>
        <v>〇</v>
      </c>
      <c r="CJ95" s="87" t="str">
        <f t="shared" si="113"/>
        <v>〇</v>
      </c>
      <c r="CK95" s="87" t="str">
        <f t="shared" si="114"/>
        <v>〇</v>
      </c>
      <c r="CL95" s="87" t="str">
        <f t="shared" si="115"/>
        <v>〇</v>
      </c>
      <c r="CM95" s="87" t="str">
        <f t="shared" si="116"/>
        <v>〇</v>
      </c>
      <c r="CN95" s="87" t="str">
        <f t="shared" si="117"/>
        <v>〇</v>
      </c>
      <c r="CO95" s="87" t="str">
        <f t="shared" si="118"/>
        <v>〇</v>
      </c>
      <c r="CP95" s="87" t="str">
        <f t="shared" si="119"/>
        <v>〇</v>
      </c>
      <c r="CQ95" s="87" t="str">
        <f t="shared" si="120"/>
        <v>〇</v>
      </c>
      <c r="CS95" s="476"/>
      <c r="CT95" s="476"/>
      <c r="CU95" s="476"/>
      <c r="CV95" s="476"/>
    </row>
    <row r="96" spans="1:100" s="90" customFormat="1" ht="23.15" customHeight="1">
      <c r="A96" s="2">
        <v>90</v>
      </c>
      <c r="B96" s="14"/>
      <c r="C96" s="4"/>
      <c r="D96" s="5"/>
      <c r="E96" s="3"/>
      <c r="F96" s="6"/>
      <c r="G96" s="7"/>
      <c r="H96" s="8"/>
      <c r="I96" s="8"/>
      <c r="J96" s="8"/>
      <c r="K96" s="8"/>
      <c r="L96" s="8"/>
      <c r="M96" s="8"/>
      <c r="N96" s="8"/>
      <c r="O96" s="8"/>
      <c r="P96" s="8"/>
      <c r="Q96" s="9"/>
      <c r="R96" s="10"/>
      <c r="S96" s="11"/>
      <c r="T96" s="9"/>
      <c r="U96" s="16"/>
      <c r="V96" s="9"/>
      <c r="W96" s="12"/>
      <c r="X96" s="13" t="str">
        <f t="shared" si="121"/>
        <v/>
      </c>
      <c r="Y96" s="89" t="str">
        <f t="shared" si="89"/>
        <v/>
      </c>
      <c r="Z96" s="87">
        <f>IF(COUNTIF($E$7:E96,E96)=1,"",COUNTIF($E$7:E96,E96))</f>
        <v>0</v>
      </c>
      <c r="AA96" s="87" t="str">
        <f t="shared" si="72"/>
        <v/>
      </c>
      <c r="AC96" s="87" t="str">
        <f t="shared" si="71"/>
        <v/>
      </c>
      <c r="AD96" s="87" t="str">
        <f t="shared" si="122"/>
        <v/>
      </c>
      <c r="AE96" s="87" t="str">
        <f t="shared" si="122"/>
        <v/>
      </c>
      <c r="AF96" s="87" t="str">
        <f t="shared" si="122"/>
        <v/>
      </c>
      <c r="AG96" s="87" t="str">
        <f t="shared" si="122"/>
        <v/>
      </c>
      <c r="AH96" s="87" t="str">
        <f t="shared" si="122"/>
        <v/>
      </c>
      <c r="AI96" s="87" t="str">
        <f t="shared" si="122"/>
        <v/>
      </c>
      <c r="AJ96" s="87" t="str">
        <f t="shared" si="122"/>
        <v/>
      </c>
      <c r="AK96" s="87" t="str">
        <f t="shared" si="122"/>
        <v/>
      </c>
      <c r="AL96" s="87" t="str">
        <f t="shared" si="122"/>
        <v/>
      </c>
      <c r="AM96" s="87" t="str">
        <f t="shared" si="122"/>
        <v/>
      </c>
      <c r="AN96" s="87" t="str">
        <f t="shared" si="122"/>
        <v/>
      </c>
      <c r="AP96" s="87" t="str">
        <f t="shared" si="73"/>
        <v/>
      </c>
      <c r="AQ96" s="87" t="str">
        <f t="shared" si="74"/>
        <v/>
      </c>
      <c r="AR96" s="87" t="str">
        <f t="shared" si="75"/>
        <v/>
      </c>
      <c r="AS96" s="87" t="str">
        <f t="shared" si="76"/>
        <v/>
      </c>
      <c r="AT96" s="87" t="str">
        <f t="shared" si="77"/>
        <v/>
      </c>
      <c r="AU96" s="87" t="str">
        <f t="shared" si="78"/>
        <v/>
      </c>
      <c r="AV96" s="87" t="str">
        <f t="shared" si="79"/>
        <v/>
      </c>
      <c r="AW96" s="87" t="str">
        <f t="shared" si="80"/>
        <v/>
      </c>
      <c r="AX96" s="87" t="str">
        <f t="shared" si="81"/>
        <v/>
      </c>
      <c r="AY96" s="87" t="str">
        <f t="shared" si="82"/>
        <v/>
      </c>
      <c r="AZ96" s="87" t="str">
        <f t="shared" si="83"/>
        <v/>
      </c>
      <c r="BA96" s="87" t="str">
        <f t="shared" si="84"/>
        <v/>
      </c>
      <c r="BB96" s="90" t="str">
        <f t="shared" si="90"/>
        <v/>
      </c>
      <c r="BE96" s="87" t="str">
        <f t="shared" si="85"/>
        <v/>
      </c>
      <c r="BF96" s="87" t="str">
        <f t="shared" si="86"/>
        <v/>
      </c>
      <c r="BG96" s="87" t="str">
        <f t="shared" si="87"/>
        <v/>
      </c>
      <c r="BH96" s="87" t="str">
        <f t="shared" si="91"/>
        <v/>
      </c>
      <c r="BI96" s="87" t="str">
        <f t="shared" si="88"/>
        <v/>
      </c>
      <c r="BO96" s="87" t="str">
        <f t="shared" si="92"/>
        <v>〇</v>
      </c>
      <c r="BP96" s="87" t="str">
        <f t="shared" si="93"/>
        <v>〇</v>
      </c>
      <c r="BQ96" s="87" t="str">
        <f t="shared" si="94"/>
        <v>〇</v>
      </c>
      <c r="BR96" s="87" t="str">
        <f t="shared" si="95"/>
        <v>〇</v>
      </c>
      <c r="BS96" s="87" t="str">
        <f t="shared" si="96"/>
        <v>〇</v>
      </c>
      <c r="BT96" s="87" t="str">
        <f t="shared" si="97"/>
        <v>〇</v>
      </c>
      <c r="BU96" s="87" t="str">
        <f t="shared" si="98"/>
        <v>〇</v>
      </c>
      <c r="BV96" s="87" t="str">
        <f t="shared" si="99"/>
        <v>〇</v>
      </c>
      <c r="BW96" s="87" t="str">
        <f t="shared" si="100"/>
        <v>〇</v>
      </c>
      <c r="BX96" s="87" t="str">
        <f t="shared" si="101"/>
        <v>〇</v>
      </c>
      <c r="BY96" s="87" t="str">
        <f t="shared" si="102"/>
        <v>〇</v>
      </c>
      <c r="BZ96" s="87" t="str">
        <f t="shared" si="103"/>
        <v>〇</v>
      </c>
      <c r="CA96" s="87" t="str">
        <f t="shared" si="104"/>
        <v>〇</v>
      </c>
      <c r="CB96" s="87" t="str">
        <f t="shared" si="105"/>
        <v>〇</v>
      </c>
      <c r="CC96" s="87" t="str">
        <f t="shared" si="106"/>
        <v>〇</v>
      </c>
      <c r="CD96" s="87" t="str">
        <f t="shared" si="107"/>
        <v>〇</v>
      </c>
      <c r="CE96" s="87" t="str">
        <f t="shared" si="108"/>
        <v>〇</v>
      </c>
      <c r="CF96" s="87" t="str">
        <f t="shared" si="109"/>
        <v>〇</v>
      </c>
      <c r="CG96" s="87" t="str">
        <f t="shared" si="110"/>
        <v>〇</v>
      </c>
      <c r="CH96" s="87" t="str">
        <f t="shared" si="111"/>
        <v>〇</v>
      </c>
      <c r="CI96" s="87" t="str">
        <f t="shared" si="112"/>
        <v>〇</v>
      </c>
      <c r="CJ96" s="87" t="str">
        <f t="shared" si="113"/>
        <v>〇</v>
      </c>
      <c r="CK96" s="87" t="str">
        <f t="shared" si="114"/>
        <v>〇</v>
      </c>
      <c r="CL96" s="87" t="str">
        <f t="shared" si="115"/>
        <v>〇</v>
      </c>
      <c r="CM96" s="87" t="str">
        <f t="shared" si="116"/>
        <v>〇</v>
      </c>
      <c r="CN96" s="87" t="str">
        <f t="shared" si="117"/>
        <v>〇</v>
      </c>
      <c r="CO96" s="87" t="str">
        <f t="shared" si="118"/>
        <v>〇</v>
      </c>
      <c r="CP96" s="87" t="str">
        <f t="shared" si="119"/>
        <v>〇</v>
      </c>
      <c r="CQ96" s="87" t="str">
        <f t="shared" si="120"/>
        <v>〇</v>
      </c>
      <c r="CS96" s="476"/>
      <c r="CT96" s="476"/>
      <c r="CU96" s="476"/>
      <c r="CV96" s="476"/>
    </row>
    <row r="97" spans="1:100" s="90" customFormat="1" ht="23.15" customHeight="1">
      <c r="A97" s="2">
        <v>91</v>
      </c>
      <c r="B97" s="14"/>
      <c r="C97" s="4"/>
      <c r="D97" s="5"/>
      <c r="E97" s="3"/>
      <c r="F97" s="6"/>
      <c r="G97" s="7"/>
      <c r="H97" s="8"/>
      <c r="I97" s="8"/>
      <c r="J97" s="8"/>
      <c r="K97" s="8"/>
      <c r="L97" s="8"/>
      <c r="M97" s="8"/>
      <c r="N97" s="8"/>
      <c r="O97" s="8"/>
      <c r="P97" s="8"/>
      <c r="Q97" s="9"/>
      <c r="R97" s="10"/>
      <c r="S97" s="11"/>
      <c r="T97" s="9"/>
      <c r="U97" s="16"/>
      <c r="V97" s="9"/>
      <c r="W97" s="12"/>
      <c r="X97" s="13" t="str">
        <f t="shared" si="121"/>
        <v/>
      </c>
      <c r="Y97" s="89" t="str">
        <f t="shared" si="89"/>
        <v/>
      </c>
      <c r="Z97" s="87">
        <f>IF(COUNTIF($E$7:E97,E97)=1,"",COUNTIF($E$7:E97,E97))</f>
        <v>0</v>
      </c>
      <c r="AA97" s="87" t="str">
        <f t="shared" si="72"/>
        <v/>
      </c>
      <c r="AC97" s="87" t="str">
        <f t="shared" si="71"/>
        <v/>
      </c>
      <c r="AD97" s="87" t="str">
        <f t="shared" si="122"/>
        <v/>
      </c>
      <c r="AE97" s="87" t="str">
        <f t="shared" si="122"/>
        <v/>
      </c>
      <c r="AF97" s="87" t="str">
        <f t="shared" si="122"/>
        <v/>
      </c>
      <c r="AG97" s="87" t="str">
        <f t="shared" si="122"/>
        <v/>
      </c>
      <c r="AH97" s="87" t="str">
        <f t="shared" si="122"/>
        <v/>
      </c>
      <c r="AI97" s="87" t="str">
        <f t="shared" si="122"/>
        <v/>
      </c>
      <c r="AJ97" s="87" t="str">
        <f t="shared" si="122"/>
        <v/>
      </c>
      <c r="AK97" s="87" t="str">
        <f t="shared" si="122"/>
        <v/>
      </c>
      <c r="AL97" s="87" t="str">
        <f t="shared" si="122"/>
        <v/>
      </c>
      <c r="AM97" s="87" t="str">
        <f t="shared" si="122"/>
        <v/>
      </c>
      <c r="AN97" s="87" t="str">
        <f t="shared" si="122"/>
        <v/>
      </c>
      <c r="AP97" s="87" t="str">
        <f t="shared" si="73"/>
        <v/>
      </c>
      <c r="AQ97" s="87" t="str">
        <f t="shared" si="74"/>
        <v/>
      </c>
      <c r="AR97" s="87" t="str">
        <f t="shared" si="75"/>
        <v/>
      </c>
      <c r="AS97" s="87" t="str">
        <f t="shared" si="76"/>
        <v/>
      </c>
      <c r="AT97" s="87" t="str">
        <f t="shared" si="77"/>
        <v/>
      </c>
      <c r="AU97" s="87" t="str">
        <f t="shared" si="78"/>
        <v/>
      </c>
      <c r="AV97" s="87" t="str">
        <f t="shared" si="79"/>
        <v/>
      </c>
      <c r="AW97" s="87" t="str">
        <f t="shared" si="80"/>
        <v/>
      </c>
      <c r="AX97" s="87" t="str">
        <f t="shared" si="81"/>
        <v/>
      </c>
      <c r="AY97" s="87" t="str">
        <f t="shared" si="82"/>
        <v/>
      </c>
      <c r="AZ97" s="87" t="str">
        <f t="shared" si="83"/>
        <v/>
      </c>
      <c r="BA97" s="87" t="str">
        <f t="shared" si="84"/>
        <v/>
      </c>
      <c r="BB97" s="90" t="str">
        <f t="shared" si="90"/>
        <v/>
      </c>
      <c r="BE97" s="87" t="str">
        <f t="shared" si="85"/>
        <v/>
      </c>
      <c r="BF97" s="87" t="str">
        <f t="shared" si="86"/>
        <v/>
      </c>
      <c r="BG97" s="87" t="str">
        <f t="shared" si="87"/>
        <v/>
      </c>
      <c r="BH97" s="87" t="str">
        <f t="shared" si="91"/>
        <v/>
      </c>
      <c r="BI97" s="87" t="str">
        <f t="shared" si="88"/>
        <v/>
      </c>
      <c r="BO97" s="87" t="str">
        <f t="shared" si="92"/>
        <v>〇</v>
      </c>
      <c r="BP97" s="87" t="str">
        <f t="shared" si="93"/>
        <v>〇</v>
      </c>
      <c r="BQ97" s="87" t="str">
        <f t="shared" si="94"/>
        <v>〇</v>
      </c>
      <c r="BR97" s="87" t="str">
        <f t="shared" si="95"/>
        <v>〇</v>
      </c>
      <c r="BS97" s="87" t="str">
        <f t="shared" si="96"/>
        <v>〇</v>
      </c>
      <c r="BT97" s="87" t="str">
        <f t="shared" si="97"/>
        <v>〇</v>
      </c>
      <c r="BU97" s="87" t="str">
        <f t="shared" si="98"/>
        <v>〇</v>
      </c>
      <c r="BV97" s="87" t="str">
        <f t="shared" si="99"/>
        <v>〇</v>
      </c>
      <c r="BW97" s="87" t="str">
        <f t="shared" si="100"/>
        <v>〇</v>
      </c>
      <c r="BX97" s="87" t="str">
        <f t="shared" si="101"/>
        <v>〇</v>
      </c>
      <c r="BY97" s="87" t="str">
        <f t="shared" si="102"/>
        <v>〇</v>
      </c>
      <c r="BZ97" s="87" t="str">
        <f t="shared" si="103"/>
        <v>〇</v>
      </c>
      <c r="CA97" s="87" t="str">
        <f t="shared" si="104"/>
        <v>〇</v>
      </c>
      <c r="CB97" s="87" t="str">
        <f t="shared" si="105"/>
        <v>〇</v>
      </c>
      <c r="CC97" s="87" t="str">
        <f t="shared" si="106"/>
        <v>〇</v>
      </c>
      <c r="CD97" s="87" t="str">
        <f t="shared" si="107"/>
        <v>〇</v>
      </c>
      <c r="CE97" s="87" t="str">
        <f t="shared" si="108"/>
        <v>〇</v>
      </c>
      <c r="CF97" s="87" t="str">
        <f t="shared" si="109"/>
        <v>〇</v>
      </c>
      <c r="CG97" s="87" t="str">
        <f t="shared" si="110"/>
        <v>〇</v>
      </c>
      <c r="CH97" s="87" t="str">
        <f t="shared" si="111"/>
        <v>〇</v>
      </c>
      <c r="CI97" s="87" t="str">
        <f t="shared" si="112"/>
        <v>〇</v>
      </c>
      <c r="CJ97" s="87" t="str">
        <f t="shared" si="113"/>
        <v>〇</v>
      </c>
      <c r="CK97" s="87" t="str">
        <f t="shared" si="114"/>
        <v>〇</v>
      </c>
      <c r="CL97" s="87" t="str">
        <f t="shared" si="115"/>
        <v>〇</v>
      </c>
      <c r="CM97" s="87" t="str">
        <f t="shared" si="116"/>
        <v>〇</v>
      </c>
      <c r="CN97" s="87" t="str">
        <f t="shared" si="117"/>
        <v>〇</v>
      </c>
      <c r="CO97" s="87" t="str">
        <f t="shared" si="118"/>
        <v>〇</v>
      </c>
      <c r="CP97" s="87" t="str">
        <f t="shared" si="119"/>
        <v>〇</v>
      </c>
      <c r="CQ97" s="87" t="str">
        <f t="shared" si="120"/>
        <v>〇</v>
      </c>
      <c r="CS97" s="476"/>
      <c r="CT97" s="476"/>
      <c r="CU97" s="476"/>
      <c r="CV97" s="476"/>
    </row>
    <row r="98" spans="1:100" s="90" customFormat="1" ht="23.15" customHeight="1">
      <c r="A98" s="2">
        <v>92</v>
      </c>
      <c r="B98" s="14"/>
      <c r="C98" s="4"/>
      <c r="D98" s="5"/>
      <c r="E98" s="3"/>
      <c r="F98" s="6"/>
      <c r="G98" s="7"/>
      <c r="H98" s="8"/>
      <c r="I98" s="8"/>
      <c r="J98" s="8"/>
      <c r="K98" s="8"/>
      <c r="L98" s="8"/>
      <c r="M98" s="8"/>
      <c r="N98" s="8"/>
      <c r="O98" s="8"/>
      <c r="P98" s="8"/>
      <c r="Q98" s="9"/>
      <c r="R98" s="10"/>
      <c r="S98" s="11"/>
      <c r="T98" s="9"/>
      <c r="U98" s="16"/>
      <c r="V98" s="9"/>
      <c r="W98" s="12"/>
      <c r="X98" s="13" t="str">
        <f t="shared" si="121"/>
        <v/>
      </c>
      <c r="Y98" s="89" t="str">
        <f t="shared" si="89"/>
        <v/>
      </c>
      <c r="Z98" s="87">
        <f>IF(COUNTIF($E$7:E98,E98)=1,"",COUNTIF($E$7:E98,E98))</f>
        <v>0</v>
      </c>
      <c r="AA98" s="87" t="str">
        <f t="shared" si="72"/>
        <v/>
      </c>
      <c r="AC98" s="87" t="str">
        <f t="shared" si="71"/>
        <v/>
      </c>
      <c r="AD98" s="87" t="str">
        <f t="shared" si="122"/>
        <v/>
      </c>
      <c r="AE98" s="87" t="str">
        <f t="shared" si="122"/>
        <v/>
      </c>
      <c r="AF98" s="87" t="str">
        <f t="shared" si="122"/>
        <v/>
      </c>
      <c r="AG98" s="87" t="str">
        <f t="shared" si="122"/>
        <v/>
      </c>
      <c r="AH98" s="87" t="str">
        <f t="shared" si="122"/>
        <v/>
      </c>
      <c r="AI98" s="87" t="str">
        <f t="shared" si="122"/>
        <v/>
      </c>
      <c r="AJ98" s="87" t="str">
        <f t="shared" si="122"/>
        <v/>
      </c>
      <c r="AK98" s="87" t="str">
        <f t="shared" si="122"/>
        <v/>
      </c>
      <c r="AL98" s="87" t="str">
        <f t="shared" si="122"/>
        <v/>
      </c>
      <c r="AM98" s="87" t="str">
        <f t="shared" si="122"/>
        <v/>
      </c>
      <c r="AN98" s="87" t="str">
        <f t="shared" si="122"/>
        <v/>
      </c>
      <c r="AP98" s="87" t="str">
        <f t="shared" si="73"/>
        <v/>
      </c>
      <c r="AQ98" s="87" t="str">
        <f t="shared" si="74"/>
        <v/>
      </c>
      <c r="AR98" s="87" t="str">
        <f t="shared" si="75"/>
        <v/>
      </c>
      <c r="AS98" s="87" t="str">
        <f t="shared" si="76"/>
        <v/>
      </c>
      <c r="AT98" s="87" t="str">
        <f t="shared" si="77"/>
        <v/>
      </c>
      <c r="AU98" s="87" t="str">
        <f t="shared" si="78"/>
        <v/>
      </c>
      <c r="AV98" s="87" t="str">
        <f t="shared" si="79"/>
        <v/>
      </c>
      <c r="AW98" s="87" t="str">
        <f t="shared" si="80"/>
        <v/>
      </c>
      <c r="AX98" s="87" t="str">
        <f t="shared" si="81"/>
        <v/>
      </c>
      <c r="AY98" s="87" t="str">
        <f t="shared" si="82"/>
        <v/>
      </c>
      <c r="AZ98" s="87" t="str">
        <f t="shared" si="83"/>
        <v/>
      </c>
      <c r="BA98" s="87" t="str">
        <f t="shared" si="84"/>
        <v/>
      </c>
      <c r="BB98" s="90" t="str">
        <f t="shared" si="90"/>
        <v/>
      </c>
      <c r="BE98" s="87" t="str">
        <f t="shared" si="85"/>
        <v/>
      </c>
      <c r="BF98" s="87" t="str">
        <f t="shared" si="86"/>
        <v/>
      </c>
      <c r="BG98" s="87" t="str">
        <f t="shared" si="87"/>
        <v/>
      </c>
      <c r="BH98" s="87" t="str">
        <f t="shared" si="91"/>
        <v/>
      </c>
      <c r="BI98" s="87" t="str">
        <f t="shared" si="88"/>
        <v/>
      </c>
      <c r="BO98" s="87" t="str">
        <f t="shared" si="92"/>
        <v>〇</v>
      </c>
      <c r="BP98" s="87" t="str">
        <f t="shared" si="93"/>
        <v>〇</v>
      </c>
      <c r="BQ98" s="87" t="str">
        <f t="shared" si="94"/>
        <v>〇</v>
      </c>
      <c r="BR98" s="87" t="str">
        <f t="shared" si="95"/>
        <v>〇</v>
      </c>
      <c r="BS98" s="87" t="str">
        <f t="shared" si="96"/>
        <v>〇</v>
      </c>
      <c r="BT98" s="87" t="str">
        <f t="shared" si="97"/>
        <v>〇</v>
      </c>
      <c r="BU98" s="87" t="str">
        <f t="shared" si="98"/>
        <v>〇</v>
      </c>
      <c r="BV98" s="87" t="str">
        <f t="shared" si="99"/>
        <v>〇</v>
      </c>
      <c r="BW98" s="87" t="str">
        <f t="shared" si="100"/>
        <v>〇</v>
      </c>
      <c r="BX98" s="87" t="str">
        <f t="shared" si="101"/>
        <v>〇</v>
      </c>
      <c r="BY98" s="87" t="str">
        <f t="shared" si="102"/>
        <v>〇</v>
      </c>
      <c r="BZ98" s="87" t="str">
        <f t="shared" si="103"/>
        <v>〇</v>
      </c>
      <c r="CA98" s="87" t="str">
        <f t="shared" si="104"/>
        <v>〇</v>
      </c>
      <c r="CB98" s="87" t="str">
        <f t="shared" si="105"/>
        <v>〇</v>
      </c>
      <c r="CC98" s="87" t="str">
        <f t="shared" si="106"/>
        <v>〇</v>
      </c>
      <c r="CD98" s="87" t="str">
        <f t="shared" si="107"/>
        <v>〇</v>
      </c>
      <c r="CE98" s="87" t="str">
        <f t="shared" si="108"/>
        <v>〇</v>
      </c>
      <c r="CF98" s="87" t="str">
        <f t="shared" si="109"/>
        <v>〇</v>
      </c>
      <c r="CG98" s="87" t="str">
        <f t="shared" si="110"/>
        <v>〇</v>
      </c>
      <c r="CH98" s="87" t="str">
        <f t="shared" si="111"/>
        <v>〇</v>
      </c>
      <c r="CI98" s="87" t="str">
        <f t="shared" si="112"/>
        <v>〇</v>
      </c>
      <c r="CJ98" s="87" t="str">
        <f t="shared" si="113"/>
        <v>〇</v>
      </c>
      <c r="CK98" s="87" t="str">
        <f t="shared" si="114"/>
        <v>〇</v>
      </c>
      <c r="CL98" s="87" t="str">
        <f t="shared" si="115"/>
        <v>〇</v>
      </c>
      <c r="CM98" s="87" t="str">
        <f t="shared" si="116"/>
        <v>〇</v>
      </c>
      <c r="CN98" s="87" t="str">
        <f t="shared" si="117"/>
        <v>〇</v>
      </c>
      <c r="CO98" s="87" t="str">
        <f t="shared" si="118"/>
        <v>〇</v>
      </c>
      <c r="CP98" s="87" t="str">
        <f t="shared" si="119"/>
        <v>〇</v>
      </c>
      <c r="CQ98" s="87" t="str">
        <f t="shared" si="120"/>
        <v>〇</v>
      </c>
      <c r="CS98" s="476"/>
      <c r="CT98" s="476"/>
      <c r="CU98" s="476"/>
      <c r="CV98" s="476"/>
    </row>
    <row r="99" spans="1:100" s="90" customFormat="1" ht="23.15" customHeight="1">
      <c r="A99" s="2">
        <v>93</v>
      </c>
      <c r="B99" s="14"/>
      <c r="C99" s="4"/>
      <c r="D99" s="5"/>
      <c r="E99" s="3"/>
      <c r="F99" s="6"/>
      <c r="G99" s="7"/>
      <c r="H99" s="8"/>
      <c r="I99" s="8"/>
      <c r="J99" s="8"/>
      <c r="K99" s="8"/>
      <c r="L99" s="8"/>
      <c r="M99" s="8"/>
      <c r="N99" s="8"/>
      <c r="O99" s="8"/>
      <c r="P99" s="8"/>
      <c r="Q99" s="9"/>
      <c r="R99" s="10"/>
      <c r="S99" s="11"/>
      <c r="T99" s="9"/>
      <c r="U99" s="16"/>
      <c r="V99" s="9"/>
      <c r="W99" s="12"/>
      <c r="X99" s="13" t="str">
        <f t="shared" si="121"/>
        <v/>
      </c>
      <c r="Y99" s="89" t="str">
        <f t="shared" si="89"/>
        <v/>
      </c>
      <c r="Z99" s="87">
        <f>IF(COUNTIF($E$7:E99,E99)=1,"",COUNTIF($E$7:E99,E99))</f>
        <v>0</v>
      </c>
      <c r="AA99" s="87" t="str">
        <f t="shared" si="72"/>
        <v/>
      </c>
      <c r="AC99" s="87" t="str">
        <f t="shared" si="71"/>
        <v/>
      </c>
      <c r="AD99" s="87" t="str">
        <f t="shared" si="122"/>
        <v/>
      </c>
      <c r="AE99" s="87" t="str">
        <f t="shared" si="122"/>
        <v/>
      </c>
      <c r="AF99" s="87" t="str">
        <f t="shared" si="122"/>
        <v/>
      </c>
      <c r="AG99" s="87" t="str">
        <f t="shared" si="122"/>
        <v/>
      </c>
      <c r="AH99" s="87" t="str">
        <f t="shared" si="122"/>
        <v/>
      </c>
      <c r="AI99" s="87" t="str">
        <f t="shared" si="122"/>
        <v/>
      </c>
      <c r="AJ99" s="87" t="str">
        <f t="shared" si="122"/>
        <v/>
      </c>
      <c r="AK99" s="87" t="str">
        <f t="shared" si="122"/>
        <v/>
      </c>
      <c r="AL99" s="87" t="str">
        <f t="shared" si="122"/>
        <v/>
      </c>
      <c r="AM99" s="87" t="str">
        <f t="shared" si="122"/>
        <v/>
      </c>
      <c r="AN99" s="87" t="str">
        <f t="shared" si="122"/>
        <v/>
      </c>
      <c r="AP99" s="87" t="str">
        <f t="shared" si="73"/>
        <v/>
      </c>
      <c r="AQ99" s="87" t="str">
        <f t="shared" si="74"/>
        <v/>
      </c>
      <c r="AR99" s="87" t="str">
        <f t="shared" si="75"/>
        <v/>
      </c>
      <c r="AS99" s="87" t="str">
        <f t="shared" si="76"/>
        <v/>
      </c>
      <c r="AT99" s="87" t="str">
        <f t="shared" si="77"/>
        <v/>
      </c>
      <c r="AU99" s="87" t="str">
        <f t="shared" si="78"/>
        <v/>
      </c>
      <c r="AV99" s="87" t="str">
        <f t="shared" si="79"/>
        <v/>
      </c>
      <c r="AW99" s="87" t="str">
        <f t="shared" si="80"/>
        <v/>
      </c>
      <c r="AX99" s="87" t="str">
        <f t="shared" si="81"/>
        <v/>
      </c>
      <c r="AY99" s="87" t="str">
        <f t="shared" si="82"/>
        <v/>
      </c>
      <c r="AZ99" s="87" t="str">
        <f t="shared" si="83"/>
        <v/>
      </c>
      <c r="BA99" s="87" t="str">
        <f t="shared" si="84"/>
        <v/>
      </c>
      <c r="BB99" s="90" t="str">
        <f t="shared" si="90"/>
        <v/>
      </c>
      <c r="BE99" s="87" t="str">
        <f t="shared" si="85"/>
        <v/>
      </c>
      <c r="BF99" s="87" t="str">
        <f t="shared" si="86"/>
        <v/>
      </c>
      <c r="BG99" s="87" t="str">
        <f t="shared" si="87"/>
        <v/>
      </c>
      <c r="BH99" s="87" t="str">
        <f t="shared" si="91"/>
        <v/>
      </c>
      <c r="BI99" s="87" t="str">
        <f t="shared" si="88"/>
        <v/>
      </c>
      <c r="BO99" s="87" t="str">
        <f t="shared" si="92"/>
        <v>〇</v>
      </c>
      <c r="BP99" s="87" t="str">
        <f t="shared" si="93"/>
        <v>〇</v>
      </c>
      <c r="BQ99" s="87" t="str">
        <f t="shared" si="94"/>
        <v>〇</v>
      </c>
      <c r="BR99" s="87" t="str">
        <f t="shared" si="95"/>
        <v>〇</v>
      </c>
      <c r="BS99" s="87" t="str">
        <f t="shared" si="96"/>
        <v>〇</v>
      </c>
      <c r="BT99" s="87" t="str">
        <f t="shared" si="97"/>
        <v>〇</v>
      </c>
      <c r="BU99" s="87" t="str">
        <f t="shared" si="98"/>
        <v>〇</v>
      </c>
      <c r="BV99" s="87" t="str">
        <f t="shared" si="99"/>
        <v>〇</v>
      </c>
      <c r="BW99" s="87" t="str">
        <f t="shared" si="100"/>
        <v>〇</v>
      </c>
      <c r="BX99" s="87" t="str">
        <f t="shared" si="101"/>
        <v>〇</v>
      </c>
      <c r="BY99" s="87" t="str">
        <f t="shared" si="102"/>
        <v>〇</v>
      </c>
      <c r="BZ99" s="87" t="str">
        <f t="shared" si="103"/>
        <v>〇</v>
      </c>
      <c r="CA99" s="87" t="str">
        <f t="shared" si="104"/>
        <v>〇</v>
      </c>
      <c r="CB99" s="87" t="str">
        <f t="shared" si="105"/>
        <v>〇</v>
      </c>
      <c r="CC99" s="87" t="str">
        <f t="shared" si="106"/>
        <v>〇</v>
      </c>
      <c r="CD99" s="87" t="str">
        <f t="shared" si="107"/>
        <v>〇</v>
      </c>
      <c r="CE99" s="87" t="str">
        <f t="shared" si="108"/>
        <v>〇</v>
      </c>
      <c r="CF99" s="87" t="str">
        <f t="shared" si="109"/>
        <v>〇</v>
      </c>
      <c r="CG99" s="87" t="str">
        <f t="shared" si="110"/>
        <v>〇</v>
      </c>
      <c r="CH99" s="87" t="str">
        <f t="shared" si="111"/>
        <v>〇</v>
      </c>
      <c r="CI99" s="87" t="str">
        <f t="shared" si="112"/>
        <v>〇</v>
      </c>
      <c r="CJ99" s="87" t="str">
        <f t="shared" si="113"/>
        <v>〇</v>
      </c>
      <c r="CK99" s="87" t="str">
        <f t="shared" si="114"/>
        <v>〇</v>
      </c>
      <c r="CL99" s="87" t="str">
        <f t="shared" si="115"/>
        <v>〇</v>
      </c>
      <c r="CM99" s="87" t="str">
        <f t="shared" si="116"/>
        <v>〇</v>
      </c>
      <c r="CN99" s="87" t="str">
        <f t="shared" si="117"/>
        <v>〇</v>
      </c>
      <c r="CO99" s="87" t="str">
        <f t="shared" si="118"/>
        <v>〇</v>
      </c>
      <c r="CP99" s="87" t="str">
        <f t="shared" si="119"/>
        <v>〇</v>
      </c>
      <c r="CQ99" s="87" t="str">
        <f t="shared" si="120"/>
        <v>〇</v>
      </c>
      <c r="CS99" s="476"/>
      <c r="CT99" s="476"/>
      <c r="CU99" s="476"/>
      <c r="CV99" s="476"/>
    </row>
    <row r="100" spans="1:100" s="90" customFormat="1" ht="23.15" customHeight="1">
      <c r="A100" s="2">
        <v>94</v>
      </c>
      <c r="B100" s="14"/>
      <c r="C100" s="4"/>
      <c r="D100" s="5"/>
      <c r="E100" s="3"/>
      <c r="F100" s="6"/>
      <c r="G100" s="7"/>
      <c r="H100" s="8"/>
      <c r="I100" s="8"/>
      <c r="J100" s="8"/>
      <c r="K100" s="8"/>
      <c r="L100" s="8"/>
      <c r="M100" s="8"/>
      <c r="N100" s="8"/>
      <c r="O100" s="8"/>
      <c r="P100" s="8"/>
      <c r="Q100" s="9"/>
      <c r="R100" s="10"/>
      <c r="S100" s="11"/>
      <c r="T100" s="9"/>
      <c r="U100" s="16"/>
      <c r="V100" s="9"/>
      <c r="W100" s="12"/>
      <c r="X100" s="13" t="str">
        <f t="shared" si="121"/>
        <v/>
      </c>
      <c r="Y100" s="89" t="str">
        <f t="shared" si="89"/>
        <v/>
      </c>
      <c r="Z100" s="87">
        <f>IF(COUNTIF($E$7:E100,E100)=1,"",COUNTIF($E$7:E100,E100))</f>
        <v>0</v>
      </c>
      <c r="AA100" s="87" t="str">
        <f t="shared" si="72"/>
        <v/>
      </c>
      <c r="AC100" s="87" t="str">
        <f t="shared" si="71"/>
        <v/>
      </c>
      <c r="AD100" s="87" t="str">
        <f t="shared" si="122"/>
        <v/>
      </c>
      <c r="AE100" s="87" t="str">
        <f t="shared" si="122"/>
        <v/>
      </c>
      <c r="AF100" s="87" t="str">
        <f t="shared" si="122"/>
        <v/>
      </c>
      <c r="AG100" s="87" t="str">
        <f t="shared" si="122"/>
        <v/>
      </c>
      <c r="AH100" s="87" t="str">
        <f t="shared" si="122"/>
        <v/>
      </c>
      <c r="AI100" s="87" t="str">
        <f t="shared" si="122"/>
        <v/>
      </c>
      <c r="AJ100" s="87" t="str">
        <f t="shared" si="122"/>
        <v/>
      </c>
      <c r="AK100" s="87" t="str">
        <f t="shared" si="122"/>
        <v/>
      </c>
      <c r="AL100" s="87" t="str">
        <f t="shared" si="122"/>
        <v/>
      </c>
      <c r="AM100" s="87" t="str">
        <f t="shared" si="122"/>
        <v/>
      </c>
      <c r="AN100" s="87" t="str">
        <f t="shared" si="122"/>
        <v/>
      </c>
      <c r="AP100" s="87" t="str">
        <f t="shared" si="73"/>
        <v/>
      </c>
      <c r="AQ100" s="87" t="str">
        <f t="shared" si="74"/>
        <v/>
      </c>
      <c r="AR100" s="87" t="str">
        <f t="shared" si="75"/>
        <v/>
      </c>
      <c r="AS100" s="87" t="str">
        <f t="shared" si="76"/>
        <v/>
      </c>
      <c r="AT100" s="87" t="str">
        <f t="shared" si="77"/>
        <v/>
      </c>
      <c r="AU100" s="87" t="str">
        <f t="shared" si="78"/>
        <v/>
      </c>
      <c r="AV100" s="87" t="str">
        <f t="shared" si="79"/>
        <v/>
      </c>
      <c r="AW100" s="87" t="str">
        <f t="shared" si="80"/>
        <v/>
      </c>
      <c r="AX100" s="87" t="str">
        <f t="shared" si="81"/>
        <v/>
      </c>
      <c r="AY100" s="87" t="str">
        <f t="shared" si="82"/>
        <v/>
      </c>
      <c r="AZ100" s="87" t="str">
        <f t="shared" si="83"/>
        <v/>
      </c>
      <c r="BA100" s="87" t="str">
        <f t="shared" si="84"/>
        <v/>
      </c>
      <c r="BB100" s="90" t="str">
        <f t="shared" si="90"/>
        <v/>
      </c>
      <c r="BE100" s="87" t="str">
        <f t="shared" si="85"/>
        <v/>
      </c>
      <c r="BF100" s="87" t="str">
        <f t="shared" si="86"/>
        <v/>
      </c>
      <c r="BG100" s="87" t="str">
        <f t="shared" si="87"/>
        <v/>
      </c>
      <c r="BH100" s="87" t="str">
        <f t="shared" si="91"/>
        <v/>
      </c>
      <c r="BI100" s="87" t="str">
        <f t="shared" si="88"/>
        <v/>
      </c>
      <c r="BO100" s="87" t="str">
        <f t="shared" si="92"/>
        <v>〇</v>
      </c>
      <c r="BP100" s="87" t="str">
        <f t="shared" si="93"/>
        <v>〇</v>
      </c>
      <c r="BQ100" s="87" t="str">
        <f t="shared" si="94"/>
        <v>〇</v>
      </c>
      <c r="BR100" s="87" t="str">
        <f t="shared" si="95"/>
        <v>〇</v>
      </c>
      <c r="BS100" s="87" t="str">
        <f t="shared" si="96"/>
        <v>〇</v>
      </c>
      <c r="BT100" s="87" t="str">
        <f t="shared" si="97"/>
        <v>〇</v>
      </c>
      <c r="BU100" s="87" t="str">
        <f t="shared" si="98"/>
        <v>〇</v>
      </c>
      <c r="BV100" s="87" t="str">
        <f t="shared" si="99"/>
        <v>〇</v>
      </c>
      <c r="BW100" s="87" t="str">
        <f t="shared" si="100"/>
        <v>〇</v>
      </c>
      <c r="BX100" s="87" t="str">
        <f t="shared" si="101"/>
        <v>〇</v>
      </c>
      <c r="BY100" s="87" t="str">
        <f t="shared" si="102"/>
        <v>〇</v>
      </c>
      <c r="BZ100" s="87" t="str">
        <f t="shared" si="103"/>
        <v>〇</v>
      </c>
      <c r="CA100" s="87" t="str">
        <f t="shared" si="104"/>
        <v>〇</v>
      </c>
      <c r="CB100" s="87" t="str">
        <f t="shared" si="105"/>
        <v>〇</v>
      </c>
      <c r="CC100" s="87" t="str">
        <f t="shared" si="106"/>
        <v>〇</v>
      </c>
      <c r="CD100" s="87" t="str">
        <f t="shared" si="107"/>
        <v>〇</v>
      </c>
      <c r="CE100" s="87" t="str">
        <f t="shared" si="108"/>
        <v>〇</v>
      </c>
      <c r="CF100" s="87" t="str">
        <f t="shared" si="109"/>
        <v>〇</v>
      </c>
      <c r="CG100" s="87" t="str">
        <f t="shared" si="110"/>
        <v>〇</v>
      </c>
      <c r="CH100" s="87" t="str">
        <f t="shared" si="111"/>
        <v>〇</v>
      </c>
      <c r="CI100" s="87" t="str">
        <f t="shared" si="112"/>
        <v>〇</v>
      </c>
      <c r="CJ100" s="87" t="str">
        <f t="shared" si="113"/>
        <v>〇</v>
      </c>
      <c r="CK100" s="87" t="str">
        <f t="shared" si="114"/>
        <v>〇</v>
      </c>
      <c r="CL100" s="87" t="str">
        <f t="shared" si="115"/>
        <v>〇</v>
      </c>
      <c r="CM100" s="87" t="str">
        <f t="shared" si="116"/>
        <v>〇</v>
      </c>
      <c r="CN100" s="87" t="str">
        <f t="shared" si="117"/>
        <v>〇</v>
      </c>
      <c r="CO100" s="87" t="str">
        <f t="shared" si="118"/>
        <v>〇</v>
      </c>
      <c r="CP100" s="87" t="str">
        <f t="shared" si="119"/>
        <v>〇</v>
      </c>
      <c r="CQ100" s="87" t="str">
        <f t="shared" si="120"/>
        <v>〇</v>
      </c>
      <c r="CS100" s="476"/>
      <c r="CT100" s="476"/>
      <c r="CU100" s="476"/>
      <c r="CV100" s="476"/>
    </row>
    <row r="101" spans="1:100" s="90" customFormat="1" ht="23.15" customHeight="1">
      <c r="A101" s="2">
        <v>95</v>
      </c>
      <c r="B101" s="14"/>
      <c r="C101" s="4"/>
      <c r="D101" s="5"/>
      <c r="E101" s="3"/>
      <c r="F101" s="6"/>
      <c r="G101" s="7"/>
      <c r="H101" s="8"/>
      <c r="I101" s="8"/>
      <c r="J101" s="8"/>
      <c r="K101" s="8"/>
      <c r="L101" s="8"/>
      <c r="M101" s="8"/>
      <c r="N101" s="8"/>
      <c r="O101" s="8"/>
      <c r="P101" s="8"/>
      <c r="Q101" s="9"/>
      <c r="R101" s="10"/>
      <c r="S101" s="11"/>
      <c r="T101" s="9"/>
      <c r="U101" s="16"/>
      <c r="V101" s="9"/>
      <c r="W101" s="12"/>
      <c r="X101" s="13" t="str">
        <f t="shared" si="121"/>
        <v/>
      </c>
      <c r="Y101" s="89" t="str">
        <f t="shared" si="89"/>
        <v/>
      </c>
      <c r="Z101" s="87">
        <f>IF(COUNTIF($E$7:E101,E101)=1,"",COUNTIF($E$7:E101,E101))</f>
        <v>0</v>
      </c>
      <c r="AA101" s="87" t="str">
        <f t="shared" si="72"/>
        <v/>
      </c>
      <c r="AC101" s="87" t="str">
        <f t="shared" si="71"/>
        <v/>
      </c>
      <c r="AD101" s="87" t="str">
        <f t="shared" si="122"/>
        <v/>
      </c>
      <c r="AE101" s="87" t="str">
        <f t="shared" si="122"/>
        <v/>
      </c>
      <c r="AF101" s="87" t="str">
        <f t="shared" si="122"/>
        <v/>
      </c>
      <c r="AG101" s="87" t="str">
        <f t="shared" si="122"/>
        <v/>
      </c>
      <c r="AH101" s="87" t="str">
        <f t="shared" si="122"/>
        <v/>
      </c>
      <c r="AI101" s="87" t="str">
        <f t="shared" si="122"/>
        <v/>
      </c>
      <c r="AJ101" s="87" t="str">
        <f t="shared" si="122"/>
        <v/>
      </c>
      <c r="AK101" s="87" t="str">
        <f t="shared" si="122"/>
        <v/>
      </c>
      <c r="AL101" s="87" t="str">
        <f t="shared" si="122"/>
        <v/>
      </c>
      <c r="AM101" s="87" t="str">
        <f t="shared" si="122"/>
        <v/>
      </c>
      <c r="AN101" s="87" t="str">
        <f t="shared" si="122"/>
        <v/>
      </c>
      <c r="AP101" s="87" t="str">
        <f t="shared" si="73"/>
        <v/>
      </c>
      <c r="AQ101" s="87" t="str">
        <f t="shared" si="74"/>
        <v/>
      </c>
      <c r="AR101" s="87" t="str">
        <f t="shared" si="75"/>
        <v/>
      </c>
      <c r="AS101" s="87" t="str">
        <f t="shared" si="76"/>
        <v/>
      </c>
      <c r="AT101" s="87" t="str">
        <f t="shared" si="77"/>
        <v/>
      </c>
      <c r="AU101" s="87" t="str">
        <f t="shared" si="78"/>
        <v/>
      </c>
      <c r="AV101" s="87" t="str">
        <f t="shared" si="79"/>
        <v/>
      </c>
      <c r="AW101" s="87" t="str">
        <f t="shared" si="80"/>
        <v/>
      </c>
      <c r="AX101" s="87" t="str">
        <f t="shared" si="81"/>
        <v/>
      </c>
      <c r="AY101" s="87" t="str">
        <f t="shared" si="82"/>
        <v/>
      </c>
      <c r="AZ101" s="87" t="str">
        <f t="shared" si="83"/>
        <v/>
      </c>
      <c r="BA101" s="87" t="str">
        <f t="shared" si="84"/>
        <v/>
      </c>
      <c r="BB101" s="90" t="str">
        <f t="shared" si="90"/>
        <v/>
      </c>
      <c r="BE101" s="87" t="str">
        <f t="shared" si="85"/>
        <v/>
      </c>
      <c r="BF101" s="87" t="str">
        <f t="shared" si="86"/>
        <v/>
      </c>
      <c r="BG101" s="87" t="str">
        <f t="shared" si="87"/>
        <v/>
      </c>
      <c r="BH101" s="87" t="str">
        <f t="shared" si="91"/>
        <v/>
      </c>
      <c r="BI101" s="87" t="str">
        <f t="shared" si="88"/>
        <v/>
      </c>
      <c r="BO101" s="87" t="str">
        <f t="shared" si="92"/>
        <v>〇</v>
      </c>
      <c r="BP101" s="87" t="str">
        <f t="shared" si="93"/>
        <v>〇</v>
      </c>
      <c r="BQ101" s="87" t="str">
        <f t="shared" si="94"/>
        <v>〇</v>
      </c>
      <c r="BR101" s="87" t="str">
        <f t="shared" si="95"/>
        <v>〇</v>
      </c>
      <c r="BS101" s="87" t="str">
        <f t="shared" si="96"/>
        <v>〇</v>
      </c>
      <c r="BT101" s="87" t="str">
        <f t="shared" si="97"/>
        <v>〇</v>
      </c>
      <c r="BU101" s="87" t="str">
        <f t="shared" si="98"/>
        <v>〇</v>
      </c>
      <c r="BV101" s="87" t="str">
        <f t="shared" si="99"/>
        <v>〇</v>
      </c>
      <c r="BW101" s="87" t="str">
        <f t="shared" si="100"/>
        <v>〇</v>
      </c>
      <c r="BX101" s="87" t="str">
        <f t="shared" si="101"/>
        <v>〇</v>
      </c>
      <c r="BY101" s="87" t="str">
        <f t="shared" si="102"/>
        <v>〇</v>
      </c>
      <c r="BZ101" s="87" t="str">
        <f t="shared" si="103"/>
        <v>〇</v>
      </c>
      <c r="CA101" s="87" t="str">
        <f t="shared" si="104"/>
        <v>〇</v>
      </c>
      <c r="CB101" s="87" t="str">
        <f t="shared" si="105"/>
        <v>〇</v>
      </c>
      <c r="CC101" s="87" t="str">
        <f t="shared" si="106"/>
        <v>〇</v>
      </c>
      <c r="CD101" s="87" t="str">
        <f t="shared" si="107"/>
        <v>〇</v>
      </c>
      <c r="CE101" s="87" t="str">
        <f t="shared" si="108"/>
        <v>〇</v>
      </c>
      <c r="CF101" s="87" t="str">
        <f t="shared" si="109"/>
        <v>〇</v>
      </c>
      <c r="CG101" s="87" t="str">
        <f t="shared" si="110"/>
        <v>〇</v>
      </c>
      <c r="CH101" s="87" t="str">
        <f t="shared" si="111"/>
        <v>〇</v>
      </c>
      <c r="CI101" s="87" t="str">
        <f t="shared" si="112"/>
        <v>〇</v>
      </c>
      <c r="CJ101" s="87" t="str">
        <f t="shared" si="113"/>
        <v>〇</v>
      </c>
      <c r="CK101" s="87" t="str">
        <f t="shared" si="114"/>
        <v>〇</v>
      </c>
      <c r="CL101" s="87" t="str">
        <f t="shared" si="115"/>
        <v>〇</v>
      </c>
      <c r="CM101" s="87" t="str">
        <f t="shared" si="116"/>
        <v>〇</v>
      </c>
      <c r="CN101" s="87" t="str">
        <f t="shared" si="117"/>
        <v>〇</v>
      </c>
      <c r="CO101" s="87" t="str">
        <f t="shared" si="118"/>
        <v>〇</v>
      </c>
      <c r="CP101" s="87" t="str">
        <f t="shared" si="119"/>
        <v>〇</v>
      </c>
      <c r="CQ101" s="87" t="str">
        <f t="shared" si="120"/>
        <v>〇</v>
      </c>
      <c r="CS101" s="476"/>
      <c r="CT101" s="476"/>
      <c r="CU101" s="476"/>
      <c r="CV101" s="476"/>
    </row>
    <row r="102" spans="1:100" s="90" customFormat="1" ht="23.15" customHeight="1">
      <c r="A102" s="2">
        <v>96</v>
      </c>
      <c r="B102" s="14"/>
      <c r="C102" s="4"/>
      <c r="D102" s="5"/>
      <c r="E102" s="3"/>
      <c r="F102" s="6"/>
      <c r="G102" s="7"/>
      <c r="H102" s="8"/>
      <c r="I102" s="8"/>
      <c r="J102" s="8"/>
      <c r="K102" s="8"/>
      <c r="L102" s="8"/>
      <c r="M102" s="8"/>
      <c r="N102" s="8"/>
      <c r="O102" s="8"/>
      <c r="P102" s="8"/>
      <c r="Q102" s="9"/>
      <c r="R102" s="10"/>
      <c r="S102" s="11"/>
      <c r="T102" s="9"/>
      <c r="U102" s="16"/>
      <c r="V102" s="9"/>
      <c r="W102" s="12"/>
      <c r="X102" s="13" t="str">
        <f t="shared" si="121"/>
        <v/>
      </c>
      <c r="Y102" s="89" t="str">
        <f t="shared" si="89"/>
        <v/>
      </c>
      <c r="Z102" s="87">
        <f>IF(COUNTIF($E$7:E102,E102)=1,"",COUNTIF($E$7:E102,E102))</f>
        <v>0</v>
      </c>
      <c r="AA102" s="87" t="str">
        <f t="shared" si="72"/>
        <v/>
      </c>
      <c r="AC102" s="87" t="str">
        <f t="shared" si="71"/>
        <v/>
      </c>
      <c r="AD102" s="87" t="str">
        <f t="shared" si="122"/>
        <v/>
      </c>
      <c r="AE102" s="87" t="str">
        <f t="shared" si="122"/>
        <v/>
      </c>
      <c r="AF102" s="87" t="str">
        <f t="shared" si="122"/>
        <v/>
      </c>
      <c r="AG102" s="87" t="str">
        <f t="shared" si="122"/>
        <v/>
      </c>
      <c r="AH102" s="87" t="str">
        <f t="shared" si="122"/>
        <v/>
      </c>
      <c r="AI102" s="87" t="str">
        <f t="shared" si="122"/>
        <v/>
      </c>
      <c r="AJ102" s="87" t="str">
        <f t="shared" si="122"/>
        <v/>
      </c>
      <c r="AK102" s="87" t="str">
        <f t="shared" si="122"/>
        <v/>
      </c>
      <c r="AL102" s="87" t="str">
        <f t="shared" si="122"/>
        <v/>
      </c>
      <c r="AM102" s="87" t="str">
        <f t="shared" si="122"/>
        <v/>
      </c>
      <c r="AN102" s="87" t="str">
        <f t="shared" si="122"/>
        <v/>
      </c>
      <c r="AP102" s="87" t="str">
        <f t="shared" si="73"/>
        <v/>
      </c>
      <c r="AQ102" s="87" t="str">
        <f t="shared" si="74"/>
        <v/>
      </c>
      <c r="AR102" s="87" t="str">
        <f t="shared" si="75"/>
        <v/>
      </c>
      <c r="AS102" s="87" t="str">
        <f t="shared" si="76"/>
        <v/>
      </c>
      <c r="AT102" s="87" t="str">
        <f t="shared" si="77"/>
        <v/>
      </c>
      <c r="AU102" s="87" t="str">
        <f t="shared" si="78"/>
        <v/>
      </c>
      <c r="AV102" s="87" t="str">
        <f t="shared" si="79"/>
        <v/>
      </c>
      <c r="AW102" s="87" t="str">
        <f t="shared" si="80"/>
        <v/>
      </c>
      <c r="AX102" s="87" t="str">
        <f t="shared" si="81"/>
        <v/>
      </c>
      <c r="AY102" s="87" t="str">
        <f t="shared" si="82"/>
        <v/>
      </c>
      <c r="AZ102" s="87" t="str">
        <f t="shared" si="83"/>
        <v/>
      </c>
      <c r="BA102" s="87" t="str">
        <f t="shared" si="84"/>
        <v/>
      </c>
      <c r="BB102" s="90" t="str">
        <f t="shared" si="90"/>
        <v/>
      </c>
      <c r="BE102" s="87" t="str">
        <f t="shared" si="85"/>
        <v/>
      </c>
      <c r="BF102" s="87" t="str">
        <f t="shared" si="86"/>
        <v/>
      </c>
      <c r="BG102" s="87" t="str">
        <f t="shared" si="87"/>
        <v/>
      </c>
      <c r="BH102" s="87" t="str">
        <f t="shared" si="91"/>
        <v/>
      </c>
      <c r="BI102" s="87" t="str">
        <f t="shared" si="88"/>
        <v/>
      </c>
      <c r="BO102" s="87" t="str">
        <f t="shared" si="92"/>
        <v>〇</v>
      </c>
      <c r="BP102" s="87" t="str">
        <f t="shared" si="93"/>
        <v>〇</v>
      </c>
      <c r="BQ102" s="87" t="str">
        <f t="shared" si="94"/>
        <v>〇</v>
      </c>
      <c r="BR102" s="87" t="str">
        <f t="shared" si="95"/>
        <v>〇</v>
      </c>
      <c r="BS102" s="87" t="str">
        <f t="shared" si="96"/>
        <v>〇</v>
      </c>
      <c r="BT102" s="87" t="str">
        <f t="shared" si="97"/>
        <v>〇</v>
      </c>
      <c r="BU102" s="87" t="str">
        <f t="shared" si="98"/>
        <v>〇</v>
      </c>
      <c r="BV102" s="87" t="str">
        <f t="shared" si="99"/>
        <v>〇</v>
      </c>
      <c r="BW102" s="87" t="str">
        <f t="shared" si="100"/>
        <v>〇</v>
      </c>
      <c r="BX102" s="87" t="str">
        <f t="shared" si="101"/>
        <v>〇</v>
      </c>
      <c r="BY102" s="87" t="str">
        <f t="shared" si="102"/>
        <v>〇</v>
      </c>
      <c r="BZ102" s="87" t="str">
        <f t="shared" si="103"/>
        <v>〇</v>
      </c>
      <c r="CA102" s="87" t="str">
        <f t="shared" si="104"/>
        <v>〇</v>
      </c>
      <c r="CB102" s="87" t="str">
        <f t="shared" si="105"/>
        <v>〇</v>
      </c>
      <c r="CC102" s="87" t="str">
        <f t="shared" si="106"/>
        <v>〇</v>
      </c>
      <c r="CD102" s="87" t="str">
        <f t="shared" si="107"/>
        <v>〇</v>
      </c>
      <c r="CE102" s="87" t="str">
        <f t="shared" si="108"/>
        <v>〇</v>
      </c>
      <c r="CF102" s="87" t="str">
        <f t="shared" si="109"/>
        <v>〇</v>
      </c>
      <c r="CG102" s="87" t="str">
        <f t="shared" si="110"/>
        <v>〇</v>
      </c>
      <c r="CH102" s="87" t="str">
        <f t="shared" si="111"/>
        <v>〇</v>
      </c>
      <c r="CI102" s="87" t="str">
        <f t="shared" si="112"/>
        <v>〇</v>
      </c>
      <c r="CJ102" s="87" t="str">
        <f t="shared" si="113"/>
        <v>〇</v>
      </c>
      <c r="CK102" s="87" t="str">
        <f t="shared" si="114"/>
        <v>〇</v>
      </c>
      <c r="CL102" s="87" t="str">
        <f t="shared" si="115"/>
        <v>〇</v>
      </c>
      <c r="CM102" s="87" t="str">
        <f t="shared" si="116"/>
        <v>〇</v>
      </c>
      <c r="CN102" s="87" t="str">
        <f t="shared" si="117"/>
        <v>〇</v>
      </c>
      <c r="CO102" s="87" t="str">
        <f t="shared" si="118"/>
        <v>〇</v>
      </c>
      <c r="CP102" s="87" t="str">
        <f t="shared" si="119"/>
        <v>〇</v>
      </c>
      <c r="CQ102" s="87" t="str">
        <f t="shared" si="120"/>
        <v>〇</v>
      </c>
      <c r="CS102" s="476"/>
      <c r="CT102" s="476"/>
      <c r="CU102" s="476"/>
      <c r="CV102" s="476"/>
    </row>
    <row r="103" spans="1:100" s="90" customFormat="1" ht="23.15" customHeight="1">
      <c r="A103" s="2">
        <v>97</v>
      </c>
      <c r="B103" s="14"/>
      <c r="C103" s="4"/>
      <c r="D103" s="5"/>
      <c r="E103" s="3"/>
      <c r="F103" s="6"/>
      <c r="G103" s="7"/>
      <c r="H103" s="8"/>
      <c r="I103" s="8"/>
      <c r="J103" s="8"/>
      <c r="K103" s="8"/>
      <c r="L103" s="8"/>
      <c r="M103" s="8"/>
      <c r="N103" s="8"/>
      <c r="O103" s="8"/>
      <c r="P103" s="8"/>
      <c r="Q103" s="9"/>
      <c r="R103" s="10"/>
      <c r="S103" s="11"/>
      <c r="T103" s="9"/>
      <c r="U103" s="16"/>
      <c r="V103" s="9"/>
      <c r="W103" s="12"/>
      <c r="X103" s="13" t="str">
        <f t="shared" si="121"/>
        <v/>
      </c>
      <c r="Y103" s="89" t="str">
        <f t="shared" si="89"/>
        <v/>
      </c>
      <c r="Z103" s="87">
        <f>IF(COUNTIF($E$7:E103,E103)=1,"",COUNTIF($E$7:E103,E103))</f>
        <v>0</v>
      </c>
      <c r="AA103" s="87" t="str">
        <f t="shared" si="72"/>
        <v/>
      </c>
      <c r="AC103" s="87" t="str">
        <f t="shared" si="71"/>
        <v/>
      </c>
      <c r="AD103" s="87" t="str">
        <f t="shared" si="122"/>
        <v/>
      </c>
      <c r="AE103" s="87" t="str">
        <f t="shared" si="122"/>
        <v/>
      </c>
      <c r="AF103" s="87" t="str">
        <f t="shared" si="122"/>
        <v/>
      </c>
      <c r="AG103" s="87" t="str">
        <f t="shared" si="122"/>
        <v/>
      </c>
      <c r="AH103" s="87" t="str">
        <f t="shared" si="122"/>
        <v/>
      </c>
      <c r="AI103" s="87" t="str">
        <f t="shared" si="122"/>
        <v/>
      </c>
      <c r="AJ103" s="87" t="str">
        <f t="shared" si="122"/>
        <v/>
      </c>
      <c r="AK103" s="87" t="str">
        <f t="shared" si="122"/>
        <v/>
      </c>
      <c r="AL103" s="87" t="str">
        <f t="shared" si="122"/>
        <v/>
      </c>
      <c r="AM103" s="87" t="str">
        <f t="shared" si="122"/>
        <v/>
      </c>
      <c r="AN103" s="87" t="str">
        <f t="shared" si="122"/>
        <v/>
      </c>
      <c r="AP103" s="87" t="str">
        <f t="shared" si="73"/>
        <v/>
      </c>
      <c r="AQ103" s="87" t="str">
        <f t="shared" si="74"/>
        <v/>
      </c>
      <c r="AR103" s="87" t="str">
        <f t="shared" si="75"/>
        <v/>
      </c>
      <c r="AS103" s="87" t="str">
        <f t="shared" si="76"/>
        <v/>
      </c>
      <c r="AT103" s="87" t="str">
        <f t="shared" si="77"/>
        <v/>
      </c>
      <c r="AU103" s="87" t="str">
        <f t="shared" si="78"/>
        <v/>
      </c>
      <c r="AV103" s="87" t="str">
        <f t="shared" si="79"/>
        <v/>
      </c>
      <c r="AW103" s="87" t="str">
        <f t="shared" si="80"/>
        <v/>
      </c>
      <c r="AX103" s="87" t="str">
        <f t="shared" si="81"/>
        <v/>
      </c>
      <c r="AY103" s="87" t="str">
        <f t="shared" si="82"/>
        <v/>
      </c>
      <c r="AZ103" s="87" t="str">
        <f t="shared" si="83"/>
        <v/>
      </c>
      <c r="BA103" s="87" t="str">
        <f t="shared" si="84"/>
        <v/>
      </c>
      <c r="BB103" s="90" t="str">
        <f t="shared" si="90"/>
        <v/>
      </c>
      <c r="BE103" s="87" t="str">
        <f t="shared" si="85"/>
        <v/>
      </c>
      <c r="BF103" s="87" t="str">
        <f t="shared" si="86"/>
        <v/>
      </c>
      <c r="BG103" s="87" t="str">
        <f t="shared" ref="BG103:BG106" si="123">IF(AND(BF103="",R103&lt;&gt;""),"○","")</f>
        <v/>
      </c>
      <c r="BH103" s="87" t="str">
        <f t="shared" si="91"/>
        <v/>
      </c>
      <c r="BI103" s="87" t="str">
        <f t="shared" si="88"/>
        <v/>
      </c>
      <c r="BO103" s="87" t="str">
        <f t="shared" si="92"/>
        <v>〇</v>
      </c>
      <c r="BP103" s="87" t="str">
        <f t="shared" si="93"/>
        <v>〇</v>
      </c>
      <c r="BQ103" s="87" t="str">
        <f t="shared" si="94"/>
        <v>〇</v>
      </c>
      <c r="BR103" s="87" t="str">
        <f t="shared" si="95"/>
        <v>〇</v>
      </c>
      <c r="BS103" s="87" t="str">
        <f t="shared" si="96"/>
        <v>〇</v>
      </c>
      <c r="BT103" s="87" t="str">
        <f t="shared" si="97"/>
        <v>〇</v>
      </c>
      <c r="BU103" s="87" t="str">
        <f t="shared" si="98"/>
        <v>〇</v>
      </c>
      <c r="BV103" s="87" t="str">
        <f t="shared" si="99"/>
        <v>〇</v>
      </c>
      <c r="BW103" s="87" t="str">
        <f t="shared" si="100"/>
        <v>〇</v>
      </c>
      <c r="BX103" s="87" t="str">
        <f t="shared" si="101"/>
        <v>〇</v>
      </c>
      <c r="BY103" s="87" t="str">
        <f t="shared" si="102"/>
        <v>〇</v>
      </c>
      <c r="BZ103" s="87" t="str">
        <f t="shared" si="103"/>
        <v>〇</v>
      </c>
      <c r="CA103" s="87" t="str">
        <f t="shared" si="104"/>
        <v>〇</v>
      </c>
      <c r="CB103" s="87" t="str">
        <f t="shared" si="105"/>
        <v>〇</v>
      </c>
      <c r="CC103" s="87" t="str">
        <f t="shared" si="106"/>
        <v>〇</v>
      </c>
      <c r="CD103" s="87" t="str">
        <f t="shared" si="107"/>
        <v>〇</v>
      </c>
      <c r="CE103" s="87" t="str">
        <f t="shared" si="108"/>
        <v>〇</v>
      </c>
      <c r="CF103" s="87" t="str">
        <f t="shared" si="109"/>
        <v>〇</v>
      </c>
      <c r="CG103" s="87" t="str">
        <f t="shared" si="110"/>
        <v>〇</v>
      </c>
      <c r="CH103" s="87" t="str">
        <f t="shared" si="111"/>
        <v>〇</v>
      </c>
      <c r="CI103" s="87" t="str">
        <f t="shared" si="112"/>
        <v>〇</v>
      </c>
      <c r="CJ103" s="87" t="str">
        <f t="shared" si="113"/>
        <v>〇</v>
      </c>
      <c r="CK103" s="87" t="str">
        <f t="shared" si="114"/>
        <v>〇</v>
      </c>
      <c r="CL103" s="87" t="str">
        <f t="shared" si="115"/>
        <v>〇</v>
      </c>
      <c r="CM103" s="87" t="str">
        <f t="shared" si="116"/>
        <v>〇</v>
      </c>
      <c r="CN103" s="87" t="str">
        <f t="shared" si="117"/>
        <v>〇</v>
      </c>
      <c r="CO103" s="87" t="str">
        <f t="shared" si="118"/>
        <v>〇</v>
      </c>
      <c r="CP103" s="87" t="str">
        <f t="shared" si="119"/>
        <v>〇</v>
      </c>
      <c r="CQ103" s="87" t="str">
        <f t="shared" si="120"/>
        <v>〇</v>
      </c>
      <c r="CS103" s="476"/>
      <c r="CT103" s="476"/>
      <c r="CU103" s="476"/>
      <c r="CV103" s="476"/>
    </row>
    <row r="104" spans="1:100" s="90" customFormat="1" ht="23.15" customHeight="1">
      <c r="A104" s="2">
        <v>98</v>
      </c>
      <c r="B104" s="14"/>
      <c r="C104" s="4"/>
      <c r="D104" s="5"/>
      <c r="E104" s="3"/>
      <c r="F104" s="6"/>
      <c r="G104" s="7"/>
      <c r="H104" s="8"/>
      <c r="I104" s="8"/>
      <c r="J104" s="8"/>
      <c r="K104" s="8"/>
      <c r="L104" s="8"/>
      <c r="M104" s="8"/>
      <c r="N104" s="8"/>
      <c r="O104" s="8"/>
      <c r="P104" s="8"/>
      <c r="Q104" s="9"/>
      <c r="R104" s="10"/>
      <c r="S104" s="11"/>
      <c r="T104" s="9"/>
      <c r="U104" s="16"/>
      <c r="V104" s="9"/>
      <c r="W104" s="12"/>
      <c r="X104" s="13" t="str">
        <f t="shared" si="121"/>
        <v/>
      </c>
      <c r="Y104" s="89" t="str">
        <f t="shared" si="89"/>
        <v/>
      </c>
      <c r="Z104" s="87">
        <f>IF(COUNTIF($E$7:E104,E104)=1,"",COUNTIF($E$7:E104,E104))</f>
        <v>0</v>
      </c>
      <c r="AA104" s="87" t="str">
        <f t="shared" si="72"/>
        <v/>
      </c>
      <c r="AC104" s="87" t="str">
        <f t="shared" si="71"/>
        <v/>
      </c>
      <c r="AD104" s="87" t="str">
        <f t="shared" si="122"/>
        <v/>
      </c>
      <c r="AE104" s="87" t="str">
        <f t="shared" si="122"/>
        <v/>
      </c>
      <c r="AF104" s="87" t="str">
        <f t="shared" si="122"/>
        <v/>
      </c>
      <c r="AG104" s="87" t="str">
        <f t="shared" si="122"/>
        <v/>
      </c>
      <c r="AH104" s="87" t="str">
        <f t="shared" si="122"/>
        <v/>
      </c>
      <c r="AI104" s="87" t="str">
        <f t="shared" si="122"/>
        <v/>
      </c>
      <c r="AJ104" s="87" t="str">
        <f t="shared" si="122"/>
        <v/>
      </c>
      <c r="AK104" s="87" t="str">
        <f t="shared" si="122"/>
        <v/>
      </c>
      <c r="AL104" s="87" t="str">
        <f t="shared" si="122"/>
        <v/>
      </c>
      <c r="AM104" s="87" t="str">
        <f t="shared" si="122"/>
        <v/>
      </c>
      <c r="AN104" s="87" t="str">
        <f t="shared" si="122"/>
        <v/>
      </c>
      <c r="AP104" s="87" t="str">
        <f t="shared" si="73"/>
        <v/>
      </c>
      <c r="AQ104" s="87" t="str">
        <f t="shared" si="74"/>
        <v/>
      </c>
      <c r="AR104" s="87" t="str">
        <f t="shared" si="75"/>
        <v/>
      </c>
      <c r="AS104" s="87" t="str">
        <f t="shared" si="76"/>
        <v/>
      </c>
      <c r="AT104" s="87" t="str">
        <f t="shared" si="77"/>
        <v/>
      </c>
      <c r="AU104" s="87" t="str">
        <f t="shared" si="78"/>
        <v/>
      </c>
      <c r="AV104" s="87" t="str">
        <f t="shared" si="79"/>
        <v/>
      </c>
      <c r="AW104" s="87" t="str">
        <f t="shared" si="80"/>
        <v/>
      </c>
      <c r="AX104" s="87" t="str">
        <f t="shared" si="81"/>
        <v/>
      </c>
      <c r="AY104" s="87" t="str">
        <f t="shared" si="82"/>
        <v/>
      </c>
      <c r="AZ104" s="87" t="str">
        <f t="shared" si="83"/>
        <v/>
      </c>
      <c r="BA104" s="87" t="str">
        <f t="shared" si="84"/>
        <v/>
      </c>
      <c r="BB104" s="90" t="str">
        <f t="shared" si="90"/>
        <v/>
      </c>
      <c r="BE104" s="87" t="str">
        <f t="shared" si="85"/>
        <v/>
      </c>
      <c r="BF104" s="87" t="str">
        <f t="shared" si="86"/>
        <v/>
      </c>
      <c r="BG104" s="87" t="str">
        <f t="shared" si="123"/>
        <v/>
      </c>
      <c r="BH104" s="87" t="str">
        <f t="shared" si="91"/>
        <v/>
      </c>
      <c r="BI104" s="87" t="str">
        <f t="shared" si="88"/>
        <v/>
      </c>
      <c r="BO104" s="87" t="str">
        <f t="shared" si="92"/>
        <v>〇</v>
      </c>
      <c r="BP104" s="87" t="str">
        <f t="shared" si="93"/>
        <v>〇</v>
      </c>
      <c r="BQ104" s="87" t="str">
        <f t="shared" si="94"/>
        <v>〇</v>
      </c>
      <c r="BR104" s="87" t="str">
        <f t="shared" si="95"/>
        <v>〇</v>
      </c>
      <c r="BS104" s="87" t="str">
        <f t="shared" si="96"/>
        <v>〇</v>
      </c>
      <c r="BT104" s="87" t="str">
        <f t="shared" si="97"/>
        <v>〇</v>
      </c>
      <c r="BU104" s="87" t="str">
        <f t="shared" si="98"/>
        <v>〇</v>
      </c>
      <c r="BV104" s="87" t="str">
        <f t="shared" si="99"/>
        <v>〇</v>
      </c>
      <c r="BW104" s="87" t="str">
        <f t="shared" si="100"/>
        <v>〇</v>
      </c>
      <c r="BX104" s="87" t="str">
        <f t="shared" si="101"/>
        <v>〇</v>
      </c>
      <c r="BY104" s="87" t="str">
        <f t="shared" si="102"/>
        <v>〇</v>
      </c>
      <c r="BZ104" s="87" t="str">
        <f t="shared" si="103"/>
        <v>〇</v>
      </c>
      <c r="CA104" s="87" t="str">
        <f t="shared" si="104"/>
        <v>〇</v>
      </c>
      <c r="CB104" s="87" t="str">
        <f t="shared" si="105"/>
        <v>〇</v>
      </c>
      <c r="CC104" s="87" t="str">
        <f t="shared" si="106"/>
        <v>〇</v>
      </c>
      <c r="CD104" s="87" t="str">
        <f t="shared" si="107"/>
        <v>〇</v>
      </c>
      <c r="CE104" s="87" t="str">
        <f t="shared" si="108"/>
        <v>〇</v>
      </c>
      <c r="CF104" s="87" t="str">
        <f t="shared" si="109"/>
        <v>〇</v>
      </c>
      <c r="CG104" s="87" t="str">
        <f t="shared" si="110"/>
        <v>〇</v>
      </c>
      <c r="CH104" s="87" t="str">
        <f t="shared" si="111"/>
        <v>〇</v>
      </c>
      <c r="CI104" s="87" t="str">
        <f t="shared" si="112"/>
        <v>〇</v>
      </c>
      <c r="CJ104" s="87" t="str">
        <f t="shared" si="113"/>
        <v>〇</v>
      </c>
      <c r="CK104" s="87" t="str">
        <f t="shared" si="114"/>
        <v>〇</v>
      </c>
      <c r="CL104" s="87" t="str">
        <f t="shared" si="115"/>
        <v>〇</v>
      </c>
      <c r="CM104" s="87" t="str">
        <f t="shared" si="116"/>
        <v>〇</v>
      </c>
      <c r="CN104" s="87" t="str">
        <f t="shared" si="117"/>
        <v>〇</v>
      </c>
      <c r="CO104" s="87" t="str">
        <f t="shared" si="118"/>
        <v>〇</v>
      </c>
      <c r="CP104" s="87" t="str">
        <f t="shared" si="119"/>
        <v>〇</v>
      </c>
      <c r="CQ104" s="87" t="str">
        <f t="shared" si="120"/>
        <v>〇</v>
      </c>
      <c r="CS104" s="476"/>
      <c r="CT104" s="476"/>
      <c r="CU104" s="476"/>
      <c r="CV104" s="476"/>
    </row>
    <row r="105" spans="1:100" s="90" customFormat="1" ht="23.15" customHeight="1">
      <c r="A105" s="2">
        <v>99</v>
      </c>
      <c r="B105" s="14"/>
      <c r="C105" s="4"/>
      <c r="D105" s="5"/>
      <c r="E105" s="3"/>
      <c r="F105" s="6"/>
      <c r="G105" s="7"/>
      <c r="H105" s="8"/>
      <c r="I105" s="8"/>
      <c r="J105" s="8"/>
      <c r="K105" s="8"/>
      <c r="L105" s="8"/>
      <c r="M105" s="8"/>
      <c r="N105" s="8"/>
      <c r="O105" s="8"/>
      <c r="P105" s="8"/>
      <c r="Q105" s="9"/>
      <c r="R105" s="10"/>
      <c r="S105" s="11"/>
      <c r="T105" s="9"/>
      <c r="U105" s="16"/>
      <c r="V105" s="9"/>
      <c r="W105" s="12"/>
      <c r="X105" s="13" t="str">
        <f t="shared" si="121"/>
        <v/>
      </c>
      <c r="Y105" s="89" t="str">
        <f t="shared" si="89"/>
        <v/>
      </c>
      <c r="Z105" s="87">
        <f>IF(COUNTIF($E$7:E105,E105)=1,"",COUNTIF($E$7:E105,E105))</f>
        <v>0</v>
      </c>
      <c r="AA105" s="87" t="str">
        <f t="shared" si="72"/>
        <v/>
      </c>
      <c r="AC105" s="87" t="str">
        <f t="shared" si="71"/>
        <v/>
      </c>
      <c r="AD105" s="87" t="str">
        <f t="shared" si="122"/>
        <v/>
      </c>
      <c r="AE105" s="87" t="str">
        <f t="shared" si="122"/>
        <v/>
      </c>
      <c r="AF105" s="87" t="str">
        <f t="shared" si="122"/>
        <v/>
      </c>
      <c r="AG105" s="87" t="str">
        <f t="shared" si="122"/>
        <v/>
      </c>
      <c r="AH105" s="87" t="str">
        <f t="shared" si="122"/>
        <v/>
      </c>
      <c r="AI105" s="87" t="str">
        <f t="shared" si="122"/>
        <v/>
      </c>
      <c r="AJ105" s="87" t="str">
        <f t="shared" si="122"/>
        <v/>
      </c>
      <c r="AK105" s="87" t="str">
        <f t="shared" si="122"/>
        <v/>
      </c>
      <c r="AL105" s="87" t="str">
        <f t="shared" si="122"/>
        <v/>
      </c>
      <c r="AM105" s="87" t="str">
        <f t="shared" si="122"/>
        <v/>
      </c>
      <c r="AN105" s="87" t="str">
        <f t="shared" si="122"/>
        <v/>
      </c>
      <c r="AP105" s="87" t="str">
        <f t="shared" si="73"/>
        <v/>
      </c>
      <c r="AQ105" s="87" t="str">
        <f t="shared" si="74"/>
        <v/>
      </c>
      <c r="AR105" s="87" t="str">
        <f t="shared" si="75"/>
        <v/>
      </c>
      <c r="AS105" s="87" t="str">
        <f t="shared" si="76"/>
        <v/>
      </c>
      <c r="AT105" s="87" t="str">
        <f t="shared" si="77"/>
        <v/>
      </c>
      <c r="AU105" s="87" t="str">
        <f t="shared" si="78"/>
        <v/>
      </c>
      <c r="AV105" s="87" t="str">
        <f t="shared" si="79"/>
        <v/>
      </c>
      <c r="AW105" s="87" t="str">
        <f t="shared" si="80"/>
        <v/>
      </c>
      <c r="AX105" s="87" t="str">
        <f t="shared" si="81"/>
        <v/>
      </c>
      <c r="AY105" s="87" t="str">
        <f t="shared" si="82"/>
        <v/>
      </c>
      <c r="AZ105" s="87" t="str">
        <f t="shared" si="83"/>
        <v/>
      </c>
      <c r="BA105" s="87" t="str">
        <f t="shared" si="84"/>
        <v/>
      </c>
      <c r="BB105" s="90" t="str">
        <f t="shared" si="90"/>
        <v/>
      </c>
      <c r="BE105" s="87" t="str">
        <f t="shared" si="85"/>
        <v/>
      </c>
      <c r="BF105" s="87" t="str">
        <f t="shared" si="86"/>
        <v/>
      </c>
      <c r="BG105" s="87" t="str">
        <f t="shared" si="123"/>
        <v/>
      </c>
      <c r="BH105" s="87" t="str">
        <f t="shared" si="91"/>
        <v/>
      </c>
      <c r="BI105" s="87" t="str">
        <f t="shared" si="88"/>
        <v/>
      </c>
      <c r="BO105" s="87" t="str">
        <f t="shared" si="92"/>
        <v>〇</v>
      </c>
      <c r="BP105" s="87" t="str">
        <f t="shared" si="93"/>
        <v>〇</v>
      </c>
      <c r="BQ105" s="87" t="str">
        <f t="shared" si="94"/>
        <v>〇</v>
      </c>
      <c r="BR105" s="87" t="str">
        <f t="shared" si="95"/>
        <v>〇</v>
      </c>
      <c r="BS105" s="87" t="str">
        <f t="shared" si="96"/>
        <v>〇</v>
      </c>
      <c r="BT105" s="87" t="str">
        <f t="shared" si="97"/>
        <v>〇</v>
      </c>
      <c r="BU105" s="87" t="str">
        <f t="shared" si="98"/>
        <v>〇</v>
      </c>
      <c r="BV105" s="87" t="str">
        <f t="shared" si="99"/>
        <v>〇</v>
      </c>
      <c r="BW105" s="87" t="str">
        <f t="shared" si="100"/>
        <v>〇</v>
      </c>
      <c r="BX105" s="87" t="str">
        <f t="shared" si="101"/>
        <v>〇</v>
      </c>
      <c r="BY105" s="87" t="str">
        <f t="shared" si="102"/>
        <v>〇</v>
      </c>
      <c r="BZ105" s="87" t="str">
        <f t="shared" si="103"/>
        <v>〇</v>
      </c>
      <c r="CA105" s="87" t="str">
        <f t="shared" si="104"/>
        <v>〇</v>
      </c>
      <c r="CB105" s="87" t="str">
        <f t="shared" si="105"/>
        <v>〇</v>
      </c>
      <c r="CC105" s="87" t="str">
        <f t="shared" si="106"/>
        <v>〇</v>
      </c>
      <c r="CD105" s="87" t="str">
        <f t="shared" si="107"/>
        <v>〇</v>
      </c>
      <c r="CE105" s="87" t="str">
        <f t="shared" si="108"/>
        <v>〇</v>
      </c>
      <c r="CF105" s="87" t="str">
        <f t="shared" si="109"/>
        <v>〇</v>
      </c>
      <c r="CG105" s="87" t="str">
        <f t="shared" si="110"/>
        <v>〇</v>
      </c>
      <c r="CH105" s="87" t="str">
        <f t="shared" si="111"/>
        <v>〇</v>
      </c>
      <c r="CI105" s="87" t="str">
        <f t="shared" si="112"/>
        <v>〇</v>
      </c>
      <c r="CJ105" s="87" t="str">
        <f t="shared" si="113"/>
        <v>〇</v>
      </c>
      <c r="CK105" s="87" t="str">
        <f t="shared" si="114"/>
        <v>〇</v>
      </c>
      <c r="CL105" s="87" t="str">
        <f t="shared" si="115"/>
        <v>〇</v>
      </c>
      <c r="CM105" s="87" t="str">
        <f t="shared" si="116"/>
        <v>〇</v>
      </c>
      <c r="CN105" s="87" t="str">
        <f t="shared" si="117"/>
        <v>〇</v>
      </c>
      <c r="CO105" s="87" t="str">
        <f t="shared" si="118"/>
        <v>〇</v>
      </c>
      <c r="CP105" s="87" t="str">
        <f t="shared" si="119"/>
        <v>〇</v>
      </c>
      <c r="CQ105" s="87" t="str">
        <f t="shared" si="120"/>
        <v>〇</v>
      </c>
      <c r="CS105" s="476"/>
      <c r="CT105" s="476"/>
      <c r="CU105" s="476"/>
      <c r="CV105" s="476"/>
    </row>
    <row r="106" spans="1:100" s="90" customFormat="1" ht="23.15" customHeight="1">
      <c r="A106" s="2">
        <v>100</v>
      </c>
      <c r="B106" s="14"/>
      <c r="C106" s="4"/>
      <c r="D106" s="5"/>
      <c r="E106" s="3"/>
      <c r="F106" s="6"/>
      <c r="G106" s="7"/>
      <c r="H106" s="8"/>
      <c r="I106" s="8"/>
      <c r="J106" s="8"/>
      <c r="K106" s="8"/>
      <c r="L106" s="8"/>
      <c r="M106" s="8"/>
      <c r="N106" s="8"/>
      <c r="O106" s="8"/>
      <c r="P106" s="8"/>
      <c r="Q106" s="9"/>
      <c r="R106" s="10"/>
      <c r="S106" s="11"/>
      <c r="T106" s="9"/>
      <c r="U106" s="16"/>
      <c r="V106" s="9"/>
      <c r="W106" s="12"/>
      <c r="X106" s="13" t="str">
        <f t="shared" si="121"/>
        <v/>
      </c>
      <c r="Y106" s="89" t="str">
        <f t="shared" si="89"/>
        <v/>
      </c>
      <c r="Z106" s="87">
        <f>IF(COUNTIF($E$7:E106,E106)=1,"",COUNTIF($E$7:E106,E106))</f>
        <v>0</v>
      </c>
      <c r="AA106" s="87" t="str">
        <f t="shared" si="72"/>
        <v/>
      </c>
      <c r="AC106" s="87" t="str">
        <f t="shared" si="71"/>
        <v/>
      </c>
      <c r="AD106" s="87" t="str">
        <f t="shared" si="122"/>
        <v/>
      </c>
      <c r="AE106" s="87" t="str">
        <f t="shared" si="122"/>
        <v/>
      </c>
      <c r="AF106" s="87" t="str">
        <f t="shared" si="122"/>
        <v/>
      </c>
      <c r="AG106" s="87" t="str">
        <f t="shared" si="122"/>
        <v/>
      </c>
      <c r="AH106" s="87" t="str">
        <f t="shared" si="122"/>
        <v/>
      </c>
      <c r="AI106" s="87" t="str">
        <f t="shared" si="122"/>
        <v/>
      </c>
      <c r="AJ106" s="87" t="str">
        <f t="shared" si="122"/>
        <v/>
      </c>
      <c r="AK106" s="87" t="str">
        <f t="shared" si="122"/>
        <v/>
      </c>
      <c r="AL106" s="87" t="str">
        <f t="shared" si="122"/>
        <v/>
      </c>
      <c r="AM106" s="87" t="str">
        <f t="shared" si="122"/>
        <v/>
      </c>
      <c r="AN106" s="87" t="str">
        <f t="shared" si="122"/>
        <v/>
      </c>
      <c r="AP106" s="87" t="str">
        <f t="shared" si="73"/>
        <v/>
      </c>
      <c r="AQ106" s="87" t="str">
        <f t="shared" si="74"/>
        <v/>
      </c>
      <c r="AR106" s="87" t="str">
        <f t="shared" si="75"/>
        <v/>
      </c>
      <c r="AS106" s="87" t="str">
        <f t="shared" si="76"/>
        <v/>
      </c>
      <c r="AT106" s="87" t="str">
        <f t="shared" si="77"/>
        <v/>
      </c>
      <c r="AU106" s="87" t="str">
        <f t="shared" si="78"/>
        <v/>
      </c>
      <c r="AV106" s="87" t="str">
        <f t="shared" si="79"/>
        <v/>
      </c>
      <c r="AW106" s="87" t="str">
        <f t="shared" si="80"/>
        <v/>
      </c>
      <c r="AX106" s="87" t="str">
        <f t="shared" si="81"/>
        <v/>
      </c>
      <c r="AY106" s="87" t="str">
        <f t="shared" si="82"/>
        <v/>
      </c>
      <c r="AZ106" s="87" t="str">
        <f t="shared" si="83"/>
        <v/>
      </c>
      <c r="BA106" s="87" t="str">
        <f t="shared" si="84"/>
        <v/>
      </c>
      <c r="BB106" s="90" t="str">
        <f t="shared" si="90"/>
        <v/>
      </c>
      <c r="BE106" s="87" t="str">
        <f t="shared" si="85"/>
        <v/>
      </c>
      <c r="BF106" s="87" t="str">
        <f t="shared" si="86"/>
        <v/>
      </c>
      <c r="BG106" s="87" t="str">
        <f t="shared" si="123"/>
        <v/>
      </c>
      <c r="BH106" s="87" t="str">
        <f t="shared" si="91"/>
        <v/>
      </c>
      <c r="BI106" s="87" t="str">
        <f t="shared" si="88"/>
        <v/>
      </c>
      <c r="BO106" s="87" t="str">
        <f t="shared" si="92"/>
        <v>〇</v>
      </c>
      <c r="BP106" s="87" t="str">
        <f t="shared" si="93"/>
        <v>〇</v>
      </c>
      <c r="BQ106" s="87" t="str">
        <f t="shared" si="94"/>
        <v>〇</v>
      </c>
      <c r="BR106" s="87" t="str">
        <f t="shared" si="95"/>
        <v>〇</v>
      </c>
      <c r="BS106" s="87" t="str">
        <f t="shared" si="96"/>
        <v>〇</v>
      </c>
      <c r="BT106" s="87" t="str">
        <f t="shared" si="97"/>
        <v>〇</v>
      </c>
      <c r="BU106" s="87" t="str">
        <f t="shared" si="98"/>
        <v>〇</v>
      </c>
      <c r="BV106" s="87" t="str">
        <f t="shared" si="99"/>
        <v>〇</v>
      </c>
      <c r="BW106" s="87" t="str">
        <f t="shared" si="100"/>
        <v>〇</v>
      </c>
      <c r="BX106" s="87" t="str">
        <f t="shared" si="101"/>
        <v>〇</v>
      </c>
      <c r="BY106" s="87" t="str">
        <f t="shared" si="102"/>
        <v>〇</v>
      </c>
      <c r="BZ106" s="87" t="str">
        <f t="shared" si="103"/>
        <v>〇</v>
      </c>
      <c r="CA106" s="87" t="str">
        <f t="shared" si="104"/>
        <v>〇</v>
      </c>
      <c r="CB106" s="87" t="str">
        <f t="shared" si="105"/>
        <v>〇</v>
      </c>
      <c r="CC106" s="87" t="str">
        <f t="shared" si="106"/>
        <v>〇</v>
      </c>
      <c r="CD106" s="87" t="str">
        <f t="shared" si="107"/>
        <v>〇</v>
      </c>
      <c r="CE106" s="87" t="str">
        <f t="shared" si="108"/>
        <v>〇</v>
      </c>
      <c r="CF106" s="87" t="str">
        <f t="shared" si="109"/>
        <v>〇</v>
      </c>
      <c r="CG106" s="87" t="str">
        <f t="shared" si="110"/>
        <v>〇</v>
      </c>
      <c r="CH106" s="87" t="str">
        <f t="shared" si="111"/>
        <v>〇</v>
      </c>
      <c r="CI106" s="87" t="str">
        <f t="shared" si="112"/>
        <v>〇</v>
      </c>
      <c r="CJ106" s="87" t="str">
        <f t="shared" si="113"/>
        <v>〇</v>
      </c>
      <c r="CK106" s="87" t="str">
        <f t="shared" si="114"/>
        <v>〇</v>
      </c>
      <c r="CL106" s="87" t="str">
        <f t="shared" si="115"/>
        <v>〇</v>
      </c>
      <c r="CM106" s="87" t="str">
        <f t="shared" si="116"/>
        <v>〇</v>
      </c>
      <c r="CN106" s="87" t="str">
        <f t="shared" si="117"/>
        <v>〇</v>
      </c>
      <c r="CO106" s="87" t="str">
        <f t="shared" si="118"/>
        <v>〇</v>
      </c>
      <c r="CP106" s="87" t="str">
        <f t="shared" si="119"/>
        <v>〇</v>
      </c>
      <c r="CQ106" s="87" t="str">
        <f t="shared" si="120"/>
        <v>〇</v>
      </c>
      <c r="CS106" s="476"/>
      <c r="CT106" s="476"/>
      <c r="CU106" s="476"/>
      <c r="CV106" s="476"/>
    </row>
    <row r="107" spans="1:100" s="90" customFormat="1" ht="22.5" customHeight="1" thickBot="1">
      <c r="A107" s="762" t="s">
        <v>62</v>
      </c>
      <c r="B107" s="763"/>
      <c r="C107" s="92"/>
      <c r="D107" s="93"/>
      <c r="E107" s="94"/>
      <c r="F107" s="94"/>
      <c r="G107" s="95"/>
      <c r="H107" s="549"/>
      <c r="I107" s="549"/>
      <c r="J107" s="549"/>
      <c r="K107" s="549"/>
      <c r="L107" s="549"/>
      <c r="M107" s="549"/>
      <c r="N107" s="549"/>
      <c r="O107" s="549"/>
      <c r="P107" s="549"/>
      <c r="Q107" s="95"/>
      <c r="R107" s="95"/>
      <c r="S107" s="96"/>
      <c r="T107" s="97"/>
      <c r="U107" s="98"/>
      <c r="V107" s="97"/>
      <c r="W107" s="195"/>
      <c r="X107" s="550" t="str">
        <f t="shared" si="121"/>
        <v/>
      </c>
      <c r="Y107" s="89"/>
      <c r="AA107" s="90" t="str">
        <f t="shared" si="72"/>
        <v/>
      </c>
    </row>
    <row r="108" spans="1:100" ht="30.75" customHeight="1">
      <c r="A108" s="74"/>
      <c r="B108" s="548"/>
      <c r="C108" s="548"/>
      <c r="D108" s="548"/>
      <c r="E108" s="548"/>
      <c r="F108" s="548"/>
      <c r="G108" s="548"/>
      <c r="H108" s="548"/>
      <c r="I108" s="548"/>
      <c r="J108" s="548"/>
      <c r="K108" s="548"/>
      <c r="L108" s="548"/>
      <c r="M108" s="548"/>
      <c r="N108" s="548"/>
      <c r="O108" s="548"/>
      <c r="P108" s="548"/>
      <c r="Q108" s="548"/>
      <c r="R108" s="99"/>
      <c r="S108" s="99"/>
      <c r="T108" s="99"/>
      <c r="U108" s="74"/>
      <c r="V108" s="74"/>
      <c r="W108" s="74"/>
      <c r="X108" s="74"/>
    </row>
    <row r="109" spans="1:100" ht="13.5" customHeight="1">
      <c r="A109" s="74"/>
      <c r="B109" s="236"/>
      <c r="C109" s="236"/>
      <c r="D109" s="236"/>
      <c r="E109" s="757"/>
      <c r="F109" s="757"/>
      <c r="G109" s="757"/>
      <c r="H109" s="757"/>
      <c r="I109" s="757"/>
      <c r="J109" s="757"/>
      <c r="K109" s="757"/>
      <c r="L109" s="757"/>
      <c r="M109" s="757"/>
      <c r="N109" s="757"/>
      <c r="O109" s="757"/>
      <c r="P109" s="757"/>
      <c r="Q109" s="757"/>
      <c r="R109" s="100"/>
      <c r="S109" s="74"/>
      <c r="T109" s="74"/>
      <c r="U109" s="100"/>
      <c r="V109" s="100"/>
      <c r="W109" s="100"/>
      <c r="X109" s="100"/>
    </row>
    <row r="110" spans="1:100">
      <c r="A110" s="74"/>
      <c r="B110" s="236"/>
      <c r="C110" s="236"/>
      <c r="D110" s="236"/>
      <c r="E110" s="757"/>
      <c r="F110" s="757"/>
      <c r="G110" s="757"/>
      <c r="H110" s="757"/>
      <c r="I110" s="757"/>
      <c r="J110" s="757"/>
      <c r="K110" s="757"/>
      <c r="L110" s="757"/>
      <c r="M110" s="757"/>
      <c r="N110" s="757"/>
      <c r="O110" s="757"/>
      <c r="P110" s="757"/>
      <c r="Q110" s="757"/>
      <c r="R110" s="100"/>
      <c r="S110" s="74"/>
      <c r="T110" s="74"/>
      <c r="U110" s="100"/>
      <c r="V110" s="100"/>
      <c r="W110" s="100"/>
      <c r="X110" s="100"/>
    </row>
    <row r="111" spans="1:100" ht="12" customHeight="1">
      <c r="A111" s="74"/>
      <c r="B111" s="237"/>
      <c r="C111" s="237"/>
      <c r="D111" s="237"/>
      <c r="E111" s="757"/>
      <c r="F111" s="757"/>
      <c r="G111" s="757"/>
      <c r="H111" s="757"/>
      <c r="I111" s="757"/>
      <c r="J111" s="757"/>
      <c r="K111" s="757"/>
      <c r="L111" s="757"/>
      <c r="M111" s="757"/>
      <c r="N111" s="757"/>
      <c r="O111" s="757"/>
      <c r="P111" s="757"/>
      <c r="Q111" s="757"/>
      <c r="R111" s="101"/>
      <c r="S111" s="101"/>
      <c r="T111" s="101"/>
      <c r="U111" s="101"/>
      <c r="V111" s="101"/>
      <c r="W111" s="101"/>
      <c r="X111" s="101"/>
    </row>
    <row r="112" spans="1:100" ht="12" customHeight="1">
      <c r="A112" s="74"/>
      <c r="B112" s="237"/>
      <c r="C112" s="237"/>
      <c r="D112" s="237"/>
      <c r="E112" s="757"/>
      <c r="F112" s="757"/>
      <c r="G112" s="757"/>
      <c r="H112" s="757"/>
      <c r="I112" s="757"/>
      <c r="J112" s="757"/>
      <c r="K112" s="757"/>
      <c r="L112" s="757"/>
      <c r="M112" s="757"/>
      <c r="N112" s="757"/>
      <c r="O112" s="757"/>
      <c r="P112" s="757"/>
      <c r="Q112" s="757"/>
      <c r="R112" s="101"/>
      <c r="S112" s="101"/>
      <c r="T112" s="101"/>
      <c r="U112" s="101"/>
      <c r="V112" s="101"/>
      <c r="W112" s="101"/>
      <c r="X112" s="101"/>
    </row>
    <row r="113" spans="1:29" ht="12" customHeight="1">
      <c r="A113" s="74"/>
      <c r="B113" s="107"/>
      <c r="C113" s="107"/>
      <c r="D113" s="107"/>
      <c r="E113" s="108"/>
      <c r="F113" s="107"/>
      <c r="G113" s="107"/>
      <c r="H113" s="109"/>
      <c r="I113" s="109"/>
      <c r="J113" s="109"/>
      <c r="K113" s="109"/>
      <c r="L113" s="109"/>
      <c r="M113" s="109"/>
      <c r="N113" s="109"/>
      <c r="O113" s="109"/>
      <c r="P113" s="108"/>
      <c r="Q113" s="108"/>
      <c r="R113" s="102"/>
      <c r="S113" s="103"/>
      <c r="T113" s="103"/>
      <c r="U113" s="103"/>
      <c r="V113" s="103"/>
      <c r="W113" s="103"/>
      <c r="X113" s="103"/>
    </row>
    <row r="114" spans="1:29" ht="12" customHeight="1">
      <c r="A114" s="74"/>
      <c r="B114" s="107"/>
      <c r="C114" s="107"/>
      <c r="D114" s="107"/>
      <c r="E114" s="108"/>
      <c r="F114" s="107"/>
      <c r="G114" s="107"/>
      <c r="H114" s="109"/>
      <c r="I114" s="109"/>
      <c r="J114" s="109"/>
      <c r="K114" s="109"/>
      <c r="L114" s="109"/>
      <c r="M114" s="109"/>
      <c r="N114" s="109"/>
      <c r="O114" s="109"/>
      <c r="P114" s="108"/>
      <c r="Q114" s="108"/>
      <c r="R114" s="102"/>
      <c r="S114" s="103"/>
      <c r="T114" s="103"/>
      <c r="U114" s="103"/>
      <c r="V114" s="103"/>
      <c r="W114" s="103"/>
      <c r="X114" s="103"/>
    </row>
    <row r="115" spans="1:29">
      <c r="A115" s="74"/>
      <c r="B115" s="106"/>
      <c r="C115" s="106"/>
      <c r="D115" s="106"/>
      <c r="E115" s="106"/>
      <c r="F115" s="110"/>
      <c r="G115" s="110"/>
      <c r="H115" s="110"/>
      <c r="I115" s="110"/>
      <c r="J115" s="110"/>
      <c r="K115" s="110"/>
      <c r="L115" s="110"/>
      <c r="M115" s="110"/>
      <c r="N115" s="110"/>
      <c r="O115" s="110"/>
      <c r="P115" s="110"/>
      <c r="Q115" s="110"/>
      <c r="R115" s="104"/>
      <c r="S115" s="103"/>
      <c r="T115" s="103"/>
      <c r="U115" s="103"/>
      <c r="V115" s="103"/>
      <c r="W115" s="103"/>
      <c r="X115" s="103"/>
    </row>
    <row r="118" spans="1:29">
      <c r="A118" s="105"/>
      <c r="B118" s="105"/>
      <c r="C118" s="105"/>
      <c r="D118" s="105"/>
      <c r="E118" s="105"/>
      <c r="F118" s="105"/>
      <c r="G118" s="105"/>
      <c r="H118" s="105"/>
      <c r="I118" s="105"/>
      <c r="J118" s="105"/>
      <c r="K118" s="105"/>
      <c r="L118" s="105"/>
      <c r="M118" s="105"/>
      <c r="N118" s="105"/>
      <c r="O118" s="105"/>
      <c r="P118" s="105"/>
      <c r="Q118" s="105"/>
      <c r="R118" s="105"/>
      <c r="S118" s="105"/>
      <c r="T118" s="105"/>
      <c r="U118" s="105"/>
      <c r="V118" s="105"/>
      <c r="W118" s="105"/>
      <c r="X118" s="105"/>
      <c r="Y118" s="105"/>
      <c r="Z118" s="105"/>
      <c r="AA118" s="105"/>
    </row>
    <row r="119" spans="1:29">
      <c r="A119" s="105" t="s">
        <v>648</v>
      </c>
      <c r="B119" s="105"/>
      <c r="C119" s="105" t="s">
        <v>564</v>
      </c>
      <c r="D119" s="105" t="s">
        <v>565</v>
      </c>
      <c r="E119" s="105"/>
      <c r="F119" s="105" t="s">
        <v>566</v>
      </c>
      <c r="G119" s="105"/>
      <c r="H119" s="105" t="s">
        <v>567</v>
      </c>
      <c r="I119" s="105"/>
      <c r="J119" s="105"/>
      <c r="K119" s="105" t="s">
        <v>54</v>
      </c>
      <c r="L119" s="105"/>
      <c r="M119" s="105"/>
      <c r="N119" s="105"/>
      <c r="O119" s="105" t="s">
        <v>59</v>
      </c>
      <c r="P119" s="105"/>
      <c r="Q119" s="105"/>
      <c r="R119" s="105"/>
      <c r="S119" s="105" t="s">
        <v>55</v>
      </c>
      <c r="T119" s="105"/>
      <c r="U119" s="105"/>
      <c r="V119" s="105"/>
      <c r="W119" s="105"/>
      <c r="X119" s="105"/>
      <c r="Y119" s="105"/>
      <c r="Z119" s="105"/>
      <c r="AA119" s="105"/>
      <c r="AB119" s="74"/>
      <c r="AC119" s="77"/>
    </row>
    <row r="120" spans="1:29">
      <c r="A120" s="186" t="s">
        <v>649</v>
      </c>
      <c r="B120" s="105"/>
      <c r="C120" s="105" t="s">
        <v>568</v>
      </c>
      <c r="D120" s="105" t="s">
        <v>569</v>
      </c>
      <c r="E120" s="105"/>
      <c r="F120" s="105" t="s">
        <v>570</v>
      </c>
      <c r="G120" s="105"/>
      <c r="H120" s="105" t="s">
        <v>571</v>
      </c>
      <c r="I120" s="105"/>
      <c r="J120" s="105"/>
      <c r="K120" s="105" t="s">
        <v>63</v>
      </c>
      <c r="L120" s="105"/>
      <c r="M120" s="105"/>
      <c r="N120" s="105"/>
      <c r="O120" s="105" t="s">
        <v>64</v>
      </c>
      <c r="P120" s="105"/>
      <c r="Q120" s="105"/>
      <c r="R120" s="105"/>
      <c r="S120" s="105" t="s">
        <v>56</v>
      </c>
      <c r="T120" s="105"/>
      <c r="U120" s="105"/>
      <c r="V120" s="105"/>
      <c r="W120" s="105"/>
      <c r="X120" s="105"/>
      <c r="Y120" s="105"/>
      <c r="Z120" s="105"/>
      <c r="AA120" s="105"/>
      <c r="AB120" s="74"/>
      <c r="AC120" s="77"/>
    </row>
    <row r="121" spans="1:29">
      <c r="A121" s="186" t="s">
        <v>650</v>
      </c>
      <c r="B121" s="105"/>
      <c r="C121" s="105" t="s">
        <v>572</v>
      </c>
      <c r="D121" s="105"/>
      <c r="E121" s="105"/>
      <c r="F121" s="105"/>
      <c r="G121" s="105"/>
      <c r="H121" s="105"/>
      <c r="I121" s="105"/>
      <c r="J121" s="105"/>
      <c r="K121" s="105" t="s">
        <v>337</v>
      </c>
      <c r="L121" s="105"/>
      <c r="M121" s="105"/>
      <c r="N121" s="105"/>
      <c r="O121" s="105" t="s">
        <v>337</v>
      </c>
      <c r="P121" s="105"/>
      <c r="Q121" s="105"/>
      <c r="R121" s="105"/>
      <c r="S121" s="105" t="s">
        <v>662</v>
      </c>
      <c r="T121" s="105"/>
      <c r="U121" s="105"/>
      <c r="V121" s="105"/>
      <c r="W121" s="105"/>
      <c r="X121" s="105"/>
      <c r="Y121" s="105"/>
      <c r="Z121" s="105"/>
      <c r="AA121" s="105"/>
      <c r="AB121" s="74"/>
      <c r="AC121" s="77"/>
    </row>
    <row r="122" spans="1:29">
      <c r="A122" s="186" t="s">
        <v>696</v>
      </c>
      <c r="B122" s="105"/>
      <c r="C122" s="105"/>
      <c r="D122" s="105"/>
      <c r="E122" s="105"/>
      <c r="F122" s="105"/>
      <c r="G122" s="105"/>
      <c r="H122" s="105"/>
      <c r="I122" s="105"/>
      <c r="J122" s="105"/>
      <c r="K122" s="105" t="s">
        <v>65</v>
      </c>
      <c r="L122" s="105"/>
      <c r="M122" s="105"/>
      <c r="N122" s="105"/>
      <c r="O122" s="105" t="s">
        <v>65</v>
      </c>
      <c r="P122" s="105"/>
      <c r="Q122" s="105"/>
      <c r="R122" s="105"/>
      <c r="S122" s="105" t="s">
        <v>663</v>
      </c>
      <c r="T122" s="105"/>
      <c r="U122" s="143"/>
      <c r="V122" s="105"/>
      <c r="W122" s="105"/>
      <c r="X122" s="105"/>
      <c r="Y122" s="105"/>
      <c r="Z122" s="105"/>
      <c r="AA122" s="105"/>
      <c r="AB122" s="74"/>
      <c r="AC122" s="77"/>
    </row>
    <row r="123" spans="1:29">
      <c r="A123" s="186" t="s">
        <v>697</v>
      </c>
      <c r="B123" s="105"/>
      <c r="C123" s="105"/>
      <c r="D123" s="105"/>
      <c r="E123" s="105"/>
      <c r="F123" s="105"/>
      <c r="G123" s="105"/>
      <c r="H123" s="105"/>
      <c r="I123" s="105"/>
      <c r="J123" s="105"/>
      <c r="K123" s="105" t="s">
        <v>66</v>
      </c>
      <c r="L123" s="105"/>
      <c r="M123" s="105"/>
      <c r="N123" s="105"/>
      <c r="O123" s="105" t="s">
        <v>67</v>
      </c>
      <c r="P123" s="105"/>
      <c r="Q123" s="105"/>
      <c r="R123" s="105"/>
      <c r="S123" s="105" t="s">
        <v>664</v>
      </c>
      <c r="T123" s="105"/>
      <c r="U123" s="105"/>
      <c r="V123" s="105"/>
      <c r="W123" s="105"/>
      <c r="X123" s="105"/>
      <c r="Y123" s="105"/>
      <c r="Z123" s="105"/>
      <c r="AA123" s="105"/>
      <c r="AC123" s="77"/>
    </row>
    <row r="124" spans="1:29">
      <c r="A124" s="186" t="s">
        <v>698</v>
      </c>
      <c r="B124" s="105"/>
      <c r="C124" s="105"/>
      <c r="D124" s="105"/>
      <c r="E124" s="105"/>
      <c r="F124" s="105" t="s">
        <v>68</v>
      </c>
      <c r="G124" s="105"/>
      <c r="H124" s="105"/>
      <c r="I124" s="105"/>
      <c r="J124" s="105"/>
      <c r="K124" s="105" t="s">
        <v>69</v>
      </c>
      <c r="L124" s="105"/>
      <c r="M124" s="105"/>
      <c r="N124" s="105"/>
      <c r="O124" s="105" t="s">
        <v>70</v>
      </c>
      <c r="P124" s="105"/>
      <c r="Q124" s="105"/>
      <c r="R124" s="105"/>
      <c r="S124" s="105" t="s">
        <v>573</v>
      </c>
      <c r="T124" s="139" t="s">
        <v>60</v>
      </c>
      <c r="U124" s="143"/>
      <c r="V124" s="105"/>
      <c r="W124" s="105"/>
      <c r="X124" s="105"/>
      <c r="Y124" s="105"/>
      <c r="Z124" s="105"/>
      <c r="AA124" s="105"/>
      <c r="AC124" s="77"/>
    </row>
    <row r="125" spans="1:29">
      <c r="A125" s="186" t="s">
        <v>699</v>
      </c>
      <c r="B125" s="105"/>
      <c r="C125" s="105"/>
      <c r="D125" s="105"/>
      <c r="E125" s="105"/>
      <c r="F125" s="105" t="s">
        <v>71</v>
      </c>
      <c r="G125" s="105"/>
      <c r="H125" s="105"/>
      <c r="I125" s="105"/>
      <c r="J125" s="105"/>
      <c r="K125" s="105" t="s">
        <v>334</v>
      </c>
      <c r="L125" s="105"/>
      <c r="M125" s="105"/>
      <c r="N125" s="105"/>
      <c r="O125" s="105" t="s">
        <v>333</v>
      </c>
      <c r="P125" s="105"/>
      <c r="Q125" s="105"/>
      <c r="R125" s="105"/>
      <c r="S125" s="105" t="s">
        <v>39</v>
      </c>
      <c r="T125" s="140" t="s">
        <v>74</v>
      </c>
      <c r="U125" s="105"/>
      <c r="V125" s="105"/>
      <c r="W125" s="105"/>
      <c r="X125" s="105"/>
      <c r="Y125" s="105"/>
      <c r="Z125" s="105"/>
      <c r="AA125" s="105"/>
      <c r="AC125" s="77"/>
    </row>
    <row r="126" spans="1:29">
      <c r="A126" s="186" t="s">
        <v>651</v>
      </c>
      <c r="B126" s="105"/>
      <c r="C126" s="105"/>
      <c r="D126" s="105"/>
      <c r="E126" s="105"/>
      <c r="F126" s="105" t="s">
        <v>75</v>
      </c>
      <c r="G126" s="105"/>
      <c r="H126" s="105"/>
      <c r="I126" s="105"/>
      <c r="J126" s="105"/>
      <c r="K126" s="105" t="s">
        <v>579</v>
      </c>
      <c r="L126" s="105"/>
      <c r="M126" s="105"/>
      <c r="N126" s="105"/>
      <c r="O126" s="105" t="s">
        <v>580</v>
      </c>
      <c r="P126" s="105"/>
      <c r="Q126" s="105"/>
      <c r="R126" s="105"/>
      <c r="S126" s="105" t="s">
        <v>574</v>
      </c>
      <c r="T126" s="105"/>
      <c r="U126" s="105"/>
      <c r="V126" s="105"/>
      <c r="W126" s="105"/>
      <c r="X126" s="105"/>
      <c r="Y126" s="105"/>
      <c r="Z126" s="105"/>
      <c r="AA126" s="105"/>
      <c r="AC126" s="77"/>
    </row>
    <row r="127" spans="1:29">
      <c r="A127" s="186" t="s">
        <v>652</v>
      </c>
      <c r="B127" s="105"/>
      <c r="C127" s="105"/>
      <c r="D127" s="105"/>
      <c r="E127" s="105"/>
      <c r="F127" s="105" t="s">
        <v>76</v>
      </c>
      <c r="G127" s="105"/>
      <c r="H127" s="105"/>
      <c r="I127" s="105"/>
      <c r="J127" s="105"/>
      <c r="K127" s="105" t="s">
        <v>72</v>
      </c>
      <c r="L127" s="105"/>
      <c r="M127" s="105"/>
      <c r="N127" s="105"/>
      <c r="O127" s="105" t="s">
        <v>72</v>
      </c>
      <c r="P127" s="105"/>
      <c r="Q127" s="105"/>
      <c r="R127" s="105"/>
      <c r="S127" s="105" t="s">
        <v>942</v>
      </c>
      <c r="T127" s="105"/>
      <c r="U127" s="105"/>
      <c r="V127" s="105"/>
      <c r="W127" s="105"/>
      <c r="X127" s="105"/>
      <c r="Y127" s="105"/>
      <c r="Z127" s="105"/>
      <c r="AA127" s="105"/>
      <c r="AC127" s="77"/>
    </row>
    <row r="128" spans="1:29">
      <c r="A128" s="186" t="s">
        <v>653</v>
      </c>
      <c r="B128" s="105"/>
      <c r="C128" s="105"/>
      <c r="D128" s="105"/>
      <c r="E128" s="105"/>
      <c r="F128" s="105" t="s">
        <v>77</v>
      </c>
      <c r="G128" s="105"/>
      <c r="H128" s="105"/>
      <c r="I128" s="105"/>
      <c r="J128" s="105"/>
      <c r="K128" s="105" t="s">
        <v>73</v>
      </c>
      <c r="L128" s="105"/>
      <c r="M128" s="105"/>
      <c r="N128" s="105"/>
      <c r="O128" s="105" t="s">
        <v>73</v>
      </c>
      <c r="P128" s="105"/>
      <c r="Q128" s="105"/>
      <c r="R128" s="105"/>
      <c r="S128" s="105" t="s">
        <v>575</v>
      </c>
      <c r="T128" s="105"/>
      <c r="U128" s="105"/>
      <c r="V128" s="105"/>
      <c r="W128" s="105"/>
      <c r="X128" s="105"/>
      <c r="Y128" s="105"/>
      <c r="Z128" s="105"/>
      <c r="AA128" s="105"/>
      <c r="AC128" s="77"/>
    </row>
    <row r="129" spans="1:64">
      <c r="A129" s="186" t="s">
        <v>654</v>
      </c>
      <c r="B129" s="105"/>
      <c r="C129" s="105"/>
      <c r="D129" s="105"/>
      <c r="E129" s="105"/>
      <c r="F129" s="105" t="s">
        <v>78</v>
      </c>
      <c r="G129" s="105"/>
      <c r="H129" s="105"/>
      <c r="I129" s="105"/>
      <c r="J129" s="105"/>
      <c r="K129" s="105"/>
      <c r="L129" s="105"/>
      <c r="M129" s="105"/>
      <c r="N129" s="105"/>
      <c r="O129" s="105"/>
      <c r="P129" s="105"/>
      <c r="Q129" s="105"/>
      <c r="R129" s="105"/>
      <c r="S129" s="105" t="s">
        <v>61</v>
      </c>
      <c r="T129" s="105"/>
      <c r="U129" s="105"/>
      <c r="V129" s="105"/>
      <c r="W129" s="105"/>
      <c r="X129" s="105"/>
      <c r="Y129" s="105"/>
      <c r="Z129" s="105"/>
      <c r="AA129" s="105"/>
      <c r="AC129" s="77"/>
    </row>
    <row r="130" spans="1:64">
      <c r="A130" s="186" t="s">
        <v>655</v>
      </c>
      <c r="B130" s="105"/>
      <c r="C130" s="105"/>
      <c r="D130" s="105"/>
      <c r="E130" s="105"/>
      <c r="F130" s="105" t="s">
        <v>79</v>
      </c>
      <c r="G130" s="105"/>
      <c r="H130" s="105"/>
      <c r="I130" s="105"/>
      <c r="J130" s="105"/>
      <c r="K130" s="105"/>
      <c r="L130" s="105"/>
      <c r="M130" s="105"/>
      <c r="N130" s="105"/>
      <c r="O130" s="105"/>
      <c r="P130" s="105"/>
      <c r="Q130" s="105"/>
      <c r="R130" s="105"/>
      <c r="S130" s="105" t="s">
        <v>336</v>
      </c>
      <c r="T130" s="139" t="s">
        <v>58</v>
      </c>
      <c r="U130" s="105"/>
      <c r="V130" s="105"/>
      <c r="W130" s="105"/>
      <c r="X130" s="105"/>
      <c r="Y130" s="105"/>
      <c r="Z130" s="105"/>
      <c r="AA130" s="105"/>
      <c r="AC130" s="77"/>
    </row>
    <row r="131" spans="1:64">
      <c r="A131" s="186" t="s">
        <v>656</v>
      </c>
      <c r="B131" s="105"/>
      <c r="C131" s="105"/>
      <c r="D131" s="105"/>
      <c r="E131" s="105"/>
      <c r="F131" s="105" t="s">
        <v>80</v>
      </c>
      <c r="G131" s="105"/>
      <c r="H131" s="105"/>
      <c r="I131" s="105"/>
      <c r="J131" s="105"/>
      <c r="K131" s="105"/>
      <c r="L131" s="105"/>
      <c r="M131" s="105"/>
      <c r="N131" s="105"/>
      <c r="O131" s="105"/>
      <c r="P131" s="105"/>
      <c r="Q131" s="105"/>
      <c r="R131" s="105"/>
      <c r="S131" s="183" t="s">
        <v>665</v>
      </c>
      <c r="T131" s="140" t="s">
        <v>57</v>
      </c>
      <c r="U131" s="105"/>
      <c r="V131" s="105"/>
      <c r="W131" s="105"/>
      <c r="X131" s="105"/>
      <c r="Y131" s="105"/>
      <c r="Z131" s="105"/>
      <c r="AA131" s="105"/>
      <c r="AC131" s="77"/>
    </row>
    <row r="132" spans="1:64">
      <c r="A132" s="186" t="s">
        <v>657</v>
      </c>
      <c r="B132" s="105"/>
      <c r="C132" s="105"/>
      <c r="D132" s="105"/>
      <c r="E132" s="105"/>
      <c r="F132" s="105"/>
      <c r="G132" s="105"/>
      <c r="H132" s="105"/>
      <c r="I132" s="105"/>
      <c r="J132" s="105"/>
      <c r="K132" s="105"/>
      <c r="L132" s="105"/>
      <c r="M132" s="105"/>
      <c r="N132" s="105"/>
      <c r="O132" s="105"/>
      <c r="P132" s="105"/>
      <c r="Q132" s="105"/>
      <c r="R132" s="105"/>
      <c r="S132" s="183" t="s">
        <v>536</v>
      </c>
      <c r="T132" s="140" t="s">
        <v>81</v>
      </c>
      <c r="U132" s="105"/>
      <c r="V132" s="105"/>
      <c r="W132" s="105"/>
      <c r="X132" s="105"/>
      <c r="Y132" s="105"/>
      <c r="Z132" s="105"/>
      <c r="AA132" s="105"/>
      <c r="AC132" s="77"/>
    </row>
    <row r="133" spans="1:64">
      <c r="A133" s="186" t="s">
        <v>658</v>
      </c>
      <c r="B133" s="105"/>
      <c r="C133" s="105"/>
      <c r="D133" s="105"/>
      <c r="E133" s="105"/>
      <c r="F133" s="105"/>
      <c r="G133" s="105"/>
      <c r="H133" s="105"/>
      <c r="I133" s="105"/>
      <c r="J133" s="105"/>
      <c r="K133" s="105"/>
      <c r="L133" s="105"/>
      <c r="M133" s="105"/>
      <c r="N133" s="105"/>
      <c r="O133" s="105"/>
      <c r="P133" s="105"/>
      <c r="Q133" s="105"/>
      <c r="R133" s="105"/>
      <c r="S133" s="183" t="s">
        <v>537</v>
      </c>
      <c r="T133" s="140" t="s">
        <v>82</v>
      </c>
      <c r="U133" s="105"/>
      <c r="V133" s="105"/>
      <c r="W133" s="105"/>
      <c r="X133" s="105"/>
      <c r="Y133" s="105"/>
      <c r="Z133" s="105"/>
      <c r="AA133" s="105"/>
      <c r="AC133" s="77"/>
    </row>
    <row r="134" spans="1:64">
      <c r="A134" s="186" t="s">
        <v>659</v>
      </c>
      <c r="B134" s="105"/>
      <c r="C134" s="105"/>
      <c r="D134" s="105"/>
      <c r="E134" s="105"/>
      <c r="F134" s="105"/>
      <c r="G134" s="105"/>
      <c r="H134" s="105"/>
      <c r="I134" s="105"/>
      <c r="J134" s="105"/>
      <c r="K134" s="105"/>
      <c r="L134" s="105"/>
      <c r="M134" s="105"/>
      <c r="N134" s="105"/>
      <c r="O134" s="105"/>
      <c r="P134" s="105"/>
      <c r="Q134" s="105"/>
      <c r="R134" s="105"/>
      <c r="S134" s="183" t="s">
        <v>807</v>
      </c>
      <c r="T134" s="105"/>
      <c r="U134" s="105"/>
      <c r="V134" s="105"/>
      <c r="W134" s="105"/>
      <c r="X134" s="105"/>
      <c r="Y134" s="105"/>
      <c r="Z134" s="105"/>
      <c r="AA134" s="105"/>
      <c r="AC134" s="77"/>
    </row>
    <row r="135" spans="1:64">
      <c r="A135" s="186" t="s">
        <v>660</v>
      </c>
      <c r="B135" s="105"/>
      <c r="C135" s="105"/>
      <c r="D135" s="105"/>
      <c r="E135" s="105"/>
      <c r="F135" s="105"/>
      <c r="G135" s="105"/>
      <c r="H135" s="105"/>
      <c r="I135" s="105"/>
      <c r="J135" s="105"/>
      <c r="K135" s="105"/>
      <c r="L135" s="105"/>
      <c r="M135" s="105"/>
      <c r="N135" s="105"/>
      <c r="O135" s="105"/>
      <c r="P135" s="105"/>
      <c r="Q135" s="105"/>
      <c r="R135" s="105"/>
      <c r="S135" s="183" t="s">
        <v>806</v>
      </c>
      <c r="T135" s="105"/>
      <c r="U135" s="105"/>
      <c r="V135" s="105"/>
      <c r="W135" s="105"/>
      <c r="X135" s="105"/>
      <c r="Y135" s="105"/>
      <c r="Z135" s="105"/>
      <c r="AA135" s="105"/>
      <c r="AC135" s="77"/>
      <c r="BK135" s="640" t="s">
        <v>292</v>
      </c>
      <c r="BL135" s="640"/>
    </row>
    <row r="136" spans="1:64">
      <c r="A136" s="186" t="s">
        <v>661</v>
      </c>
      <c r="B136" s="105"/>
      <c r="C136" s="105"/>
      <c r="D136" s="105"/>
      <c r="E136" s="105"/>
      <c r="F136" s="105"/>
      <c r="G136" s="105"/>
      <c r="H136" s="105"/>
      <c r="I136" s="105"/>
      <c r="J136" s="105"/>
      <c r="K136" s="105"/>
      <c r="L136" s="105"/>
      <c r="M136" s="105"/>
      <c r="N136" s="105"/>
      <c r="O136" s="105"/>
      <c r="P136" s="105"/>
      <c r="Q136" s="105"/>
      <c r="R136" s="105"/>
      <c r="S136" s="183" t="s">
        <v>805</v>
      </c>
      <c r="T136" s="105"/>
      <c r="U136" s="143"/>
      <c r="V136" s="105"/>
      <c r="W136" s="105"/>
      <c r="X136" s="105"/>
      <c r="Y136" s="105"/>
      <c r="Z136" s="105"/>
      <c r="AA136" s="105"/>
      <c r="AC136" s="77"/>
      <c r="BK136" s="641" t="s">
        <v>293</v>
      </c>
      <c r="BL136" s="641" t="s">
        <v>294</v>
      </c>
    </row>
    <row r="137" spans="1:64">
      <c r="A137" s="186"/>
      <c r="B137" s="105"/>
      <c r="C137" s="105"/>
      <c r="D137" s="105"/>
      <c r="E137" s="105"/>
      <c r="F137" s="105"/>
      <c r="G137" s="105"/>
      <c r="H137" s="105"/>
      <c r="I137" s="105"/>
      <c r="J137" s="105"/>
      <c r="K137" s="105"/>
      <c r="L137" s="105"/>
      <c r="M137" s="105"/>
      <c r="N137" s="105"/>
      <c r="O137" s="105"/>
      <c r="P137" s="105"/>
      <c r="Q137" s="105"/>
      <c r="R137" s="105"/>
      <c r="S137" s="183" t="s">
        <v>970</v>
      </c>
      <c r="T137" s="105"/>
      <c r="U137" s="143"/>
      <c r="V137" s="105"/>
      <c r="W137" s="105"/>
      <c r="X137" s="105"/>
      <c r="Y137" s="105"/>
      <c r="Z137" s="105"/>
      <c r="AA137" s="105"/>
      <c r="AC137" s="77"/>
      <c r="BK137" s="642" t="s">
        <v>295</v>
      </c>
      <c r="BL137" s="642" t="s">
        <v>296</v>
      </c>
    </row>
    <row r="138" spans="1:64">
      <c r="A138" s="105"/>
      <c r="B138" s="105"/>
      <c r="C138" s="105"/>
      <c r="D138" s="105"/>
      <c r="E138" s="105"/>
      <c r="F138" s="105"/>
      <c r="G138" s="105"/>
      <c r="H138" s="105"/>
      <c r="I138" s="105"/>
      <c r="J138" s="105"/>
      <c r="K138" s="105"/>
      <c r="L138" s="105"/>
      <c r="M138" s="105"/>
      <c r="N138" s="105"/>
      <c r="O138" s="105"/>
      <c r="P138" s="105"/>
      <c r="R138" s="105"/>
      <c r="S138" s="183" t="s">
        <v>808</v>
      </c>
      <c r="T138" s="105"/>
      <c r="U138" s="141"/>
      <c r="V138" s="105"/>
      <c r="W138" s="105"/>
      <c r="X138" s="105"/>
      <c r="Y138" s="105"/>
      <c r="Z138" s="105"/>
      <c r="AA138" s="105"/>
      <c r="AC138" s="77"/>
      <c r="BK138" s="642" t="s">
        <v>297</v>
      </c>
      <c r="BL138" s="642" t="s">
        <v>791</v>
      </c>
    </row>
    <row r="139" spans="1:64" ht="44.5" customHeight="1">
      <c r="A139" s="105"/>
      <c r="B139" s="105"/>
      <c r="D139" s="105"/>
      <c r="E139" s="105"/>
      <c r="F139" s="105"/>
      <c r="G139" s="105"/>
      <c r="H139" s="105"/>
      <c r="I139" s="105"/>
      <c r="J139" s="105"/>
      <c r="K139" s="105"/>
      <c r="L139" s="105"/>
      <c r="M139" s="105"/>
      <c r="N139" s="105"/>
      <c r="O139" s="105"/>
      <c r="P139" s="105"/>
      <c r="R139" s="105"/>
      <c r="S139" s="105" t="s">
        <v>578</v>
      </c>
      <c r="T139" s="105"/>
      <c r="U139" s="141"/>
      <c r="V139" s="105"/>
      <c r="W139" s="105"/>
      <c r="X139" s="105"/>
      <c r="Y139" s="105"/>
      <c r="Z139" s="105"/>
      <c r="AA139" s="105"/>
      <c r="AC139" s="77"/>
      <c r="BK139" s="642" t="s">
        <v>298</v>
      </c>
      <c r="BL139" s="643" t="s">
        <v>792</v>
      </c>
    </row>
    <row r="140" spans="1:64">
      <c r="A140" s="105"/>
      <c r="B140" s="105"/>
      <c r="D140" s="105"/>
      <c r="E140" s="105"/>
      <c r="F140" s="105"/>
      <c r="G140" s="105"/>
      <c r="H140" s="105"/>
      <c r="I140" s="105"/>
      <c r="J140" s="105"/>
      <c r="K140" s="105"/>
      <c r="L140" s="105"/>
      <c r="M140" s="105"/>
      <c r="N140" s="105"/>
      <c r="O140" s="105"/>
      <c r="P140" s="105"/>
      <c r="Q140" s="105"/>
      <c r="R140" s="105"/>
      <c r="S140" s="183"/>
      <c r="T140" s="105"/>
      <c r="U140" s="105"/>
      <c r="V140" s="105"/>
      <c r="W140" s="105"/>
      <c r="X140" s="105"/>
      <c r="Y140" s="105"/>
      <c r="Z140" s="105"/>
      <c r="AA140" s="105"/>
      <c r="AC140" s="77"/>
      <c r="BK140" s="642" t="s">
        <v>299</v>
      </c>
      <c r="BL140" s="642" t="s">
        <v>300</v>
      </c>
    </row>
    <row r="141" spans="1:64">
      <c r="A141" s="105"/>
      <c r="B141" s="105"/>
      <c r="D141" s="105"/>
      <c r="E141" s="105"/>
      <c r="F141" s="105"/>
      <c r="G141" s="105"/>
      <c r="H141" s="105"/>
      <c r="I141" s="105"/>
      <c r="J141" s="105"/>
      <c r="K141" s="105"/>
      <c r="L141" s="105"/>
      <c r="M141" s="105"/>
      <c r="N141" s="105"/>
      <c r="O141" s="105"/>
      <c r="P141" s="105"/>
      <c r="Q141" s="105"/>
      <c r="R141" s="105"/>
      <c r="T141" s="105"/>
      <c r="U141" s="105"/>
      <c r="V141" s="105"/>
      <c r="W141" s="105"/>
      <c r="X141" s="105"/>
      <c r="Y141" s="105"/>
      <c r="Z141" s="105"/>
      <c r="AA141" s="105"/>
      <c r="AC141" s="77"/>
      <c r="BK141" s="642" t="s">
        <v>301</v>
      </c>
      <c r="BL141" s="642" t="s">
        <v>302</v>
      </c>
    </row>
    <row r="142" spans="1:64" hidden="1">
      <c r="A142" s="105"/>
      <c r="B142" s="105"/>
      <c r="C142" s="105"/>
      <c r="D142" s="105"/>
      <c r="E142" s="105"/>
      <c r="F142" s="105"/>
      <c r="G142" s="105"/>
      <c r="H142" s="105"/>
      <c r="I142" s="105"/>
      <c r="J142" s="105"/>
      <c r="K142" s="105"/>
      <c r="L142" s="105"/>
      <c r="M142" s="105"/>
      <c r="N142" s="105"/>
      <c r="O142" s="105"/>
      <c r="P142" s="105"/>
      <c r="Q142" s="105"/>
      <c r="R142" s="105"/>
      <c r="S142" s="105"/>
      <c r="T142" s="105"/>
      <c r="U142" s="139"/>
      <c r="V142" s="105"/>
      <c r="W142" s="105"/>
      <c r="X142" s="105"/>
      <c r="Y142" s="105"/>
      <c r="Z142" s="105"/>
      <c r="AA142" s="105"/>
      <c r="AB142" s="77"/>
      <c r="BK142" s="642" t="s">
        <v>303</v>
      </c>
      <c r="BL142" s="642" t="s">
        <v>304</v>
      </c>
    </row>
    <row r="143" spans="1:64" ht="61.5" customHeight="1">
      <c r="A143" s="105"/>
      <c r="B143" s="105"/>
      <c r="C143" s="105" t="s">
        <v>551</v>
      </c>
      <c r="D143" s="105"/>
      <c r="E143" s="105"/>
      <c r="F143" s="105"/>
      <c r="G143" s="105"/>
      <c r="H143" s="105"/>
      <c r="I143" s="105"/>
      <c r="J143" s="105"/>
      <c r="K143" s="105"/>
      <c r="L143" s="105"/>
      <c r="M143" s="105"/>
      <c r="N143" s="105"/>
      <c r="O143" s="105"/>
      <c r="P143" s="105"/>
      <c r="Q143" s="105"/>
      <c r="R143" s="105"/>
      <c r="S143" s="105"/>
      <c r="T143" s="105"/>
      <c r="U143" s="143"/>
      <c r="V143" s="105"/>
      <c r="W143" s="105"/>
      <c r="X143" s="105"/>
      <c r="Y143" s="105"/>
      <c r="Z143" s="105"/>
      <c r="AA143" s="105"/>
      <c r="AB143" s="77"/>
      <c r="BK143" s="642" t="s">
        <v>305</v>
      </c>
      <c r="BL143" s="643" t="s">
        <v>907</v>
      </c>
    </row>
    <row r="144" spans="1:64">
      <c r="A144" s="105"/>
      <c r="B144" s="105" t="s">
        <v>585</v>
      </c>
      <c r="C144" s="105" t="s">
        <v>700</v>
      </c>
      <c r="D144" s="105"/>
      <c r="E144" s="105"/>
      <c r="F144" s="105"/>
      <c r="G144" s="105"/>
      <c r="H144" s="105"/>
      <c r="I144" s="105"/>
      <c r="J144" s="105"/>
      <c r="K144" s="105"/>
      <c r="L144" s="105"/>
      <c r="M144" s="105"/>
      <c r="N144" s="105"/>
      <c r="O144" s="105"/>
      <c r="P144" s="105"/>
      <c r="Q144" s="105"/>
      <c r="R144" s="105"/>
      <c r="S144" s="105"/>
      <c r="T144" s="105" t="s">
        <v>576</v>
      </c>
      <c r="U144" s="105"/>
      <c r="V144" s="105"/>
      <c r="W144" s="105"/>
      <c r="X144" s="105"/>
      <c r="Y144" s="105"/>
      <c r="Z144" s="105"/>
      <c r="AA144" s="105"/>
      <c r="BK144" s="642" t="s">
        <v>306</v>
      </c>
      <c r="BL144" s="642" t="s">
        <v>307</v>
      </c>
    </row>
    <row r="145" spans="1:64">
      <c r="A145" s="105"/>
      <c r="B145" s="105" t="s">
        <v>582</v>
      </c>
      <c r="C145" s="105" t="s">
        <v>39</v>
      </c>
      <c r="D145" s="105"/>
      <c r="E145" s="105"/>
      <c r="F145" s="105"/>
      <c r="G145" s="105"/>
      <c r="H145" s="105"/>
      <c r="I145" s="105"/>
      <c r="J145" s="105"/>
      <c r="K145" s="105"/>
      <c r="L145" s="105"/>
      <c r="M145" s="105"/>
      <c r="N145" s="105"/>
      <c r="O145" s="105"/>
      <c r="P145" s="105"/>
      <c r="Q145" s="105"/>
      <c r="R145" s="105"/>
      <c r="S145" s="105"/>
      <c r="T145" s="105" t="s">
        <v>577</v>
      </c>
      <c r="U145" s="105"/>
      <c r="V145" s="105"/>
      <c r="W145" s="105"/>
      <c r="X145" s="105"/>
      <c r="Y145" s="105"/>
      <c r="Z145" s="105"/>
      <c r="AA145" s="105"/>
      <c r="BK145" s="642" t="s">
        <v>308</v>
      </c>
      <c r="BL145" s="642" t="s">
        <v>309</v>
      </c>
    </row>
    <row r="146" spans="1:64" ht="28">
      <c r="A146" s="105"/>
      <c r="B146" s="105" t="s">
        <v>583</v>
      </c>
      <c r="C146" s="105" t="s">
        <v>517</v>
      </c>
      <c r="D146" s="105"/>
      <c r="E146" s="105"/>
      <c r="F146" s="105"/>
      <c r="G146" s="105"/>
      <c r="H146" s="105"/>
      <c r="I146" s="105"/>
      <c r="J146" s="105"/>
      <c r="K146" s="105"/>
      <c r="L146" s="105"/>
      <c r="M146" s="105"/>
      <c r="N146" s="105"/>
      <c r="O146" s="105"/>
      <c r="P146" s="105"/>
      <c r="Q146" s="105"/>
      <c r="R146" s="105"/>
      <c r="T146" s="105"/>
      <c r="U146" s="105"/>
      <c r="V146" s="105"/>
      <c r="W146" s="105"/>
      <c r="X146" s="105"/>
      <c r="Y146" s="105"/>
      <c r="Z146" s="105"/>
      <c r="AA146" s="105"/>
      <c r="BK146" s="642" t="s">
        <v>310</v>
      </c>
      <c r="BL146" s="643" t="s">
        <v>311</v>
      </c>
    </row>
    <row r="147" spans="1:64">
      <c r="A147" s="105"/>
      <c r="B147" s="105" t="s">
        <v>586</v>
      </c>
      <c r="C147" s="105" t="s">
        <v>546</v>
      </c>
      <c r="D147" s="105"/>
      <c r="E147" s="105"/>
      <c r="F147" s="105"/>
      <c r="G147" s="105"/>
      <c r="H147" s="105"/>
      <c r="I147" s="105"/>
      <c r="J147" s="105"/>
      <c r="K147" s="105"/>
      <c r="L147" s="105"/>
      <c r="M147" s="105"/>
      <c r="N147" s="105"/>
      <c r="O147" s="105"/>
      <c r="P147" s="105"/>
      <c r="Q147" s="105"/>
      <c r="R147" s="105"/>
      <c r="T147" s="105"/>
      <c r="U147" s="105"/>
      <c r="V147" s="105"/>
      <c r="W147" s="105"/>
      <c r="X147" s="105"/>
      <c r="Y147" s="105"/>
      <c r="Z147" s="105"/>
      <c r="AA147" s="105"/>
      <c r="BK147" s="642" t="s">
        <v>312</v>
      </c>
      <c r="BL147" s="642" t="s">
        <v>313</v>
      </c>
    </row>
    <row r="148" spans="1:64" ht="28">
      <c r="A148" s="105"/>
      <c r="B148" s="105" t="s">
        <v>587</v>
      </c>
      <c r="C148" s="105" t="s">
        <v>584</v>
      </c>
      <c r="D148" s="105"/>
      <c r="E148" s="105"/>
      <c r="F148" s="105"/>
      <c r="G148" s="105"/>
      <c r="H148" s="105"/>
      <c r="I148" s="105"/>
      <c r="J148" s="105"/>
      <c r="K148" s="105"/>
      <c r="L148" s="105"/>
      <c r="M148" s="105"/>
      <c r="N148" s="105"/>
      <c r="O148" s="105"/>
      <c r="P148" s="105"/>
      <c r="Q148" s="105"/>
      <c r="R148" s="105"/>
      <c r="S148" s="105"/>
      <c r="T148" s="105"/>
      <c r="U148" s="105"/>
      <c r="V148" s="105"/>
      <c r="W148" s="105"/>
      <c r="X148" s="105"/>
      <c r="Y148" s="105"/>
      <c r="Z148" s="105"/>
      <c r="AA148" s="105"/>
      <c r="BK148" s="642" t="s">
        <v>314</v>
      </c>
      <c r="BL148" s="643" t="s">
        <v>315</v>
      </c>
    </row>
    <row r="149" spans="1:64">
      <c r="A149" s="105"/>
      <c r="B149" s="105" t="s">
        <v>588</v>
      </c>
      <c r="C149" s="105" t="s">
        <v>666</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BK149" s="642" t="s">
        <v>316</v>
      </c>
      <c r="BL149" s="642" t="s">
        <v>317</v>
      </c>
    </row>
    <row r="150" spans="1:64">
      <c r="A150" s="105"/>
      <c r="B150" s="105"/>
      <c r="C150" s="105"/>
      <c r="D150" s="105"/>
      <c r="E150" s="105"/>
      <c r="F150" s="105"/>
      <c r="G150" s="105"/>
      <c r="H150" s="105"/>
      <c r="I150" s="105"/>
      <c r="J150" s="105"/>
      <c r="K150" s="105"/>
      <c r="L150" s="105"/>
      <c r="M150" s="105"/>
      <c r="N150" s="105"/>
      <c r="O150" s="105"/>
      <c r="P150" s="105"/>
      <c r="Q150" s="105"/>
      <c r="R150" s="105"/>
      <c r="S150" s="105"/>
      <c r="T150" s="105"/>
      <c r="U150" s="105"/>
      <c r="V150" s="105"/>
      <c r="W150" s="105"/>
      <c r="X150" s="105"/>
      <c r="Y150" s="105"/>
      <c r="Z150" s="105"/>
      <c r="AA150" s="105"/>
      <c r="BK150" s="642" t="s">
        <v>318</v>
      </c>
      <c r="BL150" s="643" t="s">
        <v>793</v>
      </c>
    </row>
    <row r="151" spans="1:64" ht="32.5" customHeight="1">
      <c r="A151" s="105"/>
      <c r="B151" s="105"/>
      <c r="C151" s="105"/>
      <c r="D151" s="105"/>
      <c r="E151" s="105"/>
      <c r="F151" s="105"/>
      <c r="G151" s="105"/>
      <c r="H151" s="105"/>
      <c r="I151" s="105"/>
      <c r="J151" s="105"/>
      <c r="K151" s="105"/>
      <c r="L151" s="105"/>
      <c r="M151" s="105"/>
      <c r="N151" s="105"/>
      <c r="O151" s="105"/>
      <c r="P151" s="105"/>
      <c r="Q151" s="105"/>
      <c r="R151" s="105"/>
      <c r="S151" s="105"/>
      <c r="T151" s="105"/>
      <c r="U151" s="105"/>
      <c r="V151" s="105"/>
      <c r="W151" s="105"/>
      <c r="X151" s="105"/>
      <c r="Y151" s="105"/>
      <c r="Z151" s="105"/>
      <c r="AA151" s="105"/>
      <c r="BK151" s="642" t="s">
        <v>809</v>
      </c>
      <c r="BL151" s="643" t="s">
        <v>810</v>
      </c>
    </row>
    <row r="152" spans="1:64">
      <c r="A152" s="105"/>
      <c r="B152" s="105"/>
      <c r="C152" s="105"/>
      <c r="D152" s="105"/>
      <c r="E152" s="105"/>
      <c r="F152" s="105"/>
      <c r="G152" s="105"/>
      <c r="H152" s="105"/>
      <c r="I152" s="105"/>
      <c r="J152" s="105"/>
      <c r="K152" s="105"/>
      <c r="L152" s="105"/>
      <c r="M152" s="105"/>
      <c r="N152" s="105"/>
      <c r="O152" s="105"/>
      <c r="P152" s="105"/>
      <c r="Q152" s="105"/>
      <c r="R152" s="105"/>
      <c r="S152" s="105"/>
      <c r="T152" s="105"/>
      <c r="U152" s="105"/>
      <c r="V152" s="105"/>
      <c r="W152" s="105"/>
      <c r="X152" s="105"/>
      <c r="Y152" s="105"/>
      <c r="Z152" s="105"/>
      <c r="AA152" s="105"/>
    </row>
    <row r="153" spans="1:64">
      <c r="A153" s="105"/>
      <c r="B153" s="105"/>
      <c r="C153" s="105"/>
      <c r="D153" s="105"/>
      <c r="E153" s="105"/>
      <c r="K153" s="105"/>
      <c r="S153" s="105"/>
      <c r="T153" s="105"/>
    </row>
    <row r="154" spans="1:64">
      <c r="K154" s="105"/>
      <c r="T154" s="105"/>
    </row>
    <row r="155" spans="1:64">
      <c r="K155" s="105"/>
    </row>
    <row r="156" spans="1:64">
      <c r="K156" s="105"/>
    </row>
    <row r="157" spans="1:64">
      <c r="K157" s="105"/>
    </row>
    <row r="158" spans="1:64">
      <c r="K158" s="105"/>
    </row>
    <row r="159" spans="1:64">
      <c r="K159" s="105"/>
    </row>
    <row r="160" spans="1:64">
      <c r="K160" s="105"/>
    </row>
    <row r="161" spans="11:11">
      <c r="K161" s="105"/>
    </row>
    <row r="162" spans="11:11">
      <c r="K162" s="105"/>
    </row>
    <row r="163" spans="11:11">
      <c r="K163" s="105"/>
    </row>
    <row r="164" spans="11:11">
      <c r="K164" s="105"/>
    </row>
  </sheetData>
  <sheetProtection algorithmName="SHA-512" hashValue="PkNTNVIevkvfknEEy/Lj3rv9kRpWbyr4UObdtpQQwedap0zfDTwxzsVfaJkpEe+6DZR2oXpeiC6AqbEnjiyVPg==" saltValue="cm5ekj2GVQj645QjuuG2lA==" spinCount="100000" sheet="1" formatCells="0" selectLockedCells="1" autoFilter="0"/>
  <autoFilter ref="A6:BL6" xr:uid="{13FA1C90-4D93-4736-A576-F6715D5EA1AB}">
    <filterColumn colId="2" showButton="0"/>
  </autoFilter>
  <mergeCells count="39">
    <mergeCell ref="A1:X1"/>
    <mergeCell ref="U3:X3"/>
    <mergeCell ref="A5:A6"/>
    <mergeCell ref="B5:B6"/>
    <mergeCell ref="C5:D6"/>
    <mergeCell ref="E5:E6"/>
    <mergeCell ref="F5:F6"/>
    <mergeCell ref="G5:G6"/>
    <mergeCell ref="H5:Q5"/>
    <mergeCell ref="R5:R6"/>
    <mergeCell ref="A107:B107"/>
    <mergeCell ref="S5:T5"/>
    <mergeCell ref="U5:V5"/>
    <mergeCell ref="W5:W6"/>
    <mergeCell ref="X5:X6"/>
    <mergeCell ref="E109:Q109"/>
    <mergeCell ref="E110:Q110"/>
    <mergeCell ref="E111:Q111"/>
    <mergeCell ref="E112:Q112"/>
    <mergeCell ref="BF5:BH5"/>
    <mergeCell ref="Y5:Y6"/>
    <mergeCell ref="BE5:BE6"/>
    <mergeCell ref="BO5:BO6"/>
    <mergeCell ref="BP5:BQ6"/>
    <mergeCell ref="BR5:BR6"/>
    <mergeCell ref="BS5:BW5"/>
    <mergeCell ref="BX5:BX6"/>
    <mergeCell ref="BY5:BZ5"/>
    <mergeCell ref="CA5:CB5"/>
    <mergeCell ref="CC5:CC6"/>
    <mergeCell ref="CD5:CD6"/>
    <mergeCell ref="CG5:CG6"/>
    <mergeCell ref="CE5:CE6"/>
    <mergeCell ref="CF5:CF6"/>
    <mergeCell ref="CH5:CH6"/>
    <mergeCell ref="CI5:CN5"/>
    <mergeCell ref="CO5:CO6"/>
    <mergeCell ref="CP5:CP6"/>
    <mergeCell ref="CQ5:CQ6"/>
  </mergeCells>
  <phoneticPr fontId="1"/>
  <conditionalFormatting sqref="X7:X107">
    <cfRule type="containsText" dxfId="75" priority="1" operator="containsText" text="→内容を記載してください">
      <formula>NOT(ISERROR(SEARCH("→内容を記載してください",X7)))</formula>
    </cfRule>
  </conditionalFormatting>
  <dataValidations count="13">
    <dataValidation type="list" errorStyle="warning" allowBlank="1" showInputMessage="1" showErrorMessage="1" sqref="C65623:C65647 C131159:C131183 C196695:C196719 C262231:C262255 C327767:C327791 C393303:C393327 C458839:C458863 C524375:C524399 C589911:C589935 C655447:C655471 C720983:C721007 C786519:C786543 C852055:C852079 C917591:C917615 C983127:C983151" xr:uid="{8DD76295-78EE-4B5A-93D2-BD7287BDA4CD}">
      <formula1>$C$119:$C$121</formula1>
    </dataValidation>
    <dataValidation type="list" errorStyle="warning" allowBlank="1" showInputMessage="1" showErrorMessage="1" sqref="D983127:D983151 D917591:D917615 D852055:D852079 D786519:D786543 D720983:D721007 D655447:D655471 D589911:D589935 D524375:D524399 D458839:D458863 D393303:D393327 D327767:D327791 D262231:D262255 D196695:D196719 D131159:D131183 D65623:D65647" xr:uid="{58E11126-F086-463F-A691-FB364C692612}">
      <formula1>$D$119:$D$120</formula1>
    </dataValidation>
    <dataValidation type="list" errorStyle="warning" allowBlank="1" showInputMessage="1" showErrorMessage="1" sqref="F65622:F65646 F983126:F983150 F917590:F917614 F852054:F852078 F786518:F786542 F720982:F721006 F655446:F655470 F589910:F589934 F524374:F524398 F458838:F458862 F393302:F393326 F327766:F327790 F262230:F262254 F196694:F196718 F131158:F131182" xr:uid="{7B6564E6-E11F-427A-9C53-50671F8D3AD8}">
      <formula1>$F$119:$F$120</formula1>
    </dataValidation>
    <dataValidation type="list" errorStyle="warning" allowBlank="1" showInputMessage="1" showErrorMessage="1" sqref="K983127:K983151 H983126:J983150 L983126:O983150 K917591:K917615 H917590:J917614 L917590:O917614 K852055:K852079 H852054:J852078 L852054:O852078 K786519:K786543 H786518:J786542 L786518:O786542 K720983:K721007 H720982:J721006 L720982:O721006 K655447:K655471 H655446:J655470 L655446:O655470 K589911:K589935 H589910:J589934 L589910:O589934 K524375:K524399 H524374:J524398 L524374:O524398 K458839:K458863 H458838:J458862 L458838:O458862 K393303:K393327 H393302:J393326 L393302:O393326 K327767:K327791 H327766:J327790 L327766:O327790 K262231:K262255 H262230:J262254 L262230:O262254 K196695:K196719 H196694:J196718 L196694:O196718 K131159:K131183 H131158:J131182 L131158:O131182 K65623:K65647 H65622:J65646 L65622:O65646" xr:uid="{A546CBFA-5BAC-4D54-82F3-EE2F2B74596F}">
      <formula1>$H$119:$H$120</formula1>
    </dataValidation>
    <dataValidation type="list" errorStyle="warning" allowBlank="1" showInputMessage="1" showErrorMessage="1" sqref="B983127:B983151 B65623:B65647 B131159:B131183 B196695:B196719 B262231:B262255 B327767:B327791 B393303:B393327 B458839:B458863 B524375:B524399 B589911:B589935 B655447:B655471 B720983:B721007 B786519:B786543 B852055:B852079 B917591:B917615" xr:uid="{C9DC6072-B1E3-4AD6-99EA-3F65954F5D4F}">
      <formula1>$A$119:$A$136</formula1>
    </dataValidation>
    <dataValidation type="date" operator="greaterThan" allowBlank="1" showInputMessage="1" showErrorMessage="1" sqref="R7:S107 U7:U107" xr:uid="{11E7DC26-1E6B-4B3B-997D-F8A323604BFD}">
      <formula1>20090</formula1>
    </dataValidation>
    <dataValidation type="list" allowBlank="1" showInputMessage="1" showErrorMessage="1" sqref="B7:B106" xr:uid="{0D2E3B52-5610-4DCA-82A3-65D2B737BA9F}">
      <formula1>$A$119:$A$136</formula1>
    </dataValidation>
    <dataValidation type="list" allowBlank="1" showInputMessage="1" showErrorMessage="1" sqref="C7:C106" xr:uid="{B8B09260-C9E5-4BF1-AAA2-FB291BBB5DA0}">
      <formula1>$C$119:$C$121</formula1>
    </dataValidation>
    <dataValidation type="list" allowBlank="1" showInputMessage="1" showErrorMessage="1" sqref="H7:P106" xr:uid="{9871A67B-53FC-492C-AAA8-547A7E4F98C0}">
      <formula1>$H$119:$H$120</formula1>
    </dataValidation>
    <dataValidation type="list" allowBlank="1" showInputMessage="1" showErrorMessage="1" sqref="T7:T106" xr:uid="{7B516B2E-9AEC-469B-ADE6-9FE332635130}">
      <formula1>$K$119:$K$128</formula1>
    </dataValidation>
    <dataValidation type="list" allowBlank="1" showInputMessage="1" showErrorMessage="1" sqref="V7:V106" xr:uid="{7E6C976C-5F98-4F63-8B8E-CB9EAAB0558B}">
      <formula1>$O$119:$O$128</formula1>
    </dataValidation>
    <dataValidation type="list" allowBlank="1" showInputMessage="1" showErrorMessage="1" sqref="W7:W106" xr:uid="{2C1723EC-3E74-4E02-A073-CDE187C2758C}">
      <formula1>$S$119:$S$139</formula1>
    </dataValidation>
    <dataValidation type="list" errorStyle="warning" allowBlank="1" showInputMessage="1" showErrorMessage="1" sqref="D7:D106" xr:uid="{49C35615-9EE8-4F28-9219-D1B116913EA1}">
      <formula1>INDIRECT($C7)</formula1>
    </dataValidation>
  </dataValidations>
  <pageMargins left="0.39370078740157483" right="0.31496062992125984" top="0.43307086614173229" bottom="0.35433070866141736" header="0.39370078740157483" footer="0.31496062992125984"/>
  <pageSetup paperSize="9" scale="64" orientation="portrait"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02FC5-BF42-4BD3-93FF-97C256D7E352}">
  <sheetPr codeName="Sheet71">
    <tabColor rgb="FF00B050"/>
  </sheetPr>
  <dimension ref="A1:AU125"/>
  <sheetViews>
    <sheetView view="pageBreakPreview" zoomScale="85" zoomScaleNormal="85" zoomScaleSheetLayoutView="85" workbookViewId="0">
      <pane xSplit="5" ySplit="6" topLeftCell="F7" activePane="bottomRight" state="frozen"/>
      <selection activeCell="L9" sqref="L9:Q9"/>
      <selection pane="topRight" activeCell="L9" sqref="L9:Q9"/>
      <selection pane="bottomLeft" activeCell="L9" sqref="L9:Q9"/>
      <selection pane="bottomRight" activeCell="F5" sqref="F5"/>
    </sheetView>
  </sheetViews>
  <sheetFormatPr defaultColWidth="8" defaultRowHeight="18"/>
  <cols>
    <col min="1" max="1" width="3.33203125" customWidth="1"/>
    <col min="2" max="2" width="19.83203125" customWidth="1"/>
    <col min="3" max="3" width="11" customWidth="1"/>
    <col min="4" max="4" width="11" hidden="1" customWidth="1"/>
    <col min="5" max="5" width="11" customWidth="1"/>
    <col min="6" max="29" width="6.83203125" customWidth="1"/>
    <col min="30" max="30" width="6.25" customWidth="1"/>
    <col min="31" max="31" width="8.83203125" bestFit="1" customWidth="1"/>
    <col min="32" max="32" width="6.25" customWidth="1"/>
    <col min="36" max="36" width="8.75" bestFit="1" customWidth="1"/>
  </cols>
  <sheetData>
    <row r="1" spans="1:47" s="72" customFormat="1" ht="24.75" customHeight="1" thickBot="1">
      <c r="A1" s="782" t="s">
        <v>83</v>
      </c>
      <c r="B1" s="782"/>
      <c r="C1" s="782"/>
      <c r="D1" s="782"/>
      <c r="E1" s="782"/>
      <c r="F1" s="782"/>
      <c r="G1" s="782"/>
      <c r="H1" s="782"/>
      <c r="I1" s="782"/>
      <c r="J1" s="782"/>
      <c r="K1" s="782"/>
      <c r="L1" s="782"/>
      <c r="M1" s="782"/>
      <c r="N1" s="782"/>
      <c r="O1" s="782"/>
    </row>
    <row r="2" spans="1:47" ht="18" customHeight="1" thickBot="1">
      <c r="A2" s="111"/>
      <c r="C2" s="111"/>
      <c r="D2" s="111"/>
      <c r="E2" s="111"/>
      <c r="K2" s="78" t="s">
        <v>31</v>
      </c>
      <c r="L2" s="783">
        <f>①基本情報!D6</f>
        <v>0</v>
      </c>
      <c r="M2" s="783"/>
      <c r="N2" s="783"/>
      <c r="O2" s="783"/>
      <c r="P2" s="783"/>
      <c r="Q2" s="783"/>
      <c r="R2" s="112"/>
      <c r="S2" s="113" t="s">
        <v>84</v>
      </c>
      <c r="T2" s="112"/>
      <c r="U2" s="112"/>
      <c r="V2" s="112"/>
      <c r="W2" s="112"/>
      <c r="X2" s="112"/>
      <c r="Y2" s="112"/>
      <c r="Z2" s="112"/>
      <c r="AA2" s="112"/>
      <c r="AB2" s="112"/>
      <c r="AC2" s="112"/>
      <c r="AM2" s="455" t="s">
        <v>1579</v>
      </c>
      <c r="AN2" s="336" t="s">
        <v>1674</v>
      </c>
      <c r="AO2" s="336" t="s">
        <v>1675</v>
      </c>
      <c r="AP2" s="336" t="s">
        <v>1676</v>
      </c>
    </row>
    <row r="3" spans="1:47" ht="18" customHeight="1">
      <c r="A3" s="73"/>
      <c r="B3" s="73"/>
      <c r="C3" s="73"/>
      <c r="D3" s="73"/>
      <c r="E3" s="74"/>
      <c r="G3" s="74"/>
      <c r="H3" s="74"/>
      <c r="I3" s="74"/>
      <c r="J3" s="74"/>
      <c r="AJ3" s="455" t="s">
        <v>1578</v>
      </c>
      <c r="AK3" s="119"/>
      <c r="AM3" s="455" t="s">
        <v>1582</v>
      </c>
      <c r="AN3" s="455" t="s">
        <v>1581</v>
      </c>
      <c r="AO3" s="455" t="s">
        <v>1581</v>
      </c>
      <c r="AP3" s="455" t="s">
        <v>1581</v>
      </c>
    </row>
    <row r="4" spans="1:47" ht="7.5" customHeight="1">
      <c r="A4" s="73"/>
      <c r="B4" s="73"/>
      <c r="C4" s="73"/>
      <c r="D4" s="73"/>
      <c r="E4" s="74"/>
      <c r="F4" s="17"/>
      <c r="G4" s="17"/>
      <c r="H4" s="17"/>
      <c r="I4" s="17"/>
      <c r="J4" s="17"/>
      <c r="K4" s="17"/>
      <c r="L4" s="17"/>
      <c r="M4" s="17"/>
      <c r="N4" s="17"/>
      <c r="O4" s="17"/>
      <c r="P4" s="17"/>
      <c r="Q4" s="17"/>
      <c r="R4" s="17" t="s">
        <v>291</v>
      </c>
    </row>
    <row r="5" spans="1:47" s="79" customFormat="1" ht="54.75" customHeight="1">
      <c r="A5" s="758"/>
      <c r="B5" s="760" t="s">
        <v>85</v>
      </c>
      <c r="C5" s="760" t="s">
        <v>38</v>
      </c>
      <c r="D5" s="784" t="s">
        <v>86</v>
      </c>
      <c r="E5" s="114" t="s">
        <v>87</v>
      </c>
      <c r="F5" s="118"/>
      <c r="G5" s="118">
        <f>F5</f>
        <v>0</v>
      </c>
      <c r="H5" s="118">
        <f t="shared" ref="H5:Q5" si="0">G5</f>
        <v>0</v>
      </c>
      <c r="I5" s="118">
        <f t="shared" ref="I5" si="1">H5</f>
        <v>0</v>
      </c>
      <c r="J5" s="118">
        <f t="shared" ref="J5" si="2">I5</f>
        <v>0</v>
      </c>
      <c r="K5" s="118">
        <f t="shared" ref="K5" si="3">J5</f>
        <v>0</v>
      </c>
      <c r="L5" s="118">
        <f t="shared" ref="L5" si="4">K5</f>
        <v>0</v>
      </c>
      <c r="M5" s="118">
        <f t="shared" ref="M5" si="5">L5</f>
        <v>0</v>
      </c>
      <c r="N5" s="118">
        <f t="shared" ref="N5" si="6">M5</f>
        <v>0</v>
      </c>
      <c r="O5" s="118">
        <f t="shared" ref="O5" si="7">N5</f>
        <v>0</v>
      </c>
      <c r="P5" s="118">
        <f t="shared" si="0"/>
        <v>0</v>
      </c>
      <c r="Q5" s="118">
        <f t="shared" si="0"/>
        <v>0</v>
      </c>
      <c r="Y5" s="17"/>
      <c r="Z5" s="17"/>
      <c r="AA5" s="17"/>
      <c r="AB5" s="17"/>
      <c r="AC5" s="17"/>
      <c r="AI5" s="79" t="s">
        <v>1234</v>
      </c>
      <c r="AJ5" s="79">
        <f>SUM(AJ6:AU6)</f>
        <v>0</v>
      </c>
      <c r="AM5" s="79" t="str">
        <f>IF(COUNTIF(E7:E106,"*契約*")&gt;0,"×","〇")</f>
        <v>〇</v>
      </c>
      <c r="AN5" s="79" t="str">
        <f>IF(COUNTIF(F7:Q106,"*入力*")&gt;0,"×","〇")</f>
        <v>〇</v>
      </c>
      <c r="AO5" s="79" t="str">
        <f>IF(COUNTIF(F7:F106,"*入力*")&gt;0,"×","〇")</f>
        <v>〇</v>
      </c>
      <c r="AP5" s="79" t="str">
        <f>IF(COUNTIF(F7:K106,"*入力*")&gt;0,"×","〇")</f>
        <v>〇</v>
      </c>
    </row>
    <row r="6" spans="1:47" s="79" customFormat="1" ht="54.75" customHeight="1">
      <c r="A6" s="758"/>
      <c r="B6" s="760"/>
      <c r="C6" s="758"/>
      <c r="D6" s="785"/>
      <c r="E6" s="115" t="s">
        <v>88</v>
      </c>
      <c r="F6" s="116">
        <v>4</v>
      </c>
      <c r="G6" s="116">
        <v>5</v>
      </c>
      <c r="H6" s="116">
        <v>6</v>
      </c>
      <c r="I6" s="116">
        <v>7</v>
      </c>
      <c r="J6" s="116">
        <v>8</v>
      </c>
      <c r="K6" s="116">
        <v>9</v>
      </c>
      <c r="L6" s="116">
        <v>10</v>
      </c>
      <c r="M6" s="116">
        <v>11</v>
      </c>
      <c r="N6" s="116">
        <v>12</v>
      </c>
      <c r="O6" s="116">
        <v>1</v>
      </c>
      <c r="P6" s="116">
        <v>2</v>
      </c>
      <c r="Q6" s="116">
        <v>3</v>
      </c>
      <c r="R6" s="116">
        <v>4</v>
      </c>
      <c r="S6" s="116">
        <v>5</v>
      </c>
      <c r="T6" s="116">
        <v>6</v>
      </c>
      <c r="U6" s="116">
        <v>7</v>
      </c>
      <c r="V6" s="116">
        <v>8</v>
      </c>
      <c r="W6" s="116">
        <v>9</v>
      </c>
      <c r="X6" s="116">
        <v>10</v>
      </c>
      <c r="Y6" s="116">
        <v>11</v>
      </c>
      <c r="Z6" s="116">
        <v>12</v>
      </c>
      <c r="AA6" s="116">
        <v>1</v>
      </c>
      <c r="AB6" s="116">
        <v>2</v>
      </c>
      <c r="AC6" s="116">
        <v>3</v>
      </c>
      <c r="AI6" s="79" t="s">
        <v>1235</v>
      </c>
      <c r="AJ6" s="332">
        <f>COUNTIF(AJ7:AJ111,"×")</f>
        <v>0</v>
      </c>
      <c r="AK6" s="332">
        <f t="shared" ref="AK6:AU6" si="8">COUNTIF(AK7:AK111,"×")</f>
        <v>0</v>
      </c>
      <c r="AL6" s="332">
        <f t="shared" si="8"/>
        <v>0</v>
      </c>
      <c r="AM6" s="332">
        <f t="shared" si="8"/>
        <v>0</v>
      </c>
      <c r="AN6" s="332">
        <f t="shared" si="8"/>
        <v>0</v>
      </c>
      <c r="AO6" s="332">
        <f t="shared" si="8"/>
        <v>0</v>
      </c>
      <c r="AP6" s="332">
        <f t="shared" si="8"/>
        <v>0</v>
      </c>
      <c r="AQ6" s="332">
        <f t="shared" si="8"/>
        <v>0</v>
      </c>
      <c r="AR6" s="332">
        <f t="shared" si="8"/>
        <v>0</v>
      </c>
      <c r="AS6" s="332">
        <f t="shared" si="8"/>
        <v>0</v>
      </c>
      <c r="AT6" s="332">
        <f t="shared" si="8"/>
        <v>0</v>
      </c>
      <c r="AU6" s="332">
        <f t="shared" si="8"/>
        <v>0</v>
      </c>
    </row>
    <row r="7" spans="1:47" s="90" customFormat="1" ht="23.15" customHeight="1">
      <c r="A7" s="87">
        <v>1</v>
      </c>
      <c r="B7" s="86" t="str">
        <f>IF('②-1職員名簿'!E7="","",'②-1職員名簿'!Y7)</f>
        <v/>
      </c>
      <c r="C7" s="88" t="str">
        <f>'②-1職員名簿'!BE7</f>
        <v/>
      </c>
      <c r="D7" s="117" t="str">
        <f t="shared" ref="D7:D70" si="9">B7&amp;C7</f>
        <v/>
      </c>
      <c r="E7" s="18" t="str">
        <f>IF($B7="","",IF(AND('②-1職員名簿'!C7="正",'②-1職員名簿'!D7="常"),"正規職員","契約上の就業時間を記載"))</f>
        <v/>
      </c>
      <c r="F7" s="9" t="str">
        <f>IF($B7="","",IF(OR('②-1職員名簿'!AC7="○",'②-1職員名簿'!AC7="●"),IF($E7="正規職員","正",IF($E7="契約上の就業時間を記載","","見込を入力")),"-"))</f>
        <v/>
      </c>
      <c r="G7" s="9" t="str">
        <f>IF($B7="","",IF(OR('②-1職員名簿'!AD7="○",'②-1職員名簿'!AD7="●"),IF($E7="正規職員","正",IF($E7="契約上の就業時間を記載","","実績を入力")),"-"))</f>
        <v/>
      </c>
      <c r="H7" s="9" t="str">
        <f>IF($B7="","",IF(OR('②-1職員名簿'!AE7="○",'②-1職員名簿'!AE7="●"),IF($E7="正規職員","正",IF($E7="契約上の就業時間を記載","","実績を入力")),"-"))</f>
        <v/>
      </c>
      <c r="I7" s="9" t="str">
        <f>IF($B7="","",IF(OR('②-1職員名簿'!AF7="○",'②-1職員名簿'!AF7="●"),IF($E7="正規職員","正",IF($E7="契約上の就業時間を記載","","実績を入力")),"-"))</f>
        <v/>
      </c>
      <c r="J7" s="9" t="str">
        <f>IF($B7="","",IF(OR('②-1職員名簿'!AG7="○",'②-1職員名簿'!AG7="●"),IF($E7="正規職員","正",IF($E7="契約上の就業時間を記載","","実績を入力")),"-"))</f>
        <v/>
      </c>
      <c r="K7" s="9" t="str">
        <f>IF($B7="","",IF(OR('②-1職員名簿'!AH7="○",'②-1職員名簿'!AH7="●"),IF($E7="正規職員","正",IF($E7="契約上の就業時間を記載","","実績を入力")),"-"))</f>
        <v/>
      </c>
      <c r="L7" s="9" t="str">
        <f>IF($B7="","",IF(OR('②-1職員名簿'!AI7="○",'②-1職員名簿'!AI7="●"),IF($E7="正規職員","正",IF($E7="契約上の就業時間を記載","","実績を入力")),"-"))</f>
        <v/>
      </c>
      <c r="M7" s="9" t="str">
        <f>IF($B7="","",IF(OR('②-1職員名簿'!AJ7="○",'②-1職員名簿'!AJ7="●"),IF($E7="正規職員","正",IF($E7="契約上の就業時間を記載","","実績を入力")),"-"))</f>
        <v/>
      </c>
      <c r="N7" s="9" t="str">
        <f>IF($B7="","",IF(OR('②-1職員名簿'!AK7="○",'②-1職員名簿'!AK7="●"),IF($E7="正規職員","正",IF($E7="契約上の就業時間を記載","","実績を入力")),"-"))</f>
        <v/>
      </c>
      <c r="O7" s="9" t="str">
        <f>IF($B7="","",IF(OR('②-1職員名簿'!AL7="○",'②-1職員名簿'!AL7="●"),IF($E7="正規職員","正",IF($E7="契約上の就業時間を記載","","実績を入力")),"-"))</f>
        <v/>
      </c>
      <c r="P7" s="9" t="str">
        <f>IF($B7="","",IF(OR('②-1職員名簿'!AM7="○",'②-1職員名簿'!AM7="●"),IF($E7="正規職員","正",IF($E7="契約上の就業時間を記載","","実績を入力")),"-"))</f>
        <v/>
      </c>
      <c r="Q7" s="9" t="str">
        <f>IF($B7="","",IF(OR('②-1職員名簿'!AN7="○",'②-1職員名簿'!AN7="●"),IF($E7="正規職員","正",IF($E7="契約上の就業時間を記載","","見込を入力")),"-"))</f>
        <v/>
      </c>
      <c r="R7" s="88" t="str">
        <f>IF($B7="","",IF(OR('②-1職員名簿'!AC7="○",'②-1職員名簿'!AC7="●"),IF($E7="正規職員","正",IF($E7="契約上の就業時間を記載","",IF($E7&gt;=F$5,"常",F7))),"-"))</f>
        <v/>
      </c>
      <c r="S7" s="88" t="str">
        <f>IF($B7="","",IF(OR('②-1職員名簿'!AD7="○",'②-1職員名簿'!AD7="●"),IF($E7="正規職員","正",IF($E7="契約上の就業時間を記載","",IF($E7&gt;=G$5,"常",G7))),"-"))</f>
        <v/>
      </c>
      <c r="T7" s="88" t="str">
        <f>IF($B7="","",IF(OR('②-1職員名簿'!AE7="○",'②-1職員名簿'!AE7="●"),IF($E7="正規職員","正",IF($E7="契約上の就業時間を記載","",IF($E7&gt;=H$5,"常",H7))),"-"))</f>
        <v/>
      </c>
      <c r="U7" s="88" t="str">
        <f>IF($B7="","",IF(OR('②-1職員名簿'!AF7="○",'②-1職員名簿'!AF7="●"),IF($E7="正規職員","正",IF($E7="契約上の就業時間を記載","",IF($E7&gt;=I$5,"常",I7))),"-"))</f>
        <v/>
      </c>
      <c r="V7" s="88" t="str">
        <f>IF($B7="","",IF(OR('②-1職員名簿'!AG7="○",'②-1職員名簿'!AG7="●"),IF($E7="正規職員","正",IF($E7="契約上の就業時間を記載","",IF($E7&gt;=J$5,"常",J7))),"-"))</f>
        <v/>
      </c>
      <c r="W7" s="88" t="str">
        <f>IF($B7="","",IF(OR('②-1職員名簿'!AH7="○",'②-1職員名簿'!AH7="●"),IF($E7="正規職員","正",IF($E7="契約上の就業時間を記載","",IF($E7&gt;=K$5,"常",K7))),"-"))</f>
        <v/>
      </c>
      <c r="X7" s="88" t="str">
        <f>IF($B7="","",IF(OR('②-1職員名簿'!AI7="○",'②-1職員名簿'!AI7="●"),IF($E7="正規職員","正",IF($E7="契約上の就業時間を記載","",IF($E7&gt;=L$5,"常",L7))),"-"))</f>
        <v/>
      </c>
      <c r="Y7" s="88" t="str">
        <f>IF($B7="","",IF(OR('②-1職員名簿'!AJ7="○",'②-1職員名簿'!AJ7="●"),IF($E7="正規職員","正",IF($E7="契約上の就業時間を記載","",IF($E7&gt;=M$5,"常",M7))),"-"))</f>
        <v/>
      </c>
      <c r="Z7" s="88" t="str">
        <f>IF($B7="","",IF(OR('②-1職員名簿'!AK7="○",'②-1職員名簿'!AK7="●"),IF($E7="正規職員","正",IF($E7="契約上の就業時間を記載","",IF($E7&gt;=N$5,"常",N7))),"-"))</f>
        <v/>
      </c>
      <c r="AA7" s="88" t="str">
        <f>IF($B7="","",IF(OR('②-1職員名簿'!AL7="○",'②-1職員名簿'!AL7="●"),IF($E7="正規職員","正",IF($E7="契約上の就業時間を記載","",IF($E7&gt;=O$5,"常",O7))),"-"))</f>
        <v/>
      </c>
      <c r="AB7" s="88" t="str">
        <f>IF($B7="","",IF(OR('②-1職員名簿'!AM7="○",'②-1職員名簿'!AM7="●"),IF($E7="正規職員","正",IF($E7="契約上の就業時間を記載","",IF($E7&gt;=P$5,"常",P7))),"-"))</f>
        <v/>
      </c>
      <c r="AC7" s="88" t="str">
        <f>IF($B7="","",IF(OR('②-1職員名簿'!AN7="○",'②-1職員名簿'!AN7="●"),IF($E7="正規職員","正",IF($E7="契約上の就業時間を記載","",IF($E7&gt;=Q$5,"常",Q7))),"-"))</f>
        <v/>
      </c>
      <c r="AE7" s="86" t="str">
        <f>IF('②-1職員名簿'!W7="","",'②-1職員名簿'!W7)</f>
        <v/>
      </c>
      <c r="AG7" s="116">
        <v>4</v>
      </c>
      <c r="AH7" s="90">
        <f>F5</f>
        <v>0</v>
      </c>
      <c r="AI7" s="90" t="s">
        <v>1236</v>
      </c>
      <c r="AJ7" s="17" t="str">
        <f>IF(AND($C7="常勤的非常勤",$E7&lt;F$5),"×",IF(AND($C7="短時間非常勤",F$5&lt;=$E7),"×",IF(AND($C7="嘱託常勤",$E7&lt;F$5),"×",IF(AND($C7="嘱託非常勤",F$5&lt;=$E7),"×","○"))))</f>
        <v>○</v>
      </c>
      <c r="AK7" s="17" t="str">
        <f t="shared" ref="AK7:AU22" si="10">IF(AND($C7="常勤的非常勤",$E7&lt;G$5),"×",IF(AND($C7="短時間非常勤",G$5&lt;=$E7),"×",IF(AND($C7="嘱託常勤",$E7&lt;G$5),"×",IF(AND($C7="嘱託非常勤",G$5&lt;=$E7),"×","○"))))</f>
        <v>○</v>
      </c>
      <c r="AL7" s="17" t="str">
        <f t="shared" si="10"/>
        <v>○</v>
      </c>
      <c r="AM7" s="17" t="str">
        <f t="shared" si="10"/>
        <v>○</v>
      </c>
      <c r="AN7" s="17" t="str">
        <f t="shared" si="10"/>
        <v>○</v>
      </c>
      <c r="AO7" s="17" t="str">
        <f t="shared" si="10"/>
        <v>○</v>
      </c>
      <c r="AP7" s="17" t="str">
        <f t="shared" si="10"/>
        <v>○</v>
      </c>
      <c r="AQ7" s="17" t="str">
        <f t="shared" si="10"/>
        <v>○</v>
      </c>
      <c r="AR7" s="17" t="str">
        <f t="shared" si="10"/>
        <v>○</v>
      </c>
      <c r="AS7" s="17" t="str">
        <f t="shared" si="10"/>
        <v>○</v>
      </c>
      <c r="AT7" s="17" t="str">
        <f t="shared" si="10"/>
        <v>○</v>
      </c>
      <c r="AU7" s="17" t="str">
        <f t="shared" si="10"/>
        <v>○</v>
      </c>
    </row>
    <row r="8" spans="1:47" s="90" customFormat="1" ht="23.15" customHeight="1">
      <c r="A8" s="87">
        <v>2</v>
      </c>
      <c r="B8" s="86" t="str">
        <f>IF('②-1職員名簿'!E8="","",'②-1職員名簿'!Y8)</f>
        <v/>
      </c>
      <c r="C8" s="88" t="str">
        <f>'②-1職員名簿'!BE8</f>
        <v/>
      </c>
      <c r="D8" s="117" t="str">
        <f t="shared" si="9"/>
        <v/>
      </c>
      <c r="E8" s="18" t="str">
        <f>IF($B8="","",IF(AND('②-1職員名簿'!C8="正",'②-1職員名簿'!D8="常"),"正規職員","契約上の就業時間を記載"))</f>
        <v/>
      </c>
      <c r="F8" s="9" t="str">
        <f>IF($B8="","",IF(OR('②-1職員名簿'!AC8="○",'②-1職員名簿'!AC8="●"),IF($E8="正規職員","正",IF($E8="契約上の就業時間を記載","","見込を入力")),"-"))</f>
        <v/>
      </c>
      <c r="G8" s="9" t="str">
        <f>IF($B8="","",IF(OR('②-1職員名簿'!AD8="○",'②-1職員名簿'!AD8="●"),IF($E8="正規職員","正",IF($E8="契約上の就業時間を記載","","実績を入力")),"-"))</f>
        <v/>
      </c>
      <c r="H8" s="9" t="str">
        <f>IF($B8="","",IF(OR('②-1職員名簿'!AE8="○",'②-1職員名簿'!AE8="●"),IF($E8="正規職員","正",IF($E8="契約上の就業時間を記載","","実績を入力")),"-"))</f>
        <v/>
      </c>
      <c r="I8" s="9" t="str">
        <f>IF($B8="","",IF(OR('②-1職員名簿'!AF8="○",'②-1職員名簿'!AF8="●"),IF($E8="正規職員","正",IF($E8="契約上の就業時間を記載","","実績を入力")),"-"))</f>
        <v/>
      </c>
      <c r="J8" s="9" t="str">
        <f>IF($B8="","",IF(OR('②-1職員名簿'!AG8="○",'②-1職員名簿'!AG8="●"),IF($E8="正規職員","正",IF($E8="契約上の就業時間を記載","","実績を入力")),"-"))</f>
        <v/>
      </c>
      <c r="K8" s="9" t="str">
        <f>IF($B8="","",IF(OR('②-1職員名簿'!AH8="○",'②-1職員名簿'!AH8="●"),IF($E8="正規職員","正",IF($E8="契約上の就業時間を記載","","実績を入力")),"-"))</f>
        <v/>
      </c>
      <c r="L8" s="9" t="str">
        <f>IF($B8="","",IF(OR('②-1職員名簿'!AI8="○",'②-1職員名簿'!AI8="●"),IF($E8="正規職員","正",IF($E8="契約上の就業時間を記載","","実績を入力")),"-"))</f>
        <v/>
      </c>
      <c r="M8" s="9" t="str">
        <f>IF($B8="","",IF(OR('②-1職員名簿'!AJ8="○",'②-1職員名簿'!AJ8="●"),IF($E8="正規職員","正",IF($E8="契約上の就業時間を記載","","実績を入力")),"-"))</f>
        <v/>
      </c>
      <c r="N8" s="9" t="str">
        <f>IF($B8="","",IF(OR('②-1職員名簿'!AK8="○",'②-1職員名簿'!AK8="●"),IF($E8="正規職員","正",IF($E8="契約上の就業時間を記載","","実績を入力")),"-"))</f>
        <v/>
      </c>
      <c r="O8" s="9" t="str">
        <f>IF($B8="","",IF(OR('②-1職員名簿'!AL8="○",'②-1職員名簿'!AL8="●"),IF($E8="正規職員","正",IF($E8="契約上の就業時間を記載","","実績を入力")),"-"))</f>
        <v/>
      </c>
      <c r="P8" s="9" t="str">
        <f>IF($B8="","",IF(OR('②-1職員名簿'!AM8="○",'②-1職員名簿'!AM8="●"),IF($E8="正規職員","正",IF($E8="契約上の就業時間を記載","","実績を入力")),"-"))</f>
        <v/>
      </c>
      <c r="Q8" s="9" t="str">
        <f>IF($B8="","",IF(OR('②-1職員名簿'!AN8="○",'②-1職員名簿'!AN8="●"),IF($E8="正規職員","正",IF($E8="契約上の就業時間を記載","","見込を入力")),"-"))</f>
        <v/>
      </c>
      <c r="R8" s="88" t="str">
        <f>IF($B8="","",IF(OR('②-1職員名簿'!AC8="○",'②-1職員名簿'!AC8="●"),IF($E8="正規職員","正",IF($E8="契約上の就業時間を記載","",IF($E8&gt;=F$5,"常",F8))),"-"))</f>
        <v/>
      </c>
      <c r="S8" s="88" t="str">
        <f>IF($B8="","",IF(OR('②-1職員名簿'!AD8="○",'②-1職員名簿'!AD8="●"),IF($E8="正規職員","正",IF($E8="契約上の就業時間を記載","",IF($E8&gt;=G$5,"常",G8))),"-"))</f>
        <v/>
      </c>
      <c r="T8" s="88" t="str">
        <f>IF($B8="","",IF(OR('②-1職員名簿'!AE8="○",'②-1職員名簿'!AE8="●"),IF($E8="正規職員","正",IF($E8="契約上の就業時間を記載","",IF($E8&gt;=H$5,"常",H8))),"-"))</f>
        <v/>
      </c>
      <c r="U8" s="88" t="str">
        <f>IF($B8="","",IF(OR('②-1職員名簿'!AF8="○",'②-1職員名簿'!AF8="●"),IF($E8="正規職員","正",IF($E8="契約上の就業時間を記載","",IF($E8&gt;=I$5,"常",I8))),"-"))</f>
        <v/>
      </c>
      <c r="V8" s="88" t="str">
        <f>IF($B8="","",IF(OR('②-1職員名簿'!AG8="○",'②-1職員名簿'!AG8="●"),IF($E8="正規職員","正",IF($E8="契約上の就業時間を記載","",IF($E8&gt;=J$5,"常",J8))),"-"))</f>
        <v/>
      </c>
      <c r="W8" s="88" t="str">
        <f>IF($B8="","",IF(OR('②-1職員名簿'!AH8="○",'②-1職員名簿'!AH8="●"),IF($E8="正規職員","正",IF($E8="契約上の就業時間を記載","",IF($E8&gt;=K$5,"常",K8))),"-"))</f>
        <v/>
      </c>
      <c r="X8" s="88" t="str">
        <f>IF($B8="","",IF(OR('②-1職員名簿'!AI8="○",'②-1職員名簿'!AI8="●"),IF($E8="正規職員","正",IF($E8="契約上の就業時間を記載","",IF($E8&gt;=L$5,"常",L8))),"-"))</f>
        <v/>
      </c>
      <c r="Y8" s="88" t="str">
        <f>IF($B8="","",IF(OR('②-1職員名簿'!AJ8="○",'②-1職員名簿'!AJ8="●"),IF($E8="正規職員","正",IF($E8="契約上の就業時間を記載","",IF($E8&gt;=M$5,"常",M8))),"-"))</f>
        <v/>
      </c>
      <c r="Z8" s="88" t="str">
        <f>IF($B8="","",IF(OR('②-1職員名簿'!AK8="○",'②-1職員名簿'!AK8="●"),IF($E8="正規職員","正",IF($E8="契約上の就業時間を記載","",IF($E8&gt;=N$5,"常",N8))),"-"))</f>
        <v/>
      </c>
      <c r="AA8" s="88" t="str">
        <f>IF($B8="","",IF(OR('②-1職員名簿'!AL8="○",'②-1職員名簿'!AL8="●"),IF($E8="正規職員","正",IF($E8="契約上の就業時間を記載","",IF($E8&gt;=O$5,"常",O8))),"-"))</f>
        <v/>
      </c>
      <c r="AB8" s="88" t="str">
        <f>IF($B8="","",IF(OR('②-1職員名簿'!AM8="○",'②-1職員名簿'!AM8="●"),IF($E8="正規職員","正",IF($E8="契約上の就業時間を記載","",IF($E8&gt;=P$5,"常",P8))),"-"))</f>
        <v/>
      </c>
      <c r="AC8" s="88" t="str">
        <f>IF($B8="","",IF(OR('②-1職員名簿'!AN8="○",'②-1職員名簿'!AN8="●"),IF($E8="正規職員","正",IF($E8="契約上の就業時間を記載","",IF($E8&gt;=Q$5,"常",Q8))),"-"))</f>
        <v/>
      </c>
      <c r="AE8" s="86" t="str">
        <f>IF('②-1職員名簿'!W8="","",'②-1職員名簿'!W8)</f>
        <v/>
      </c>
      <c r="AG8" s="116">
        <v>5</v>
      </c>
      <c r="AH8" s="90">
        <f>G5</f>
        <v>0</v>
      </c>
      <c r="AJ8" s="17" t="str">
        <f t="shared" ref="AJ8:AJ16" si="11">IF(AND($C8="常勤的非常勤",$E8&lt;F$5),"×",IF(AND($C8="短時間非常勤",F$5&lt;=$E8),"×",IF(AND($C8="嘱託常勤",$E8&lt;F$5),"×",IF(AND($C8="嘱託非常勤",F$5&lt;=$E8),"×","○"))))</f>
        <v>○</v>
      </c>
      <c r="AK8" s="17" t="str">
        <f t="shared" si="10"/>
        <v>○</v>
      </c>
      <c r="AL8" s="17" t="str">
        <f t="shared" si="10"/>
        <v>○</v>
      </c>
      <c r="AM8" s="17" t="str">
        <f t="shared" si="10"/>
        <v>○</v>
      </c>
      <c r="AN8" s="17" t="str">
        <f t="shared" si="10"/>
        <v>○</v>
      </c>
      <c r="AO8" s="17" t="str">
        <f t="shared" si="10"/>
        <v>○</v>
      </c>
      <c r="AP8" s="17" t="str">
        <f t="shared" si="10"/>
        <v>○</v>
      </c>
      <c r="AQ8" s="17" t="str">
        <f t="shared" si="10"/>
        <v>○</v>
      </c>
      <c r="AR8" s="17" t="str">
        <f t="shared" si="10"/>
        <v>○</v>
      </c>
      <c r="AS8" s="17" t="str">
        <f t="shared" si="10"/>
        <v>○</v>
      </c>
      <c r="AT8" s="17" t="str">
        <f t="shared" si="10"/>
        <v>○</v>
      </c>
      <c r="AU8" s="17" t="str">
        <f t="shared" si="10"/>
        <v>○</v>
      </c>
    </row>
    <row r="9" spans="1:47" s="90" customFormat="1" ht="23.15" customHeight="1">
      <c r="A9" s="87">
        <v>3</v>
      </c>
      <c r="B9" s="86" t="str">
        <f>IF('②-1職員名簿'!E9="","",'②-1職員名簿'!Y9)</f>
        <v/>
      </c>
      <c r="C9" s="88" t="str">
        <f>'②-1職員名簿'!BE9</f>
        <v/>
      </c>
      <c r="D9" s="117" t="str">
        <f t="shared" si="9"/>
        <v/>
      </c>
      <c r="E9" s="18" t="str">
        <f>IF($B9="","",IF(AND('②-1職員名簿'!C9="正",'②-1職員名簿'!D9="常"),"正規職員","契約上の就業時間を記載"))</f>
        <v/>
      </c>
      <c r="F9" s="9" t="str">
        <f>IF($B9="","",IF(OR('②-1職員名簿'!AC9="○",'②-1職員名簿'!AC9="●"),IF($E9="正規職員","正",IF($E9="契約上の就業時間を記載","","見込を入力")),"-"))</f>
        <v/>
      </c>
      <c r="G9" s="9" t="str">
        <f>IF($B9="","",IF(OR('②-1職員名簿'!AD9="○",'②-1職員名簿'!AD9="●"),IF($E9="正規職員","正",IF($E9="契約上の就業時間を記載","","実績を入力")),"-"))</f>
        <v/>
      </c>
      <c r="H9" s="9" t="str">
        <f>IF($B9="","",IF(OR('②-1職員名簿'!AE9="○",'②-1職員名簿'!AE9="●"),IF($E9="正規職員","正",IF($E9="契約上の就業時間を記載","","実績を入力")),"-"))</f>
        <v/>
      </c>
      <c r="I9" s="9" t="str">
        <f>IF($B9="","",IF(OR('②-1職員名簿'!AF9="○",'②-1職員名簿'!AF9="●"),IF($E9="正規職員","正",IF($E9="契約上の就業時間を記載","","実績を入力")),"-"))</f>
        <v/>
      </c>
      <c r="J9" s="9" t="str">
        <f>IF($B9="","",IF(OR('②-1職員名簿'!AG9="○",'②-1職員名簿'!AG9="●"),IF($E9="正規職員","正",IF($E9="契約上の就業時間を記載","","実績を入力")),"-"))</f>
        <v/>
      </c>
      <c r="K9" s="9" t="str">
        <f>IF($B9="","",IF(OR('②-1職員名簿'!AH9="○",'②-1職員名簿'!AH9="●"),IF($E9="正規職員","正",IF($E9="契約上の就業時間を記載","","実績を入力")),"-"))</f>
        <v/>
      </c>
      <c r="L9" s="9" t="str">
        <f>IF($B9="","",IF(OR('②-1職員名簿'!AI9="○",'②-1職員名簿'!AI9="●"),IF($E9="正規職員","正",IF($E9="契約上の就業時間を記載","","実績を入力")),"-"))</f>
        <v/>
      </c>
      <c r="M9" s="9" t="str">
        <f>IF($B9="","",IF(OR('②-1職員名簿'!AJ9="○",'②-1職員名簿'!AJ9="●"),IF($E9="正規職員","正",IF($E9="契約上の就業時間を記載","","実績を入力")),"-"))</f>
        <v/>
      </c>
      <c r="N9" s="9" t="str">
        <f>IF($B9="","",IF(OR('②-1職員名簿'!AK9="○",'②-1職員名簿'!AK9="●"),IF($E9="正規職員","正",IF($E9="契約上の就業時間を記載","","実績を入力")),"-"))</f>
        <v/>
      </c>
      <c r="O9" s="9" t="str">
        <f>IF($B9="","",IF(OR('②-1職員名簿'!AL9="○",'②-1職員名簿'!AL9="●"),IF($E9="正規職員","正",IF($E9="契約上の就業時間を記載","","実績を入力")),"-"))</f>
        <v/>
      </c>
      <c r="P9" s="9" t="str">
        <f>IF($B9="","",IF(OR('②-1職員名簿'!AM9="○",'②-1職員名簿'!AM9="●"),IF($E9="正規職員","正",IF($E9="契約上の就業時間を記載","","実績を入力")),"-"))</f>
        <v/>
      </c>
      <c r="Q9" s="9" t="str">
        <f>IF($B9="","",IF(OR('②-1職員名簿'!AN9="○",'②-1職員名簿'!AN9="●"),IF($E9="正規職員","正",IF($E9="契約上の就業時間を記載","","見込を入力")),"-"))</f>
        <v/>
      </c>
      <c r="R9" s="88" t="str">
        <f>IF($B9="","",IF(OR('②-1職員名簿'!AC9="○",'②-1職員名簿'!AC9="●"),IF($E9="正規職員","正",IF($E9="契約上の就業時間を記載","",IF($E9&gt;=F$5,"常",F9))),"-"))</f>
        <v/>
      </c>
      <c r="S9" s="88" t="str">
        <f>IF($B9="","",IF(OR('②-1職員名簿'!AD9="○",'②-1職員名簿'!AD9="●"),IF($E9="正規職員","正",IF($E9="契約上の就業時間を記載","",IF($E9&gt;=G$5,"常",G9))),"-"))</f>
        <v/>
      </c>
      <c r="T9" s="88" t="str">
        <f>IF($B9="","",IF(OR('②-1職員名簿'!AE9="○",'②-1職員名簿'!AE9="●"),IF($E9="正規職員","正",IF($E9="契約上の就業時間を記載","",IF($E9&gt;=H$5,"常",H9))),"-"))</f>
        <v/>
      </c>
      <c r="U9" s="88" t="str">
        <f>IF($B9="","",IF(OR('②-1職員名簿'!AF9="○",'②-1職員名簿'!AF9="●"),IF($E9="正規職員","正",IF($E9="契約上の就業時間を記載","",IF($E9&gt;=I$5,"常",I9))),"-"))</f>
        <v/>
      </c>
      <c r="V9" s="88" t="str">
        <f>IF($B9="","",IF(OR('②-1職員名簿'!AG9="○",'②-1職員名簿'!AG9="●"),IF($E9="正規職員","正",IF($E9="契約上の就業時間を記載","",IF($E9&gt;=J$5,"常",J9))),"-"))</f>
        <v/>
      </c>
      <c r="W9" s="88" t="str">
        <f>IF($B9="","",IF(OR('②-1職員名簿'!AH9="○",'②-1職員名簿'!AH9="●"),IF($E9="正規職員","正",IF($E9="契約上の就業時間を記載","",IF($E9&gt;=K$5,"常",K9))),"-"))</f>
        <v/>
      </c>
      <c r="X9" s="88" t="str">
        <f>IF($B9="","",IF(OR('②-1職員名簿'!AI9="○",'②-1職員名簿'!AI9="●"),IF($E9="正規職員","正",IF($E9="契約上の就業時間を記載","",IF($E9&gt;=L$5,"常",L9))),"-"))</f>
        <v/>
      </c>
      <c r="Y9" s="88" t="str">
        <f>IF($B9="","",IF(OR('②-1職員名簿'!AJ9="○",'②-1職員名簿'!AJ9="●"),IF($E9="正規職員","正",IF($E9="契約上の就業時間を記載","",IF($E9&gt;=M$5,"常",M9))),"-"))</f>
        <v/>
      </c>
      <c r="Z9" s="88" t="str">
        <f>IF($B9="","",IF(OR('②-1職員名簿'!AK9="○",'②-1職員名簿'!AK9="●"),IF($E9="正規職員","正",IF($E9="契約上の就業時間を記載","",IF($E9&gt;=N$5,"常",N9))),"-"))</f>
        <v/>
      </c>
      <c r="AA9" s="88" t="str">
        <f>IF($B9="","",IF(OR('②-1職員名簿'!AL9="○",'②-1職員名簿'!AL9="●"),IF($E9="正規職員","正",IF($E9="契約上の就業時間を記載","",IF($E9&gt;=O$5,"常",O9))),"-"))</f>
        <v/>
      </c>
      <c r="AB9" s="88" t="str">
        <f>IF($B9="","",IF(OR('②-1職員名簿'!AM9="○",'②-1職員名簿'!AM9="●"),IF($E9="正規職員","正",IF($E9="契約上の就業時間を記載","",IF($E9&gt;=P$5,"常",P9))),"-"))</f>
        <v/>
      </c>
      <c r="AC9" s="88" t="str">
        <f>IF($B9="","",IF(OR('②-1職員名簿'!AN9="○",'②-1職員名簿'!AN9="●"),IF($E9="正規職員","正",IF($E9="契約上の就業時間を記載","",IF($E9&gt;=Q$5,"常",Q9))),"-"))</f>
        <v/>
      </c>
      <c r="AE9" s="86" t="str">
        <f>IF('②-1職員名簿'!W9="","",'②-1職員名簿'!W9)</f>
        <v/>
      </c>
      <c r="AG9" s="116">
        <v>6</v>
      </c>
      <c r="AH9" s="90">
        <f>H5</f>
        <v>0</v>
      </c>
      <c r="AJ9" s="17" t="str">
        <f t="shared" si="11"/>
        <v>○</v>
      </c>
      <c r="AK9" s="17" t="str">
        <f t="shared" si="10"/>
        <v>○</v>
      </c>
      <c r="AL9" s="17" t="str">
        <f t="shared" si="10"/>
        <v>○</v>
      </c>
      <c r="AM9" s="17" t="str">
        <f t="shared" si="10"/>
        <v>○</v>
      </c>
      <c r="AN9" s="17" t="str">
        <f t="shared" si="10"/>
        <v>○</v>
      </c>
      <c r="AO9" s="17" t="str">
        <f t="shared" si="10"/>
        <v>○</v>
      </c>
      <c r="AP9" s="17" t="str">
        <f t="shared" si="10"/>
        <v>○</v>
      </c>
      <c r="AQ9" s="17" t="str">
        <f t="shared" si="10"/>
        <v>○</v>
      </c>
      <c r="AR9" s="17" t="str">
        <f t="shared" si="10"/>
        <v>○</v>
      </c>
      <c r="AS9" s="17" t="str">
        <f t="shared" si="10"/>
        <v>○</v>
      </c>
      <c r="AT9" s="17" t="str">
        <f t="shared" si="10"/>
        <v>○</v>
      </c>
      <c r="AU9" s="17" t="str">
        <f t="shared" si="10"/>
        <v>○</v>
      </c>
    </row>
    <row r="10" spans="1:47" s="90" customFormat="1" ht="23.15" customHeight="1">
      <c r="A10" s="87">
        <v>4</v>
      </c>
      <c r="B10" s="86" t="str">
        <f>IF('②-1職員名簿'!E10="","",'②-1職員名簿'!Y10)</f>
        <v/>
      </c>
      <c r="C10" s="88" t="str">
        <f>'②-1職員名簿'!BE10</f>
        <v/>
      </c>
      <c r="D10" s="117" t="str">
        <f t="shared" si="9"/>
        <v/>
      </c>
      <c r="E10" s="18" t="str">
        <f>IF($B10="","",IF(AND('②-1職員名簿'!C10="正",'②-1職員名簿'!D10="常"),"正規職員","契約上の就業時間を記載"))</f>
        <v/>
      </c>
      <c r="F10" s="9" t="str">
        <f>IF($B10="","",IF(OR('②-1職員名簿'!AC10="○",'②-1職員名簿'!AC10="●"),IF($E10="正規職員","正",IF($E10="契約上の就業時間を記載","","見込を入力")),"-"))</f>
        <v/>
      </c>
      <c r="G10" s="9" t="str">
        <f>IF($B10="","",IF(OR('②-1職員名簿'!AD10="○",'②-1職員名簿'!AD10="●"),IF($E10="正規職員","正",IF($E10="契約上の就業時間を記載","","実績を入力")),"-"))</f>
        <v/>
      </c>
      <c r="H10" s="9" t="str">
        <f>IF($B10="","",IF(OR('②-1職員名簿'!AE10="○",'②-1職員名簿'!AE10="●"),IF($E10="正規職員","正",IF($E10="契約上の就業時間を記載","","実績を入力")),"-"))</f>
        <v/>
      </c>
      <c r="I10" s="9" t="str">
        <f>IF($B10="","",IF(OR('②-1職員名簿'!AF10="○",'②-1職員名簿'!AF10="●"),IF($E10="正規職員","正",IF($E10="契約上の就業時間を記載","","実績を入力")),"-"))</f>
        <v/>
      </c>
      <c r="J10" s="9" t="str">
        <f>IF($B10="","",IF(OR('②-1職員名簿'!AG10="○",'②-1職員名簿'!AG10="●"),IF($E10="正規職員","正",IF($E10="契約上の就業時間を記載","","実績を入力")),"-"))</f>
        <v/>
      </c>
      <c r="K10" s="9" t="str">
        <f>IF($B10="","",IF(OR('②-1職員名簿'!AH10="○",'②-1職員名簿'!AH10="●"),IF($E10="正規職員","正",IF($E10="契約上の就業時間を記載","","実績を入力")),"-"))</f>
        <v/>
      </c>
      <c r="L10" s="9" t="str">
        <f>IF($B10="","",IF(OR('②-1職員名簿'!AI10="○",'②-1職員名簿'!AI10="●"),IF($E10="正規職員","正",IF($E10="契約上の就業時間を記載","","実績を入力")),"-"))</f>
        <v/>
      </c>
      <c r="M10" s="9" t="str">
        <f>IF($B10="","",IF(OR('②-1職員名簿'!AJ10="○",'②-1職員名簿'!AJ10="●"),IF($E10="正規職員","正",IF($E10="契約上の就業時間を記載","","実績を入力")),"-"))</f>
        <v/>
      </c>
      <c r="N10" s="9" t="str">
        <f>IF($B10="","",IF(OR('②-1職員名簿'!AK10="○",'②-1職員名簿'!AK10="●"),IF($E10="正規職員","正",IF($E10="契約上の就業時間を記載","","実績を入力")),"-"))</f>
        <v/>
      </c>
      <c r="O10" s="9" t="str">
        <f>IF($B10="","",IF(OR('②-1職員名簿'!AL10="○",'②-1職員名簿'!AL10="●"),IF($E10="正規職員","正",IF($E10="契約上の就業時間を記載","","実績を入力")),"-"))</f>
        <v/>
      </c>
      <c r="P10" s="9" t="str">
        <f>IF($B10="","",IF(OR('②-1職員名簿'!AM10="○",'②-1職員名簿'!AM10="●"),IF($E10="正規職員","正",IF($E10="契約上の就業時間を記載","","実績を入力")),"-"))</f>
        <v/>
      </c>
      <c r="Q10" s="9" t="str">
        <f>IF($B10="","",IF(OR('②-1職員名簿'!AN10="○",'②-1職員名簿'!AN10="●"),IF($E10="正規職員","正",IF($E10="契約上の就業時間を記載","","見込を入力")),"-"))</f>
        <v/>
      </c>
      <c r="R10" s="88" t="str">
        <f>IF($B10="","",IF(OR('②-1職員名簿'!AC10="○",'②-1職員名簿'!AC10="●"),IF($E10="正規職員","正",IF($E10="契約上の就業時間を記載","",IF($E10&gt;=F$5,"常",F10))),"-"))</f>
        <v/>
      </c>
      <c r="S10" s="88" t="str">
        <f>IF($B10="","",IF(OR('②-1職員名簿'!AD10="○",'②-1職員名簿'!AD10="●"),IF($E10="正規職員","正",IF($E10="契約上の就業時間を記載","",IF($E10&gt;=G$5,"常",G10))),"-"))</f>
        <v/>
      </c>
      <c r="T10" s="88" t="str">
        <f>IF($B10="","",IF(OR('②-1職員名簿'!AE10="○",'②-1職員名簿'!AE10="●"),IF($E10="正規職員","正",IF($E10="契約上の就業時間を記載","",IF($E10&gt;=H$5,"常",H10))),"-"))</f>
        <v/>
      </c>
      <c r="U10" s="88" t="str">
        <f>IF($B10="","",IF(OR('②-1職員名簿'!AF10="○",'②-1職員名簿'!AF10="●"),IF($E10="正規職員","正",IF($E10="契約上の就業時間を記載","",IF($E10&gt;=I$5,"常",I10))),"-"))</f>
        <v/>
      </c>
      <c r="V10" s="88" t="str">
        <f>IF($B10="","",IF(OR('②-1職員名簿'!AG10="○",'②-1職員名簿'!AG10="●"),IF($E10="正規職員","正",IF($E10="契約上の就業時間を記載","",IF($E10&gt;=J$5,"常",J10))),"-"))</f>
        <v/>
      </c>
      <c r="W10" s="88" t="str">
        <f>IF($B10="","",IF(OR('②-1職員名簿'!AH10="○",'②-1職員名簿'!AH10="●"),IF($E10="正規職員","正",IF($E10="契約上の就業時間を記載","",IF($E10&gt;=K$5,"常",K10))),"-"))</f>
        <v/>
      </c>
      <c r="X10" s="88" t="str">
        <f>IF($B10="","",IF(OR('②-1職員名簿'!AI10="○",'②-1職員名簿'!AI10="●"),IF($E10="正規職員","正",IF($E10="契約上の就業時間を記載","",IF($E10&gt;=L$5,"常",L10))),"-"))</f>
        <v/>
      </c>
      <c r="Y10" s="88" t="str">
        <f>IF($B10="","",IF(OR('②-1職員名簿'!AJ10="○",'②-1職員名簿'!AJ10="●"),IF($E10="正規職員","正",IF($E10="契約上の就業時間を記載","",IF($E10&gt;=M$5,"常",M10))),"-"))</f>
        <v/>
      </c>
      <c r="Z10" s="88" t="str">
        <f>IF($B10="","",IF(OR('②-1職員名簿'!AK10="○",'②-1職員名簿'!AK10="●"),IF($E10="正規職員","正",IF($E10="契約上の就業時間を記載","",IF($E10&gt;=N$5,"常",N10))),"-"))</f>
        <v/>
      </c>
      <c r="AA10" s="88" t="str">
        <f>IF($B10="","",IF(OR('②-1職員名簿'!AL10="○",'②-1職員名簿'!AL10="●"),IF($E10="正規職員","正",IF($E10="契約上の就業時間を記載","",IF($E10&gt;=O$5,"常",O10))),"-"))</f>
        <v/>
      </c>
      <c r="AB10" s="88" t="str">
        <f>IF($B10="","",IF(OR('②-1職員名簿'!AM10="○",'②-1職員名簿'!AM10="●"),IF($E10="正規職員","正",IF($E10="契約上の就業時間を記載","",IF($E10&gt;=P$5,"常",P10))),"-"))</f>
        <v/>
      </c>
      <c r="AC10" s="88" t="str">
        <f>IF($B10="","",IF(OR('②-1職員名簿'!AN10="○",'②-1職員名簿'!AN10="●"),IF($E10="正規職員","正",IF($E10="契約上の就業時間を記載","",IF($E10&gt;=Q$5,"常",Q10))),"-"))</f>
        <v/>
      </c>
      <c r="AE10" s="86" t="str">
        <f>IF('②-1職員名簿'!W10="","",'②-1職員名簿'!W10)</f>
        <v/>
      </c>
      <c r="AG10" s="116">
        <v>7</v>
      </c>
      <c r="AH10" s="90">
        <f>I5</f>
        <v>0</v>
      </c>
      <c r="AJ10" s="17" t="str">
        <f t="shared" si="11"/>
        <v>○</v>
      </c>
      <c r="AK10" s="17" t="str">
        <f t="shared" si="10"/>
        <v>○</v>
      </c>
      <c r="AL10" s="17" t="str">
        <f t="shared" si="10"/>
        <v>○</v>
      </c>
      <c r="AM10" s="17" t="str">
        <f t="shared" si="10"/>
        <v>○</v>
      </c>
      <c r="AN10" s="17" t="str">
        <f t="shared" si="10"/>
        <v>○</v>
      </c>
      <c r="AO10" s="17" t="str">
        <f t="shared" si="10"/>
        <v>○</v>
      </c>
      <c r="AP10" s="17" t="str">
        <f t="shared" si="10"/>
        <v>○</v>
      </c>
      <c r="AQ10" s="17" t="str">
        <f t="shared" si="10"/>
        <v>○</v>
      </c>
      <c r="AR10" s="17" t="str">
        <f t="shared" si="10"/>
        <v>○</v>
      </c>
      <c r="AS10" s="17" t="str">
        <f t="shared" si="10"/>
        <v>○</v>
      </c>
      <c r="AT10" s="17" t="str">
        <f t="shared" si="10"/>
        <v>○</v>
      </c>
      <c r="AU10" s="17" t="str">
        <f t="shared" si="10"/>
        <v>○</v>
      </c>
    </row>
    <row r="11" spans="1:47" s="90" customFormat="1" ht="23.15" customHeight="1">
      <c r="A11" s="87">
        <v>5</v>
      </c>
      <c r="B11" s="86" t="str">
        <f>IF('②-1職員名簿'!E11="","",'②-1職員名簿'!Y11)</f>
        <v/>
      </c>
      <c r="C11" s="88" t="str">
        <f>'②-1職員名簿'!BE11</f>
        <v/>
      </c>
      <c r="D11" s="117" t="str">
        <f t="shared" si="9"/>
        <v/>
      </c>
      <c r="E11" s="18" t="str">
        <f>IF($B11="","",IF(AND('②-1職員名簿'!C11="正",'②-1職員名簿'!D11="常"),"正規職員","契約上の就業時間を記載"))</f>
        <v/>
      </c>
      <c r="F11" s="9" t="str">
        <f>IF($B11="","",IF(OR('②-1職員名簿'!AC11="○",'②-1職員名簿'!AC11="●"),IF($E11="正規職員","正",IF($E11="契約上の就業時間を記載","","見込を入力")),"-"))</f>
        <v/>
      </c>
      <c r="G11" s="9" t="str">
        <f>IF($B11="","",IF(OR('②-1職員名簿'!AD11="○",'②-1職員名簿'!AD11="●"),IF($E11="正規職員","正",IF($E11="契約上の就業時間を記載","","実績を入力")),"-"))</f>
        <v/>
      </c>
      <c r="H11" s="9" t="str">
        <f>IF($B11="","",IF(OR('②-1職員名簿'!AE11="○",'②-1職員名簿'!AE11="●"),IF($E11="正規職員","正",IF($E11="契約上の就業時間を記載","","実績を入力")),"-"))</f>
        <v/>
      </c>
      <c r="I11" s="9" t="str">
        <f>IF($B11="","",IF(OR('②-1職員名簿'!AF11="○",'②-1職員名簿'!AF11="●"),IF($E11="正規職員","正",IF($E11="契約上の就業時間を記載","","実績を入力")),"-"))</f>
        <v/>
      </c>
      <c r="J11" s="9" t="str">
        <f>IF($B11="","",IF(OR('②-1職員名簿'!AG11="○",'②-1職員名簿'!AG11="●"),IF($E11="正規職員","正",IF($E11="契約上の就業時間を記載","","実績を入力")),"-"))</f>
        <v/>
      </c>
      <c r="K11" s="9" t="str">
        <f>IF($B11="","",IF(OR('②-1職員名簿'!AH11="○",'②-1職員名簿'!AH11="●"),IF($E11="正規職員","正",IF($E11="契約上の就業時間を記載","","実績を入力")),"-"))</f>
        <v/>
      </c>
      <c r="L11" s="9" t="str">
        <f>IF($B11="","",IF(OR('②-1職員名簿'!AI11="○",'②-1職員名簿'!AI11="●"),IF($E11="正規職員","正",IF($E11="契約上の就業時間を記載","","実績を入力")),"-"))</f>
        <v/>
      </c>
      <c r="M11" s="9" t="str">
        <f>IF($B11="","",IF(OR('②-1職員名簿'!AJ11="○",'②-1職員名簿'!AJ11="●"),IF($E11="正規職員","正",IF($E11="契約上の就業時間を記載","","実績を入力")),"-"))</f>
        <v/>
      </c>
      <c r="N11" s="9" t="str">
        <f>IF($B11="","",IF(OR('②-1職員名簿'!AK11="○",'②-1職員名簿'!AK11="●"),IF($E11="正規職員","正",IF($E11="契約上の就業時間を記載","","実績を入力")),"-"))</f>
        <v/>
      </c>
      <c r="O11" s="9" t="str">
        <f>IF($B11="","",IF(OR('②-1職員名簿'!AL11="○",'②-1職員名簿'!AL11="●"),IF($E11="正規職員","正",IF($E11="契約上の就業時間を記載","","実績を入力")),"-"))</f>
        <v/>
      </c>
      <c r="P11" s="9" t="str">
        <f>IF($B11="","",IF(OR('②-1職員名簿'!AM11="○",'②-1職員名簿'!AM11="●"),IF($E11="正規職員","正",IF($E11="契約上の就業時間を記載","","実績を入力")),"-"))</f>
        <v/>
      </c>
      <c r="Q11" s="9" t="str">
        <f>IF($B11="","",IF(OR('②-1職員名簿'!AN11="○",'②-1職員名簿'!AN11="●"),IF($E11="正規職員","正",IF($E11="契約上の就業時間を記載","","見込を入力")),"-"))</f>
        <v/>
      </c>
      <c r="R11" s="88" t="str">
        <f>IF($B11="","",IF(OR('②-1職員名簿'!AC11="○",'②-1職員名簿'!AC11="●"),IF($E11="正規職員","正",IF($E11="契約上の就業時間を記載","",IF($E11&gt;=F$5,"常",F11))),"-"))</f>
        <v/>
      </c>
      <c r="S11" s="88" t="str">
        <f>IF($B11="","",IF(OR('②-1職員名簿'!AD11="○",'②-1職員名簿'!AD11="●"),IF($E11="正規職員","正",IF($E11="契約上の就業時間を記載","",IF($E11&gt;=G$5,"常",G11))),"-"))</f>
        <v/>
      </c>
      <c r="T11" s="88" t="str">
        <f>IF($B11="","",IF(OR('②-1職員名簿'!AE11="○",'②-1職員名簿'!AE11="●"),IF($E11="正規職員","正",IF($E11="契約上の就業時間を記載","",IF($E11&gt;=H$5,"常",H11))),"-"))</f>
        <v/>
      </c>
      <c r="U11" s="88" t="str">
        <f>IF($B11="","",IF(OR('②-1職員名簿'!AF11="○",'②-1職員名簿'!AF11="●"),IF($E11="正規職員","正",IF($E11="契約上の就業時間を記載","",IF($E11&gt;=I$5,"常",I11))),"-"))</f>
        <v/>
      </c>
      <c r="V11" s="88" t="str">
        <f>IF($B11="","",IF(OR('②-1職員名簿'!AG11="○",'②-1職員名簿'!AG11="●"),IF($E11="正規職員","正",IF($E11="契約上の就業時間を記載","",IF($E11&gt;=J$5,"常",J11))),"-"))</f>
        <v/>
      </c>
      <c r="W11" s="88" t="str">
        <f>IF($B11="","",IF(OR('②-1職員名簿'!AH11="○",'②-1職員名簿'!AH11="●"),IF($E11="正規職員","正",IF($E11="契約上の就業時間を記載","",IF($E11&gt;=K$5,"常",K11))),"-"))</f>
        <v/>
      </c>
      <c r="X11" s="88" t="str">
        <f>IF($B11="","",IF(OR('②-1職員名簿'!AI11="○",'②-1職員名簿'!AI11="●"),IF($E11="正規職員","正",IF($E11="契約上の就業時間を記載","",IF($E11&gt;=L$5,"常",L11))),"-"))</f>
        <v/>
      </c>
      <c r="Y11" s="88" t="str">
        <f>IF($B11="","",IF(OR('②-1職員名簿'!AJ11="○",'②-1職員名簿'!AJ11="●"),IF($E11="正規職員","正",IF($E11="契約上の就業時間を記載","",IF($E11&gt;=M$5,"常",M11))),"-"))</f>
        <v/>
      </c>
      <c r="Z11" s="88" t="str">
        <f>IF($B11="","",IF(OR('②-1職員名簿'!AK11="○",'②-1職員名簿'!AK11="●"),IF($E11="正規職員","正",IF($E11="契約上の就業時間を記載","",IF($E11&gt;=N$5,"常",N11))),"-"))</f>
        <v/>
      </c>
      <c r="AA11" s="88" t="str">
        <f>IF($B11="","",IF(OR('②-1職員名簿'!AL11="○",'②-1職員名簿'!AL11="●"),IF($E11="正規職員","正",IF($E11="契約上の就業時間を記載","",IF($E11&gt;=O$5,"常",O11))),"-"))</f>
        <v/>
      </c>
      <c r="AB11" s="88" t="str">
        <f>IF($B11="","",IF(OR('②-1職員名簿'!AM11="○",'②-1職員名簿'!AM11="●"),IF($E11="正規職員","正",IF($E11="契約上の就業時間を記載","",IF($E11&gt;=P$5,"常",P11))),"-"))</f>
        <v/>
      </c>
      <c r="AC11" s="88" t="str">
        <f>IF($B11="","",IF(OR('②-1職員名簿'!AN11="○",'②-1職員名簿'!AN11="●"),IF($E11="正規職員","正",IF($E11="契約上の就業時間を記載","",IF($E11&gt;=Q$5,"常",Q11))),"-"))</f>
        <v/>
      </c>
      <c r="AE11" s="86" t="str">
        <f>IF('②-1職員名簿'!W11="","",'②-1職員名簿'!W11)</f>
        <v/>
      </c>
      <c r="AG11" s="116">
        <v>8</v>
      </c>
      <c r="AH11" s="90">
        <f>J5</f>
        <v>0</v>
      </c>
      <c r="AJ11" s="17" t="str">
        <f t="shared" si="11"/>
        <v>○</v>
      </c>
      <c r="AK11" s="17" t="str">
        <f t="shared" si="10"/>
        <v>○</v>
      </c>
      <c r="AL11" s="17" t="str">
        <f t="shared" si="10"/>
        <v>○</v>
      </c>
      <c r="AM11" s="17" t="str">
        <f t="shared" si="10"/>
        <v>○</v>
      </c>
      <c r="AN11" s="17" t="str">
        <f t="shared" si="10"/>
        <v>○</v>
      </c>
      <c r="AO11" s="17" t="str">
        <f t="shared" si="10"/>
        <v>○</v>
      </c>
      <c r="AP11" s="17" t="str">
        <f t="shared" si="10"/>
        <v>○</v>
      </c>
      <c r="AQ11" s="17" t="str">
        <f t="shared" si="10"/>
        <v>○</v>
      </c>
      <c r="AR11" s="17" t="str">
        <f t="shared" si="10"/>
        <v>○</v>
      </c>
      <c r="AS11" s="17" t="str">
        <f t="shared" si="10"/>
        <v>○</v>
      </c>
      <c r="AT11" s="17" t="str">
        <f t="shared" si="10"/>
        <v>○</v>
      </c>
      <c r="AU11" s="17" t="str">
        <f t="shared" si="10"/>
        <v>○</v>
      </c>
    </row>
    <row r="12" spans="1:47" s="90" customFormat="1" ht="23.15" customHeight="1">
      <c r="A12" s="87">
        <v>6</v>
      </c>
      <c r="B12" s="86" t="str">
        <f>IF('②-1職員名簿'!E12="","",'②-1職員名簿'!Y12)</f>
        <v/>
      </c>
      <c r="C12" s="88" t="str">
        <f>'②-1職員名簿'!BE12</f>
        <v/>
      </c>
      <c r="D12" s="117" t="str">
        <f t="shared" si="9"/>
        <v/>
      </c>
      <c r="E12" s="18" t="str">
        <f>IF($B12="","",IF(AND('②-1職員名簿'!C12="正",'②-1職員名簿'!D12="常"),"正規職員","契約上の就業時間を記載"))</f>
        <v/>
      </c>
      <c r="F12" s="9" t="str">
        <f>IF($B12="","",IF(OR('②-1職員名簿'!AC12="○",'②-1職員名簿'!AC12="●"),IF($E12="正規職員","正",IF($E12="契約上の就業時間を記載","","見込を入力")),"-"))</f>
        <v/>
      </c>
      <c r="G12" s="9" t="str">
        <f>IF($B12="","",IF(OR('②-1職員名簿'!AD12="○",'②-1職員名簿'!AD12="●"),IF($E12="正規職員","正",IF($E12="契約上の就業時間を記載","","実績を入力")),"-"))</f>
        <v/>
      </c>
      <c r="H12" s="9" t="str">
        <f>IF($B12="","",IF(OR('②-1職員名簿'!AE12="○",'②-1職員名簿'!AE12="●"),IF($E12="正規職員","正",IF($E12="契約上の就業時間を記載","","実績を入力")),"-"))</f>
        <v/>
      </c>
      <c r="I12" s="9" t="str">
        <f>IF($B12="","",IF(OR('②-1職員名簿'!AF12="○",'②-1職員名簿'!AF12="●"),IF($E12="正規職員","正",IF($E12="契約上の就業時間を記載","","実績を入力")),"-"))</f>
        <v/>
      </c>
      <c r="J12" s="9" t="str">
        <f>IF($B12="","",IF(OR('②-1職員名簿'!AG12="○",'②-1職員名簿'!AG12="●"),IF($E12="正規職員","正",IF($E12="契約上の就業時間を記載","","実績を入力")),"-"))</f>
        <v/>
      </c>
      <c r="K12" s="9" t="str">
        <f>IF($B12="","",IF(OR('②-1職員名簿'!AH12="○",'②-1職員名簿'!AH12="●"),IF($E12="正規職員","正",IF($E12="契約上の就業時間を記載","","実績を入力")),"-"))</f>
        <v/>
      </c>
      <c r="L12" s="9" t="str">
        <f>IF($B12="","",IF(OR('②-1職員名簿'!AI12="○",'②-1職員名簿'!AI12="●"),IF($E12="正規職員","正",IF($E12="契約上の就業時間を記載","","実績を入力")),"-"))</f>
        <v/>
      </c>
      <c r="M12" s="9" t="str">
        <f>IF($B12="","",IF(OR('②-1職員名簿'!AJ12="○",'②-1職員名簿'!AJ12="●"),IF($E12="正規職員","正",IF($E12="契約上の就業時間を記載","","実績を入力")),"-"))</f>
        <v/>
      </c>
      <c r="N12" s="9" t="str">
        <f>IF($B12="","",IF(OR('②-1職員名簿'!AK12="○",'②-1職員名簿'!AK12="●"),IF($E12="正規職員","正",IF($E12="契約上の就業時間を記載","","実績を入力")),"-"))</f>
        <v/>
      </c>
      <c r="O12" s="9" t="str">
        <f>IF($B12="","",IF(OR('②-1職員名簿'!AL12="○",'②-1職員名簿'!AL12="●"),IF($E12="正規職員","正",IF($E12="契約上の就業時間を記載","","実績を入力")),"-"))</f>
        <v/>
      </c>
      <c r="P12" s="9" t="str">
        <f>IF($B12="","",IF(OR('②-1職員名簿'!AM12="○",'②-1職員名簿'!AM12="●"),IF($E12="正規職員","正",IF($E12="契約上の就業時間を記載","","実績を入力")),"-"))</f>
        <v/>
      </c>
      <c r="Q12" s="9" t="str">
        <f>IF($B12="","",IF(OR('②-1職員名簿'!AN12="○",'②-1職員名簿'!AN12="●"),IF($E12="正規職員","正",IF($E12="契約上の就業時間を記載","","見込を入力")),"-"))</f>
        <v/>
      </c>
      <c r="R12" s="88" t="str">
        <f>IF($B12="","",IF(OR('②-1職員名簿'!AC12="○",'②-1職員名簿'!AC12="●"),IF($E12="正規職員","正",IF($E12="契約上の就業時間を記載","",IF($E12&gt;=F$5,"常",F12))),"-"))</f>
        <v/>
      </c>
      <c r="S12" s="88" t="str">
        <f>IF($B12="","",IF(OR('②-1職員名簿'!AD12="○",'②-1職員名簿'!AD12="●"),IF($E12="正規職員","正",IF($E12="契約上の就業時間を記載","",IF($E12&gt;=G$5,"常",G12))),"-"))</f>
        <v/>
      </c>
      <c r="T12" s="88" t="str">
        <f>IF($B12="","",IF(OR('②-1職員名簿'!AE12="○",'②-1職員名簿'!AE12="●"),IF($E12="正規職員","正",IF($E12="契約上の就業時間を記載","",IF($E12&gt;=H$5,"常",H12))),"-"))</f>
        <v/>
      </c>
      <c r="U12" s="88" t="str">
        <f>IF($B12="","",IF(OR('②-1職員名簿'!AF12="○",'②-1職員名簿'!AF12="●"),IF($E12="正規職員","正",IF($E12="契約上の就業時間を記載","",IF($E12&gt;=I$5,"常",I12))),"-"))</f>
        <v/>
      </c>
      <c r="V12" s="88" t="str">
        <f>IF($B12="","",IF(OR('②-1職員名簿'!AG12="○",'②-1職員名簿'!AG12="●"),IF($E12="正規職員","正",IF($E12="契約上の就業時間を記載","",IF($E12&gt;=J$5,"常",J12))),"-"))</f>
        <v/>
      </c>
      <c r="W12" s="88" t="str">
        <f>IF($B12="","",IF(OR('②-1職員名簿'!AH12="○",'②-1職員名簿'!AH12="●"),IF($E12="正規職員","正",IF($E12="契約上の就業時間を記載","",IF($E12&gt;=K$5,"常",K12))),"-"))</f>
        <v/>
      </c>
      <c r="X12" s="88" t="str">
        <f>IF($B12="","",IF(OR('②-1職員名簿'!AI12="○",'②-1職員名簿'!AI12="●"),IF($E12="正規職員","正",IF($E12="契約上の就業時間を記載","",IF($E12&gt;=L$5,"常",L12))),"-"))</f>
        <v/>
      </c>
      <c r="Y12" s="88" t="str">
        <f>IF($B12="","",IF(OR('②-1職員名簿'!AJ12="○",'②-1職員名簿'!AJ12="●"),IF($E12="正規職員","正",IF($E12="契約上の就業時間を記載","",IF($E12&gt;=M$5,"常",M12))),"-"))</f>
        <v/>
      </c>
      <c r="Z12" s="88" t="str">
        <f>IF($B12="","",IF(OR('②-1職員名簿'!AK12="○",'②-1職員名簿'!AK12="●"),IF($E12="正規職員","正",IF($E12="契約上の就業時間を記載","",IF($E12&gt;=N$5,"常",N12))),"-"))</f>
        <v/>
      </c>
      <c r="AA12" s="88" t="str">
        <f>IF($B12="","",IF(OR('②-1職員名簿'!AL12="○",'②-1職員名簿'!AL12="●"),IF($E12="正規職員","正",IF($E12="契約上の就業時間を記載","",IF($E12&gt;=O$5,"常",O12))),"-"))</f>
        <v/>
      </c>
      <c r="AB12" s="88" t="str">
        <f>IF($B12="","",IF(OR('②-1職員名簿'!AM12="○",'②-1職員名簿'!AM12="●"),IF($E12="正規職員","正",IF($E12="契約上の就業時間を記載","",IF($E12&gt;=P$5,"常",P12))),"-"))</f>
        <v/>
      </c>
      <c r="AC12" s="88" t="str">
        <f>IF($B12="","",IF(OR('②-1職員名簿'!AN12="○",'②-1職員名簿'!AN12="●"),IF($E12="正規職員","正",IF($E12="契約上の就業時間を記載","",IF($E12&gt;=Q$5,"常",Q12))),"-"))</f>
        <v/>
      </c>
      <c r="AE12" s="86" t="str">
        <f>IF('②-1職員名簿'!W12="","",'②-1職員名簿'!W12)</f>
        <v/>
      </c>
      <c r="AG12" s="116">
        <v>9</v>
      </c>
      <c r="AH12" s="90">
        <f>K5</f>
        <v>0</v>
      </c>
      <c r="AJ12" s="17" t="str">
        <f t="shared" si="11"/>
        <v>○</v>
      </c>
      <c r="AK12" s="17" t="str">
        <f t="shared" si="10"/>
        <v>○</v>
      </c>
      <c r="AL12" s="17" t="str">
        <f t="shared" si="10"/>
        <v>○</v>
      </c>
      <c r="AM12" s="17" t="str">
        <f t="shared" si="10"/>
        <v>○</v>
      </c>
      <c r="AN12" s="17" t="str">
        <f t="shared" si="10"/>
        <v>○</v>
      </c>
      <c r="AO12" s="17" t="str">
        <f t="shared" si="10"/>
        <v>○</v>
      </c>
      <c r="AP12" s="17" t="str">
        <f t="shared" si="10"/>
        <v>○</v>
      </c>
      <c r="AQ12" s="17" t="str">
        <f t="shared" si="10"/>
        <v>○</v>
      </c>
      <c r="AR12" s="17" t="str">
        <f t="shared" si="10"/>
        <v>○</v>
      </c>
      <c r="AS12" s="17" t="str">
        <f t="shared" si="10"/>
        <v>○</v>
      </c>
      <c r="AT12" s="17" t="str">
        <f t="shared" si="10"/>
        <v>○</v>
      </c>
      <c r="AU12" s="17" t="str">
        <f t="shared" si="10"/>
        <v>○</v>
      </c>
    </row>
    <row r="13" spans="1:47" s="90" customFormat="1" ht="23.15" customHeight="1">
      <c r="A13" s="87">
        <v>7</v>
      </c>
      <c r="B13" s="86" t="str">
        <f>IF('②-1職員名簿'!E13="","",'②-1職員名簿'!Y13)</f>
        <v/>
      </c>
      <c r="C13" s="88" t="str">
        <f>'②-1職員名簿'!BE13</f>
        <v/>
      </c>
      <c r="D13" s="117" t="str">
        <f t="shared" si="9"/>
        <v/>
      </c>
      <c r="E13" s="18" t="str">
        <f>IF($B13="","",IF(AND('②-1職員名簿'!C13="正",'②-1職員名簿'!D13="常"),"正規職員","契約上の就業時間を記載"))</f>
        <v/>
      </c>
      <c r="F13" s="9" t="str">
        <f>IF($B13="","",IF(OR('②-1職員名簿'!AC13="○",'②-1職員名簿'!AC13="●"),IF($E13="正規職員","正",IF($E13="契約上の就業時間を記載","","見込を入力")),"-"))</f>
        <v/>
      </c>
      <c r="G13" s="9" t="str">
        <f>IF($B13="","",IF(OR('②-1職員名簿'!AD13="○",'②-1職員名簿'!AD13="●"),IF($E13="正規職員","正",IF($E13="契約上の就業時間を記載","","実績を入力")),"-"))</f>
        <v/>
      </c>
      <c r="H13" s="9" t="str">
        <f>IF($B13="","",IF(OR('②-1職員名簿'!AE13="○",'②-1職員名簿'!AE13="●"),IF($E13="正規職員","正",IF($E13="契約上の就業時間を記載","","実績を入力")),"-"))</f>
        <v/>
      </c>
      <c r="I13" s="9" t="str">
        <f>IF($B13="","",IF(OR('②-1職員名簿'!AF13="○",'②-1職員名簿'!AF13="●"),IF($E13="正規職員","正",IF($E13="契約上の就業時間を記載","","実績を入力")),"-"))</f>
        <v/>
      </c>
      <c r="J13" s="9" t="str">
        <f>IF($B13="","",IF(OR('②-1職員名簿'!AG13="○",'②-1職員名簿'!AG13="●"),IF($E13="正規職員","正",IF($E13="契約上の就業時間を記載","","実績を入力")),"-"))</f>
        <v/>
      </c>
      <c r="K13" s="9" t="str">
        <f>IF($B13="","",IF(OR('②-1職員名簿'!AH13="○",'②-1職員名簿'!AH13="●"),IF($E13="正規職員","正",IF($E13="契約上の就業時間を記載","","実績を入力")),"-"))</f>
        <v/>
      </c>
      <c r="L13" s="9" t="str">
        <f>IF($B13="","",IF(OR('②-1職員名簿'!AI13="○",'②-1職員名簿'!AI13="●"),IF($E13="正規職員","正",IF($E13="契約上の就業時間を記載","","実績を入力")),"-"))</f>
        <v/>
      </c>
      <c r="M13" s="9" t="str">
        <f>IF($B13="","",IF(OR('②-1職員名簿'!AJ13="○",'②-1職員名簿'!AJ13="●"),IF($E13="正規職員","正",IF($E13="契約上の就業時間を記載","","実績を入力")),"-"))</f>
        <v/>
      </c>
      <c r="N13" s="9" t="str">
        <f>IF($B13="","",IF(OR('②-1職員名簿'!AK13="○",'②-1職員名簿'!AK13="●"),IF($E13="正規職員","正",IF($E13="契約上の就業時間を記載","","実績を入力")),"-"))</f>
        <v/>
      </c>
      <c r="O13" s="9" t="str">
        <f>IF($B13="","",IF(OR('②-1職員名簿'!AL13="○",'②-1職員名簿'!AL13="●"),IF($E13="正規職員","正",IF($E13="契約上の就業時間を記載","","実績を入力")),"-"))</f>
        <v/>
      </c>
      <c r="P13" s="9" t="str">
        <f>IF($B13="","",IF(OR('②-1職員名簿'!AM13="○",'②-1職員名簿'!AM13="●"),IF($E13="正規職員","正",IF($E13="契約上の就業時間を記載","","実績を入力")),"-"))</f>
        <v/>
      </c>
      <c r="Q13" s="9" t="str">
        <f>IF($B13="","",IF(OR('②-1職員名簿'!AN13="○",'②-1職員名簿'!AN13="●"),IF($E13="正規職員","正",IF($E13="契約上の就業時間を記載","","見込を入力")),"-"))</f>
        <v/>
      </c>
      <c r="R13" s="88" t="str">
        <f>IF($B13="","",IF(OR('②-1職員名簿'!AC13="○",'②-1職員名簿'!AC13="●"),IF($E13="正規職員","正",IF($E13="契約上の就業時間を記載","",IF($E13&gt;=F$5,"常",F13))),"-"))</f>
        <v/>
      </c>
      <c r="S13" s="88" t="str">
        <f>IF($B13="","",IF(OR('②-1職員名簿'!AD13="○",'②-1職員名簿'!AD13="●"),IF($E13="正規職員","正",IF($E13="契約上の就業時間を記載","",IF($E13&gt;=G$5,"常",G13))),"-"))</f>
        <v/>
      </c>
      <c r="T13" s="88" t="str">
        <f>IF($B13="","",IF(OR('②-1職員名簿'!AE13="○",'②-1職員名簿'!AE13="●"),IF($E13="正規職員","正",IF($E13="契約上の就業時間を記載","",IF($E13&gt;=H$5,"常",H13))),"-"))</f>
        <v/>
      </c>
      <c r="U13" s="88" t="str">
        <f>IF($B13="","",IF(OR('②-1職員名簿'!AF13="○",'②-1職員名簿'!AF13="●"),IF($E13="正規職員","正",IF($E13="契約上の就業時間を記載","",IF($E13&gt;=I$5,"常",I13))),"-"))</f>
        <v/>
      </c>
      <c r="V13" s="88" t="str">
        <f>IF($B13="","",IF(OR('②-1職員名簿'!AG13="○",'②-1職員名簿'!AG13="●"),IF($E13="正規職員","正",IF($E13="契約上の就業時間を記載","",IF($E13&gt;=J$5,"常",J13))),"-"))</f>
        <v/>
      </c>
      <c r="W13" s="88" t="str">
        <f>IF($B13="","",IF(OR('②-1職員名簿'!AH13="○",'②-1職員名簿'!AH13="●"),IF($E13="正規職員","正",IF($E13="契約上の就業時間を記載","",IF($E13&gt;=K$5,"常",K13))),"-"))</f>
        <v/>
      </c>
      <c r="X13" s="88" t="str">
        <f>IF($B13="","",IF(OR('②-1職員名簿'!AI13="○",'②-1職員名簿'!AI13="●"),IF($E13="正規職員","正",IF($E13="契約上の就業時間を記載","",IF($E13&gt;=L$5,"常",L13))),"-"))</f>
        <v/>
      </c>
      <c r="Y13" s="88" t="str">
        <f>IF($B13="","",IF(OR('②-1職員名簿'!AJ13="○",'②-1職員名簿'!AJ13="●"),IF($E13="正規職員","正",IF($E13="契約上の就業時間を記載","",IF($E13&gt;=M$5,"常",M13))),"-"))</f>
        <v/>
      </c>
      <c r="Z13" s="88" t="str">
        <f>IF($B13="","",IF(OR('②-1職員名簿'!AK13="○",'②-1職員名簿'!AK13="●"),IF($E13="正規職員","正",IF($E13="契約上の就業時間を記載","",IF($E13&gt;=N$5,"常",N13))),"-"))</f>
        <v/>
      </c>
      <c r="AA13" s="88" t="str">
        <f>IF($B13="","",IF(OR('②-1職員名簿'!AL13="○",'②-1職員名簿'!AL13="●"),IF($E13="正規職員","正",IF($E13="契約上の就業時間を記載","",IF($E13&gt;=O$5,"常",O13))),"-"))</f>
        <v/>
      </c>
      <c r="AB13" s="88" t="str">
        <f>IF($B13="","",IF(OR('②-1職員名簿'!AM13="○",'②-1職員名簿'!AM13="●"),IF($E13="正規職員","正",IF($E13="契約上の就業時間を記載","",IF($E13&gt;=P$5,"常",P13))),"-"))</f>
        <v/>
      </c>
      <c r="AC13" s="88" t="str">
        <f>IF($B13="","",IF(OR('②-1職員名簿'!AN13="○",'②-1職員名簿'!AN13="●"),IF($E13="正規職員","正",IF($E13="契約上の就業時間を記載","",IF($E13&gt;=Q$5,"常",Q13))),"-"))</f>
        <v/>
      </c>
      <c r="AE13" s="86" t="str">
        <f>IF('②-1職員名簿'!W13="","",'②-1職員名簿'!W13)</f>
        <v/>
      </c>
      <c r="AG13" s="116">
        <v>10</v>
      </c>
      <c r="AH13" s="90">
        <f>L5</f>
        <v>0</v>
      </c>
      <c r="AJ13" s="17" t="str">
        <f t="shared" si="11"/>
        <v>○</v>
      </c>
      <c r="AK13" s="17" t="str">
        <f t="shared" si="10"/>
        <v>○</v>
      </c>
      <c r="AL13" s="17" t="str">
        <f t="shared" si="10"/>
        <v>○</v>
      </c>
      <c r="AM13" s="17" t="str">
        <f t="shared" si="10"/>
        <v>○</v>
      </c>
      <c r="AN13" s="17" t="str">
        <f t="shared" si="10"/>
        <v>○</v>
      </c>
      <c r="AO13" s="17" t="str">
        <f t="shared" si="10"/>
        <v>○</v>
      </c>
      <c r="AP13" s="17" t="str">
        <f t="shared" si="10"/>
        <v>○</v>
      </c>
      <c r="AQ13" s="17" t="str">
        <f t="shared" si="10"/>
        <v>○</v>
      </c>
      <c r="AR13" s="17" t="str">
        <f t="shared" si="10"/>
        <v>○</v>
      </c>
      <c r="AS13" s="17" t="str">
        <f t="shared" si="10"/>
        <v>○</v>
      </c>
      <c r="AT13" s="17" t="str">
        <f t="shared" si="10"/>
        <v>○</v>
      </c>
      <c r="AU13" s="17" t="str">
        <f t="shared" si="10"/>
        <v>○</v>
      </c>
    </row>
    <row r="14" spans="1:47" s="90" customFormat="1" ht="23.15" customHeight="1">
      <c r="A14" s="87">
        <v>8</v>
      </c>
      <c r="B14" s="86" t="str">
        <f>IF('②-1職員名簿'!E14="","",'②-1職員名簿'!Y14)</f>
        <v/>
      </c>
      <c r="C14" s="88" t="str">
        <f>'②-1職員名簿'!BE14</f>
        <v/>
      </c>
      <c r="D14" s="117" t="str">
        <f t="shared" si="9"/>
        <v/>
      </c>
      <c r="E14" s="18" t="str">
        <f>IF($B14="","",IF(AND('②-1職員名簿'!C14="正",'②-1職員名簿'!D14="常"),"正規職員","契約上の就業時間を記載"))</f>
        <v/>
      </c>
      <c r="F14" s="9" t="str">
        <f>IF($B14="","",IF(OR('②-1職員名簿'!AC14="○",'②-1職員名簿'!AC14="●"),IF($E14="正規職員","正",IF($E14="契約上の就業時間を記載","","見込を入力")),"-"))</f>
        <v/>
      </c>
      <c r="G14" s="9" t="str">
        <f>IF($B14="","",IF(OR('②-1職員名簿'!AD14="○",'②-1職員名簿'!AD14="●"),IF($E14="正規職員","正",IF($E14="契約上の就業時間を記載","","実績を入力")),"-"))</f>
        <v/>
      </c>
      <c r="H14" s="9" t="str">
        <f>IF($B14="","",IF(OR('②-1職員名簿'!AE14="○",'②-1職員名簿'!AE14="●"),IF($E14="正規職員","正",IF($E14="契約上の就業時間を記載","","実績を入力")),"-"))</f>
        <v/>
      </c>
      <c r="I14" s="9" t="str">
        <f>IF($B14="","",IF(OR('②-1職員名簿'!AF14="○",'②-1職員名簿'!AF14="●"),IF($E14="正規職員","正",IF($E14="契約上の就業時間を記載","","実績を入力")),"-"))</f>
        <v/>
      </c>
      <c r="J14" s="9" t="str">
        <f>IF($B14="","",IF(OR('②-1職員名簿'!AG14="○",'②-1職員名簿'!AG14="●"),IF($E14="正規職員","正",IF($E14="契約上の就業時間を記載","","実績を入力")),"-"))</f>
        <v/>
      </c>
      <c r="K14" s="9" t="str">
        <f>IF($B14="","",IF(OR('②-1職員名簿'!AH14="○",'②-1職員名簿'!AH14="●"),IF($E14="正規職員","正",IF($E14="契約上の就業時間を記載","","実績を入力")),"-"))</f>
        <v/>
      </c>
      <c r="L14" s="9" t="str">
        <f>IF($B14="","",IF(OR('②-1職員名簿'!AI14="○",'②-1職員名簿'!AI14="●"),IF($E14="正規職員","正",IF($E14="契約上の就業時間を記載","","実績を入力")),"-"))</f>
        <v/>
      </c>
      <c r="M14" s="9" t="str">
        <f>IF($B14="","",IF(OR('②-1職員名簿'!AJ14="○",'②-1職員名簿'!AJ14="●"),IF($E14="正規職員","正",IF($E14="契約上の就業時間を記載","","実績を入力")),"-"))</f>
        <v/>
      </c>
      <c r="N14" s="9" t="str">
        <f>IF($B14="","",IF(OR('②-1職員名簿'!AK14="○",'②-1職員名簿'!AK14="●"),IF($E14="正規職員","正",IF($E14="契約上の就業時間を記載","","実績を入力")),"-"))</f>
        <v/>
      </c>
      <c r="O14" s="9" t="str">
        <f>IF($B14="","",IF(OR('②-1職員名簿'!AL14="○",'②-1職員名簿'!AL14="●"),IF($E14="正規職員","正",IF($E14="契約上の就業時間を記載","","実績を入力")),"-"))</f>
        <v/>
      </c>
      <c r="P14" s="9" t="str">
        <f>IF($B14="","",IF(OR('②-1職員名簿'!AM14="○",'②-1職員名簿'!AM14="●"),IF($E14="正規職員","正",IF($E14="契約上の就業時間を記載","","実績を入力")),"-"))</f>
        <v/>
      </c>
      <c r="Q14" s="9" t="str">
        <f>IF($B14="","",IF(OR('②-1職員名簿'!AN14="○",'②-1職員名簿'!AN14="●"),IF($E14="正規職員","正",IF($E14="契約上の就業時間を記載","","見込を入力")),"-"))</f>
        <v/>
      </c>
      <c r="R14" s="88" t="str">
        <f>IF($B14="","",IF(OR('②-1職員名簿'!AC14="○",'②-1職員名簿'!AC14="●"),IF($E14="正規職員","正",IF($E14="契約上の就業時間を記載","",IF($E14&gt;=F$5,"常",F14))),"-"))</f>
        <v/>
      </c>
      <c r="S14" s="88" t="str">
        <f>IF($B14="","",IF(OR('②-1職員名簿'!AD14="○",'②-1職員名簿'!AD14="●"),IF($E14="正規職員","正",IF($E14="契約上の就業時間を記載","",IF($E14&gt;=G$5,"常",G14))),"-"))</f>
        <v/>
      </c>
      <c r="T14" s="88" t="str">
        <f>IF($B14="","",IF(OR('②-1職員名簿'!AE14="○",'②-1職員名簿'!AE14="●"),IF($E14="正規職員","正",IF($E14="契約上の就業時間を記載","",IF($E14&gt;=H$5,"常",H14))),"-"))</f>
        <v/>
      </c>
      <c r="U14" s="88" t="str">
        <f>IF($B14="","",IF(OR('②-1職員名簿'!AF14="○",'②-1職員名簿'!AF14="●"),IF($E14="正規職員","正",IF($E14="契約上の就業時間を記載","",IF($E14&gt;=I$5,"常",I14))),"-"))</f>
        <v/>
      </c>
      <c r="V14" s="88" t="str">
        <f>IF($B14="","",IF(OR('②-1職員名簿'!AG14="○",'②-1職員名簿'!AG14="●"),IF($E14="正規職員","正",IF($E14="契約上の就業時間を記載","",IF($E14&gt;=J$5,"常",J14))),"-"))</f>
        <v/>
      </c>
      <c r="W14" s="88" t="str">
        <f>IF($B14="","",IF(OR('②-1職員名簿'!AH14="○",'②-1職員名簿'!AH14="●"),IF($E14="正規職員","正",IF($E14="契約上の就業時間を記載","",IF($E14&gt;=K$5,"常",K14))),"-"))</f>
        <v/>
      </c>
      <c r="X14" s="88" t="str">
        <f>IF($B14="","",IF(OR('②-1職員名簿'!AI14="○",'②-1職員名簿'!AI14="●"),IF($E14="正規職員","正",IF($E14="契約上の就業時間を記載","",IF($E14&gt;=L$5,"常",L14))),"-"))</f>
        <v/>
      </c>
      <c r="Y14" s="88" t="str">
        <f>IF($B14="","",IF(OR('②-1職員名簿'!AJ14="○",'②-1職員名簿'!AJ14="●"),IF($E14="正規職員","正",IF($E14="契約上の就業時間を記載","",IF($E14&gt;=M$5,"常",M14))),"-"))</f>
        <v/>
      </c>
      <c r="Z14" s="88" t="str">
        <f>IF($B14="","",IF(OR('②-1職員名簿'!AK14="○",'②-1職員名簿'!AK14="●"),IF($E14="正規職員","正",IF($E14="契約上の就業時間を記載","",IF($E14&gt;=N$5,"常",N14))),"-"))</f>
        <v/>
      </c>
      <c r="AA14" s="88" t="str">
        <f>IF($B14="","",IF(OR('②-1職員名簿'!AL14="○",'②-1職員名簿'!AL14="●"),IF($E14="正規職員","正",IF($E14="契約上の就業時間を記載","",IF($E14&gt;=O$5,"常",O14))),"-"))</f>
        <v/>
      </c>
      <c r="AB14" s="88" t="str">
        <f>IF($B14="","",IF(OR('②-1職員名簿'!AM14="○",'②-1職員名簿'!AM14="●"),IF($E14="正規職員","正",IF($E14="契約上の就業時間を記載","",IF($E14&gt;=P$5,"常",P14))),"-"))</f>
        <v/>
      </c>
      <c r="AC14" s="88" t="str">
        <f>IF($B14="","",IF(OR('②-1職員名簿'!AN14="○",'②-1職員名簿'!AN14="●"),IF($E14="正規職員","正",IF($E14="契約上の就業時間を記載","",IF($E14&gt;=Q$5,"常",Q14))),"-"))</f>
        <v/>
      </c>
      <c r="AE14" s="86" t="str">
        <f>IF('②-1職員名簿'!W14="","",'②-1職員名簿'!W14)</f>
        <v/>
      </c>
      <c r="AG14" s="116">
        <v>11</v>
      </c>
      <c r="AH14" s="90">
        <f>M5</f>
        <v>0</v>
      </c>
      <c r="AJ14" s="17" t="str">
        <f t="shared" si="11"/>
        <v>○</v>
      </c>
      <c r="AK14" s="17" t="str">
        <f t="shared" si="10"/>
        <v>○</v>
      </c>
      <c r="AL14" s="17" t="str">
        <f t="shared" si="10"/>
        <v>○</v>
      </c>
      <c r="AM14" s="17" t="str">
        <f t="shared" si="10"/>
        <v>○</v>
      </c>
      <c r="AN14" s="17" t="str">
        <f t="shared" si="10"/>
        <v>○</v>
      </c>
      <c r="AO14" s="17" t="str">
        <f t="shared" si="10"/>
        <v>○</v>
      </c>
      <c r="AP14" s="17" t="str">
        <f t="shared" si="10"/>
        <v>○</v>
      </c>
      <c r="AQ14" s="17" t="str">
        <f t="shared" si="10"/>
        <v>○</v>
      </c>
      <c r="AR14" s="17" t="str">
        <f t="shared" si="10"/>
        <v>○</v>
      </c>
      <c r="AS14" s="17" t="str">
        <f t="shared" si="10"/>
        <v>○</v>
      </c>
      <c r="AT14" s="17" t="str">
        <f t="shared" si="10"/>
        <v>○</v>
      </c>
      <c r="AU14" s="17" t="str">
        <f t="shared" si="10"/>
        <v>○</v>
      </c>
    </row>
    <row r="15" spans="1:47" s="90" customFormat="1" ht="23.15" customHeight="1">
      <c r="A15" s="87">
        <v>9</v>
      </c>
      <c r="B15" s="86" t="str">
        <f>IF('②-1職員名簿'!E15="","",'②-1職員名簿'!Y15)</f>
        <v/>
      </c>
      <c r="C15" s="88" t="str">
        <f>'②-1職員名簿'!BE15</f>
        <v/>
      </c>
      <c r="D15" s="117" t="str">
        <f t="shared" si="9"/>
        <v/>
      </c>
      <c r="E15" s="18" t="str">
        <f>IF($B15="","",IF(AND('②-1職員名簿'!C15="正",'②-1職員名簿'!D15="常"),"正規職員","契約上の就業時間を記載"))</f>
        <v/>
      </c>
      <c r="F15" s="9" t="str">
        <f>IF($B15="","",IF(OR('②-1職員名簿'!AC15="○",'②-1職員名簿'!AC15="●"),IF($E15="正規職員","正",IF($E15="契約上の就業時間を記載","","見込を入力")),"-"))</f>
        <v/>
      </c>
      <c r="G15" s="9" t="str">
        <f>IF($B15="","",IF(OR('②-1職員名簿'!AD15="○",'②-1職員名簿'!AD15="●"),IF($E15="正規職員","正",IF($E15="契約上の就業時間を記載","","実績を入力")),"-"))</f>
        <v/>
      </c>
      <c r="H15" s="9" t="str">
        <f>IF($B15="","",IF(OR('②-1職員名簿'!AE15="○",'②-1職員名簿'!AE15="●"),IF($E15="正規職員","正",IF($E15="契約上の就業時間を記載","","実績を入力")),"-"))</f>
        <v/>
      </c>
      <c r="I15" s="9" t="str">
        <f>IF($B15="","",IF(OR('②-1職員名簿'!AF15="○",'②-1職員名簿'!AF15="●"),IF($E15="正規職員","正",IF($E15="契約上の就業時間を記載","","実績を入力")),"-"))</f>
        <v/>
      </c>
      <c r="J15" s="9" t="str">
        <f>IF($B15="","",IF(OR('②-1職員名簿'!AG15="○",'②-1職員名簿'!AG15="●"),IF($E15="正規職員","正",IF($E15="契約上の就業時間を記載","","実績を入力")),"-"))</f>
        <v/>
      </c>
      <c r="K15" s="9" t="str">
        <f>IF($B15="","",IF(OR('②-1職員名簿'!AH15="○",'②-1職員名簿'!AH15="●"),IF($E15="正規職員","正",IF($E15="契約上の就業時間を記載","","実績を入力")),"-"))</f>
        <v/>
      </c>
      <c r="L15" s="9" t="str">
        <f>IF($B15="","",IF(OR('②-1職員名簿'!AI15="○",'②-1職員名簿'!AI15="●"),IF($E15="正規職員","正",IF($E15="契約上の就業時間を記載","","実績を入力")),"-"))</f>
        <v/>
      </c>
      <c r="M15" s="9" t="str">
        <f>IF($B15="","",IF(OR('②-1職員名簿'!AJ15="○",'②-1職員名簿'!AJ15="●"),IF($E15="正規職員","正",IF($E15="契約上の就業時間を記載","","実績を入力")),"-"))</f>
        <v/>
      </c>
      <c r="N15" s="9" t="str">
        <f>IF($B15="","",IF(OR('②-1職員名簿'!AK15="○",'②-1職員名簿'!AK15="●"),IF($E15="正規職員","正",IF($E15="契約上の就業時間を記載","","実績を入力")),"-"))</f>
        <v/>
      </c>
      <c r="O15" s="9" t="str">
        <f>IF($B15="","",IF(OR('②-1職員名簿'!AL15="○",'②-1職員名簿'!AL15="●"),IF($E15="正規職員","正",IF($E15="契約上の就業時間を記載","","実績を入力")),"-"))</f>
        <v/>
      </c>
      <c r="P15" s="9" t="str">
        <f>IF($B15="","",IF(OR('②-1職員名簿'!AM15="○",'②-1職員名簿'!AM15="●"),IF($E15="正規職員","正",IF($E15="契約上の就業時間を記載","","実績を入力")),"-"))</f>
        <v/>
      </c>
      <c r="Q15" s="9" t="str">
        <f>IF($B15="","",IF(OR('②-1職員名簿'!AN15="○",'②-1職員名簿'!AN15="●"),IF($E15="正規職員","正",IF($E15="契約上の就業時間を記載","","見込を入力")),"-"))</f>
        <v/>
      </c>
      <c r="R15" s="88" t="str">
        <f>IF($B15="","",IF(OR('②-1職員名簿'!AC15="○",'②-1職員名簿'!AC15="●"),IF($E15="正規職員","正",IF($E15="契約上の就業時間を記載","",IF($E15&gt;=F$5,"常",F15))),"-"))</f>
        <v/>
      </c>
      <c r="S15" s="88" t="str">
        <f>IF($B15="","",IF(OR('②-1職員名簿'!AD15="○",'②-1職員名簿'!AD15="●"),IF($E15="正規職員","正",IF($E15="契約上の就業時間を記載","",IF($E15&gt;=G$5,"常",G15))),"-"))</f>
        <v/>
      </c>
      <c r="T15" s="88" t="str">
        <f>IF($B15="","",IF(OR('②-1職員名簿'!AE15="○",'②-1職員名簿'!AE15="●"),IF($E15="正規職員","正",IF($E15="契約上の就業時間を記載","",IF($E15&gt;=H$5,"常",H15))),"-"))</f>
        <v/>
      </c>
      <c r="U15" s="88" t="str">
        <f>IF($B15="","",IF(OR('②-1職員名簿'!AF15="○",'②-1職員名簿'!AF15="●"),IF($E15="正規職員","正",IF($E15="契約上の就業時間を記載","",IF($E15&gt;=I$5,"常",I15))),"-"))</f>
        <v/>
      </c>
      <c r="V15" s="88" t="str">
        <f>IF($B15="","",IF(OR('②-1職員名簿'!AG15="○",'②-1職員名簿'!AG15="●"),IF($E15="正規職員","正",IF($E15="契約上の就業時間を記載","",IF($E15&gt;=J$5,"常",J15))),"-"))</f>
        <v/>
      </c>
      <c r="W15" s="88" t="str">
        <f>IF($B15="","",IF(OR('②-1職員名簿'!AH15="○",'②-1職員名簿'!AH15="●"),IF($E15="正規職員","正",IF($E15="契約上の就業時間を記載","",IF($E15&gt;=K$5,"常",K15))),"-"))</f>
        <v/>
      </c>
      <c r="X15" s="88" t="str">
        <f>IF($B15="","",IF(OR('②-1職員名簿'!AI15="○",'②-1職員名簿'!AI15="●"),IF($E15="正規職員","正",IF($E15="契約上の就業時間を記載","",IF($E15&gt;=L$5,"常",L15))),"-"))</f>
        <v/>
      </c>
      <c r="Y15" s="88" t="str">
        <f>IF($B15="","",IF(OR('②-1職員名簿'!AJ15="○",'②-1職員名簿'!AJ15="●"),IF($E15="正規職員","正",IF($E15="契約上の就業時間を記載","",IF($E15&gt;=M$5,"常",M15))),"-"))</f>
        <v/>
      </c>
      <c r="Z15" s="88" t="str">
        <f>IF($B15="","",IF(OR('②-1職員名簿'!AK15="○",'②-1職員名簿'!AK15="●"),IF($E15="正規職員","正",IF($E15="契約上の就業時間を記載","",IF($E15&gt;=N$5,"常",N15))),"-"))</f>
        <v/>
      </c>
      <c r="AA15" s="88" t="str">
        <f>IF($B15="","",IF(OR('②-1職員名簿'!AL15="○",'②-1職員名簿'!AL15="●"),IF($E15="正規職員","正",IF($E15="契約上の就業時間を記載","",IF($E15&gt;=O$5,"常",O15))),"-"))</f>
        <v/>
      </c>
      <c r="AB15" s="88" t="str">
        <f>IF($B15="","",IF(OR('②-1職員名簿'!AM15="○",'②-1職員名簿'!AM15="●"),IF($E15="正規職員","正",IF($E15="契約上の就業時間を記載","",IF($E15&gt;=P$5,"常",P15))),"-"))</f>
        <v/>
      </c>
      <c r="AC15" s="88" t="str">
        <f>IF($B15="","",IF(OR('②-1職員名簿'!AN15="○",'②-1職員名簿'!AN15="●"),IF($E15="正規職員","正",IF($E15="契約上の就業時間を記載","",IF($E15&gt;=Q$5,"常",Q15))),"-"))</f>
        <v/>
      </c>
      <c r="AE15" s="86" t="str">
        <f>IF('②-1職員名簿'!W15="","",'②-1職員名簿'!W15)</f>
        <v/>
      </c>
      <c r="AG15" s="116">
        <v>12</v>
      </c>
      <c r="AH15" s="90">
        <f>N5</f>
        <v>0</v>
      </c>
      <c r="AJ15" s="17" t="str">
        <f t="shared" si="11"/>
        <v>○</v>
      </c>
      <c r="AK15" s="17" t="str">
        <f t="shared" si="10"/>
        <v>○</v>
      </c>
      <c r="AL15" s="17" t="str">
        <f t="shared" si="10"/>
        <v>○</v>
      </c>
      <c r="AM15" s="17" t="str">
        <f t="shared" si="10"/>
        <v>○</v>
      </c>
      <c r="AN15" s="17" t="str">
        <f t="shared" si="10"/>
        <v>○</v>
      </c>
      <c r="AO15" s="17" t="str">
        <f t="shared" si="10"/>
        <v>○</v>
      </c>
      <c r="AP15" s="17" t="str">
        <f t="shared" si="10"/>
        <v>○</v>
      </c>
      <c r="AQ15" s="17" t="str">
        <f t="shared" si="10"/>
        <v>○</v>
      </c>
      <c r="AR15" s="17" t="str">
        <f t="shared" si="10"/>
        <v>○</v>
      </c>
      <c r="AS15" s="17" t="str">
        <f t="shared" si="10"/>
        <v>○</v>
      </c>
      <c r="AT15" s="17" t="str">
        <f t="shared" si="10"/>
        <v>○</v>
      </c>
      <c r="AU15" s="17" t="str">
        <f t="shared" si="10"/>
        <v>○</v>
      </c>
    </row>
    <row r="16" spans="1:47" s="90" customFormat="1" ht="23.15" customHeight="1">
      <c r="A16" s="87">
        <v>10</v>
      </c>
      <c r="B16" s="86" t="str">
        <f>IF('②-1職員名簿'!E16="","",'②-1職員名簿'!Y16)</f>
        <v/>
      </c>
      <c r="C16" s="88" t="str">
        <f>'②-1職員名簿'!BE16</f>
        <v/>
      </c>
      <c r="D16" s="117" t="str">
        <f t="shared" si="9"/>
        <v/>
      </c>
      <c r="E16" s="18" t="str">
        <f>IF($B16="","",IF(AND('②-1職員名簿'!C16="正",'②-1職員名簿'!D16="常"),"正規職員","契約上の就業時間を記載"))</f>
        <v/>
      </c>
      <c r="F16" s="9" t="str">
        <f>IF($B16="","",IF(OR('②-1職員名簿'!AC16="○",'②-1職員名簿'!AC16="●"),IF($E16="正規職員","正",IF($E16="契約上の就業時間を記載","","見込を入力")),"-"))</f>
        <v/>
      </c>
      <c r="G16" s="9" t="str">
        <f>IF($B16="","",IF(OR('②-1職員名簿'!AD16="○",'②-1職員名簿'!AD16="●"),IF($E16="正規職員","正",IF($E16="契約上の就業時間を記載","","実績を入力")),"-"))</f>
        <v/>
      </c>
      <c r="H16" s="9" t="str">
        <f>IF($B16="","",IF(OR('②-1職員名簿'!AE16="○",'②-1職員名簿'!AE16="●"),IF($E16="正規職員","正",IF($E16="契約上の就業時間を記載","","実績を入力")),"-"))</f>
        <v/>
      </c>
      <c r="I16" s="9" t="str">
        <f>IF($B16="","",IF(OR('②-1職員名簿'!AF16="○",'②-1職員名簿'!AF16="●"),IF($E16="正規職員","正",IF($E16="契約上の就業時間を記載","","実績を入力")),"-"))</f>
        <v/>
      </c>
      <c r="J16" s="9" t="str">
        <f>IF($B16="","",IF(OR('②-1職員名簿'!AG16="○",'②-1職員名簿'!AG16="●"),IF($E16="正規職員","正",IF($E16="契約上の就業時間を記載","","実績を入力")),"-"))</f>
        <v/>
      </c>
      <c r="K16" s="9" t="str">
        <f>IF($B16="","",IF(OR('②-1職員名簿'!AH16="○",'②-1職員名簿'!AH16="●"),IF($E16="正規職員","正",IF($E16="契約上の就業時間を記載","","実績を入力")),"-"))</f>
        <v/>
      </c>
      <c r="L16" s="9" t="str">
        <f>IF($B16="","",IF(OR('②-1職員名簿'!AI16="○",'②-1職員名簿'!AI16="●"),IF($E16="正規職員","正",IF($E16="契約上の就業時間を記載","","実績を入力")),"-"))</f>
        <v/>
      </c>
      <c r="M16" s="9" t="str">
        <f>IF($B16="","",IF(OR('②-1職員名簿'!AJ16="○",'②-1職員名簿'!AJ16="●"),IF($E16="正規職員","正",IF($E16="契約上の就業時間を記載","","実績を入力")),"-"))</f>
        <v/>
      </c>
      <c r="N16" s="9" t="str">
        <f>IF($B16="","",IF(OR('②-1職員名簿'!AK16="○",'②-1職員名簿'!AK16="●"),IF($E16="正規職員","正",IF($E16="契約上の就業時間を記載","","実績を入力")),"-"))</f>
        <v/>
      </c>
      <c r="O16" s="9" t="str">
        <f>IF($B16="","",IF(OR('②-1職員名簿'!AL16="○",'②-1職員名簿'!AL16="●"),IF($E16="正規職員","正",IF($E16="契約上の就業時間を記載","","実績を入力")),"-"))</f>
        <v/>
      </c>
      <c r="P16" s="9" t="str">
        <f>IF($B16="","",IF(OR('②-1職員名簿'!AM16="○",'②-1職員名簿'!AM16="●"),IF($E16="正規職員","正",IF($E16="契約上の就業時間を記載","","実績を入力")),"-"))</f>
        <v/>
      </c>
      <c r="Q16" s="9" t="str">
        <f>IF($B16="","",IF(OR('②-1職員名簿'!AN16="○",'②-1職員名簿'!AN16="●"),IF($E16="正規職員","正",IF($E16="契約上の就業時間を記載","","見込を入力")),"-"))</f>
        <v/>
      </c>
      <c r="R16" s="88" t="str">
        <f>IF($B16="","",IF(OR('②-1職員名簿'!AC16="○",'②-1職員名簿'!AC16="●"),IF($E16="正規職員","正",IF($E16="契約上の就業時間を記載","",IF($E16&gt;=F$5,"常",F16))),"-"))</f>
        <v/>
      </c>
      <c r="S16" s="88" t="str">
        <f>IF($B16="","",IF(OR('②-1職員名簿'!AD16="○",'②-1職員名簿'!AD16="●"),IF($E16="正規職員","正",IF($E16="契約上の就業時間を記載","",IF($E16&gt;=G$5,"常",G16))),"-"))</f>
        <v/>
      </c>
      <c r="T16" s="88" t="str">
        <f>IF($B16="","",IF(OR('②-1職員名簿'!AE16="○",'②-1職員名簿'!AE16="●"),IF($E16="正規職員","正",IF($E16="契約上の就業時間を記載","",IF($E16&gt;=H$5,"常",H16))),"-"))</f>
        <v/>
      </c>
      <c r="U16" s="88" t="str">
        <f>IF($B16="","",IF(OR('②-1職員名簿'!AF16="○",'②-1職員名簿'!AF16="●"),IF($E16="正規職員","正",IF($E16="契約上の就業時間を記載","",IF($E16&gt;=I$5,"常",I16))),"-"))</f>
        <v/>
      </c>
      <c r="V16" s="88" t="str">
        <f>IF($B16="","",IF(OR('②-1職員名簿'!AG16="○",'②-1職員名簿'!AG16="●"),IF($E16="正規職員","正",IF($E16="契約上の就業時間を記載","",IF($E16&gt;=J$5,"常",J16))),"-"))</f>
        <v/>
      </c>
      <c r="W16" s="88" t="str">
        <f>IF($B16="","",IF(OR('②-1職員名簿'!AH16="○",'②-1職員名簿'!AH16="●"),IF($E16="正規職員","正",IF($E16="契約上の就業時間を記載","",IF($E16&gt;=K$5,"常",K16))),"-"))</f>
        <v/>
      </c>
      <c r="X16" s="88" t="str">
        <f>IF($B16="","",IF(OR('②-1職員名簿'!AI16="○",'②-1職員名簿'!AI16="●"),IF($E16="正規職員","正",IF($E16="契約上の就業時間を記載","",IF($E16&gt;=L$5,"常",L16))),"-"))</f>
        <v/>
      </c>
      <c r="Y16" s="88" t="str">
        <f>IF($B16="","",IF(OR('②-1職員名簿'!AJ16="○",'②-1職員名簿'!AJ16="●"),IF($E16="正規職員","正",IF($E16="契約上の就業時間を記載","",IF($E16&gt;=M$5,"常",M16))),"-"))</f>
        <v/>
      </c>
      <c r="Z16" s="88" t="str">
        <f>IF($B16="","",IF(OR('②-1職員名簿'!AK16="○",'②-1職員名簿'!AK16="●"),IF($E16="正規職員","正",IF($E16="契約上の就業時間を記載","",IF($E16&gt;=N$5,"常",N16))),"-"))</f>
        <v/>
      </c>
      <c r="AA16" s="88" t="str">
        <f>IF($B16="","",IF(OR('②-1職員名簿'!AL16="○",'②-1職員名簿'!AL16="●"),IF($E16="正規職員","正",IF($E16="契約上の就業時間を記載","",IF($E16&gt;=O$5,"常",O16))),"-"))</f>
        <v/>
      </c>
      <c r="AB16" s="88" t="str">
        <f>IF($B16="","",IF(OR('②-1職員名簿'!AM16="○",'②-1職員名簿'!AM16="●"),IF($E16="正規職員","正",IF($E16="契約上の就業時間を記載","",IF($E16&gt;=P$5,"常",P16))),"-"))</f>
        <v/>
      </c>
      <c r="AC16" s="88" t="str">
        <f>IF($B16="","",IF(OR('②-1職員名簿'!AN16="○",'②-1職員名簿'!AN16="●"),IF($E16="正規職員","正",IF($E16="契約上の就業時間を記載","",IF($E16&gt;=Q$5,"常",Q16))),"-"))</f>
        <v/>
      </c>
      <c r="AE16" s="86" t="str">
        <f>IF('②-1職員名簿'!W16="","",'②-1職員名簿'!W16)</f>
        <v/>
      </c>
      <c r="AG16" s="116">
        <v>1</v>
      </c>
      <c r="AH16" s="90">
        <f>O5</f>
        <v>0</v>
      </c>
      <c r="AJ16" s="17" t="str">
        <f t="shared" si="11"/>
        <v>○</v>
      </c>
      <c r="AK16" s="17" t="str">
        <f t="shared" si="10"/>
        <v>○</v>
      </c>
      <c r="AL16" s="17" t="str">
        <f t="shared" si="10"/>
        <v>○</v>
      </c>
      <c r="AM16" s="17" t="str">
        <f t="shared" si="10"/>
        <v>○</v>
      </c>
      <c r="AN16" s="17" t="str">
        <f t="shared" si="10"/>
        <v>○</v>
      </c>
      <c r="AO16" s="17" t="str">
        <f t="shared" si="10"/>
        <v>○</v>
      </c>
      <c r="AP16" s="17" t="str">
        <f t="shared" si="10"/>
        <v>○</v>
      </c>
      <c r="AQ16" s="17" t="str">
        <f t="shared" si="10"/>
        <v>○</v>
      </c>
      <c r="AR16" s="17" t="str">
        <f t="shared" si="10"/>
        <v>○</v>
      </c>
      <c r="AS16" s="17" t="str">
        <f t="shared" si="10"/>
        <v>○</v>
      </c>
      <c r="AT16" s="17" t="str">
        <f t="shared" si="10"/>
        <v>○</v>
      </c>
      <c r="AU16" s="17" t="str">
        <f t="shared" si="10"/>
        <v>○</v>
      </c>
    </row>
    <row r="17" spans="1:47" s="90" customFormat="1" ht="23.15" customHeight="1">
      <c r="A17" s="87">
        <v>11</v>
      </c>
      <c r="B17" s="86" t="str">
        <f>IF('②-1職員名簿'!E17="","",'②-1職員名簿'!Y17)</f>
        <v/>
      </c>
      <c r="C17" s="88" t="str">
        <f>'②-1職員名簿'!BE17</f>
        <v/>
      </c>
      <c r="D17" s="117" t="str">
        <f t="shared" si="9"/>
        <v/>
      </c>
      <c r="E17" s="18" t="str">
        <f>IF($B17="","",IF(AND('②-1職員名簿'!C17="正",'②-1職員名簿'!D17="常"),"正規職員","契約上の就業時間を記載"))</f>
        <v/>
      </c>
      <c r="F17" s="9" t="str">
        <f>IF($B17="","",IF(OR('②-1職員名簿'!AC17="○",'②-1職員名簿'!AC17="●"),IF($E17="正規職員","正",IF($E17="契約上の就業時間を記載","","見込を入力")),"-"))</f>
        <v/>
      </c>
      <c r="G17" s="9" t="str">
        <f>IF($B17="","",IF(OR('②-1職員名簿'!AD17="○",'②-1職員名簿'!AD17="●"),IF($E17="正規職員","正",IF($E17="契約上の就業時間を記載","","実績を入力")),"-"))</f>
        <v/>
      </c>
      <c r="H17" s="9" t="str">
        <f>IF($B17="","",IF(OR('②-1職員名簿'!AE17="○",'②-1職員名簿'!AE17="●"),IF($E17="正規職員","正",IF($E17="契約上の就業時間を記載","","実績を入力")),"-"))</f>
        <v/>
      </c>
      <c r="I17" s="9" t="str">
        <f>IF($B17="","",IF(OR('②-1職員名簿'!AF17="○",'②-1職員名簿'!AF17="●"),IF($E17="正規職員","正",IF($E17="契約上の就業時間を記載","","実績を入力")),"-"))</f>
        <v/>
      </c>
      <c r="J17" s="9" t="str">
        <f>IF($B17="","",IF(OR('②-1職員名簿'!AG17="○",'②-1職員名簿'!AG17="●"),IF($E17="正規職員","正",IF($E17="契約上の就業時間を記載","","実績を入力")),"-"))</f>
        <v/>
      </c>
      <c r="K17" s="9" t="str">
        <f>IF($B17="","",IF(OR('②-1職員名簿'!AH17="○",'②-1職員名簿'!AH17="●"),IF($E17="正規職員","正",IF($E17="契約上の就業時間を記載","","実績を入力")),"-"))</f>
        <v/>
      </c>
      <c r="L17" s="9" t="str">
        <f>IF($B17="","",IF(OR('②-1職員名簿'!AI17="○",'②-1職員名簿'!AI17="●"),IF($E17="正規職員","正",IF($E17="契約上の就業時間を記載","","実績を入力")),"-"))</f>
        <v/>
      </c>
      <c r="M17" s="9" t="str">
        <f>IF($B17="","",IF(OR('②-1職員名簿'!AJ17="○",'②-1職員名簿'!AJ17="●"),IF($E17="正規職員","正",IF($E17="契約上の就業時間を記載","","実績を入力")),"-"))</f>
        <v/>
      </c>
      <c r="N17" s="9" t="str">
        <f>IF($B17="","",IF(OR('②-1職員名簿'!AK17="○",'②-1職員名簿'!AK17="●"),IF($E17="正規職員","正",IF($E17="契約上の就業時間を記載","","実績を入力")),"-"))</f>
        <v/>
      </c>
      <c r="O17" s="9" t="str">
        <f>IF($B17="","",IF(OR('②-1職員名簿'!AL17="○",'②-1職員名簿'!AL17="●"),IF($E17="正規職員","正",IF($E17="契約上の就業時間を記載","","実績を入力")),"-"))</f>
        <v/>
      </c>
      <c r="P17" s="9" t="str">
        <f>IF($B17="","",IF(OR('②-1職員名簿'!AM17="○",'②-1職員名簿'!AM17="●"),IF($E17="正規職員","正",IF($E17="契約上の就業時間を記載","","実績を入力")),"-"))</f>
        <v/>
      </c>
      <c r="Q17" s="9" t="str">
        <f>IF($B17="","",IF(OR('②-1職員名簿'!AN17="○",'②-1職員名簿'!AN17="●"),IF($E17="正規職員","正",IF($E17="契約上の就業時間を記載","","見込を入力")),"-"))</f>
        <v/>
      </c>
      <c r="R17" s="88" t="str">
        <f>IF($B17="","",IF(OR('②-1職員名簿'!AC17="○",'②-1職員名簿'!AC17="●"),IF($E17="正規職員","正",IF($E17="契約上の就業時間を記載","",IF($E17&gt;=F$5,"常",F17))),"-"))</f>
        <v/>
      </c>
      <c r="S17" s="88" t="str">
        <f>IF($B17="","",IF(OR('②-1職員名簿'!AD17="○",'②-1職員名簿'!AD17="●"),IF($E17="正規職員","正",IF($E17="契約上の就業時間を記載","",IF($E17&gt;=G$5,"常",G17))),"-"))</f>
        <v/>
      </c>
      <c r="T17" s="88" t="str">
        <f>IF($B17="","",IF(OR('②-1職員名簿'!AE17="○",'②-1職員名簿'!AE17="●"),IF($E17="正規職員","正",IF($E17="契約上の就業時間を記載","",IF($E17&gt;=H$5,"常",H17))),"-"))</f>
        <v/>
      </c>
      <c r="U17" s="88" t="str">
        <f>IF($B17="","",IF(OR('②-1職員名簿'!AF17="○",'②-1職員名簿'!AF17="●"),IF($E17="正規職員","正",IF($E17="契約上の就業時間を記載","",IF($E17&gt;=I$5,"常",I17))),"-"))</f>
        <v/>
      </c>
      <c r="V17" s="88" t="str">
        <f>IF($B17="","",IF(OR('②-1職員名簿'!AG17="○",'②-1職員名簿'!AG17="●"),IF($E17="正規職員","正",IF($E17="契約上の就業時間を記載","",IF($E17&gt;=J$5,"常",J17))),"-"))</f>
        <v/>
      </c>
      <c r="W17" s="88" t="str">
        <f>IF($B17="","",IF(OR('②-1職員名簿'!AH17="○",'②-1職員名簿'!AH17="●"),IF($E17="正規職員","正",IF($E17="契約上の就業時間を記載","",IF($E17&gt;=K$5,"常",K17))),"-"))</f>
        <v/>
      </c>
      <c r="X17" s="88" t="str">
        <f>IF($B17="","",IF(OR('②-1職員名簿'!AI17="○",'②-1職員名簿'!AI17="●"),IF($E17="正規職員","正",IF($E17="契約上の就業時間を記載","",IF($E17&gt;=L$5,"常",L17))),"-"))</f>
        <v/>
      </c>
      <c r="Y17" s="88" t="str">
        <f>IF($B17="","",IF(OR('②-1職員名簿'!AJ17="○",'②-1職員名簿'!AJ17="●"),IF($E17="正規職員","正",IF($E17="契約上の就業時間を記載","",IF($E17&gt;=M$5,"常",M17))),"-"))</f>
        <v/>
      </c>
      <c r="Z17" s="88" t="str">
        <f>IF($B17="","",IF(OR('②-1職員名簿'!AK17="○",'②-1職員名簿'!AK17="●"),IF($E17="正規職員","正",IF($E17="契約上の就業時間を記載","",IF($E17&gt;=N$5,"常",N17))),"-"))</f>
        <v/>
      </c>
      <c r="AA17" s="88" t="str">
        <f>IF($B17="","",IF(OR('②-1職員名簿'!AL17="○",'②-1職員名簿'!AL17="●"),IF($E17="正規職員","正",IF($E17="契約上の就業時間を記載","",IF($E17&gt;=O$5,"常",O17))),"-"))</f>
        <v/>
      </c>
      <c r="AB17" s="88" t="str">
        <f>IF($B17="","",IF(OR('②-1職員名簿'!AM17="○",'②-1職員名簿'!AM17="●"),IF($E17="正規職員","正",IF($E17="契約上の就業時間を記載","",IF($E17&gt;=P$5,"常",P17))),"-"))</f>
        <v/>
      </c>
      <c r="AC17" s="88" t="str">
        <f>IF($B17="","",IF(OR('②-1職員名簿'!AN17="○",'②-1職員名簿'!AN17="●"),IF($E17="正規職員","正",IF($E17="契約上の就業時間を記載","",IF($E17&gt;=Q$5,"常",Q17))),"-"))</f>
        <v/>
      </c>
      <c r="AE17" s="86" t="str">
        <f>IF('②-1職員名簿'!W17="","",'②-1職員名簿'!W17)</f>
        <v/>
      </c>
      <c r="AG17" s="116">
        <v>2</v>
      </c>
      <c r="AH17" s="90">
        <f>P5</f>
        <v>0</v>
      </c>
      <c r="AJ17" s="17" t="str">
        <f t="shared" ref="AJ17:AJ71" si="12">IF(AND($C17="常勤的非常勤",$E17&lt;F$5),"×",IF(AND($C17="短時間非常勤",F$5&lt;=$E17),"×",IF(AND($C17="嘱託常勤",$E17&lt;F$5),"×",IF(AND($C17="嘱託非常勤",F$5&lt;=$E17),"×","○"))))</f>
        <v>○</v>
      </c>
      <c r="AK17" s="17" t="str">
        <f t="shared" si="10"/>
        <v>○</v>
      </c>
      <c r="AL17" s="17" t="str">
        <f t="shared" si="10"/>
        <v>○</v>
      </c>
      <c r="AM17" s="17" t="str">
        <f t="shared" si="10"/>
        <v>○</v>
      </c>
      <c r="AN17" s="17" t="str">
        <f t="shared" si="10"/>
        <v>○</v>
      </c>
      <c r="AO17" s="17" t="str">
        <f t="shared" si="10"/>
        <v>○</v>
      </c>
      <c r="AP17" s="17" t="str">
        <f t="shared" si="10"/>
        <v>○</v>
      </c>
      <c r="AQ17" s="17" t="str">
        <f t="shared" si="10"/>
        <v>○</v>
      </c>
      <c r="AR17" s="17" t="str">
        <f t="shared" si="10"/>
        <v>○</v>
      </c>
      <c r="AS17" s="17" t="str">
        <f t="shared" si="10"/>
        <v>○</v>
      </c>
      <c r="AT17" s="17" t="str">
        <f t="shared" si="10"/>
        <v>○</v>
      </c>
      <c r="AU17" s="17" t="str">
        <f t="shared" si="10"/>
        <v>○</v>
      </c>
    </row>
    <row r="18" spans="1:47" s="90" customFormat="1" ht="23.15" customHeight="1">
      <c r="A18" s="87">
        <v>12</v>
      </c>
      <c r="B18" s="86" t="str">
        <f>IF('②-1職員名簿'!E18="","",'②-1職員名簿'!Y18)</f>
        <v/>
      </c>
      <c r="C18" s="88" t="str">
        <f>'②-1職員名簿'!BE18</f>
        <v/>
      </c>
      <c r="D18" s="117" t="str">
        <f t="shared" si="9"/>
        <v/>
      </c>
      <c r="E18" s="18" t="str">
        <f>IF($B18="","",IF(AND('②-1職員名簿'!C18="正",'②-1職員名簿'!D18="常"),"正規職員","契約上の就業時間を記載"))</f>
        <v/>
      </c>
      <c r="F18" s="9" t="str">
        <f>IF($B18="","",IF(OR('②-1職員名簿'!AC18="○",'②-1職員名簿'!AC18="●"),IF($E18="正規職員","正",IF($E18="契約上の就業時間を記載","","見込を入力")),"-"))</f>
        <v/>
      </c>
      <c r="G18" s="9" t="str">
        <f>IF($B18="","",IF(OR('②-1職員名簿'!AD18="○",'②-1職員名簿'!AD18="●"),IF($E18="正規職員","正",IF($E18="契約上の就業時間を記載","","実績を入力")),"-"))</f>
        <v/>
      </c>
      <c r="H18" s="9" t="str">
        <f>IF($B18="","",IF(OR('②-1職員名簿'!AE18="○",'②-1職員名簿'!AE18="●"),IF($E18="正規職員","正",IF($E18="契約上の就業時間を記載","","実績を入力")),"-"))</f>
        <v/>
      </c>
      <c r="I18" s="9" t="str">
        <f>IF($B18="","",IF(OR('②-1職員名簿'!AF18="○",'②-1職員名簿'!AF18="●"),IF($E18="正規職員","正",IF($E18="契約上の就業時間を記載","","実績を入力")),"-"))</f>
        <v/>
      </c>
      <c r="J18" s="9" t="str">
        <f>IF($B18="","",IF(OR('②-1職員名簿'!AG18="○",'②-1職員名簿'!AG18="●"),IF($E18="正規職員","正",IF($E18="契約上の就業時間を記載","","実績を入力")),"-"))</f>
        <v/>
      </c>
      <c r="K18" s="9" t="str">
        <f>IF($B18="","",IF(OR('②-1職員名簿'!AH18="○",'②-1職員名簿'!AH18="●"),IF($E18="正規職員","正",IF($E18="契約上の就業時間を記載","","実績を入力")),"-"))</f>
        <v/>
      </c>
      <c r="L18" s="9" t="str">
        <f>IF($B18="","",IF(OR('②-1職員名簿'!AI18="○",'②-1職員名簿'!AI18="●"),IF($E18="正規職員","正",IF($E18="契約上の就業時間を記載","","実績を入力")),"-"))</f>
        <v/>
      </c>
      <c r="M18" s="9" t="str">
        <f>IF($B18="","",IF(OR('②-1職員名簿'!AJ18="○",'②-1職員名簿'!AJ18="●"),IF($E18="正規職員","正",IF($E18="契約上の就業時間を記載","","実績を入力")),"-"))</f>
        <v/>
      </c>
      <c r="N18" s="9" t="str">
        <f>IF($B18="","",IF(OR('②-1職員名簿'!AK18="○",'②-1職員名簿'!AK18="●"),IF($E18="正規職員","正",IF($E18="契約上の就業時間を記載","","実績を入力")),"-"))</f>
        <v/>
      </c>
      <c r="O18" s="9" t="str">
        <f>IF($B18="","",IF(OR('②-1職員名簿'!AL18="○",'②-1職員名簿'!AL18="●"),IF($E18="正規職員","正",IF($E18="契約上の就業時間を記載","","実績を入力")),"-"))</f>
        <v/>
      </c>
      <c r="P18" s="9" t="str">
        <f>IF($B18="","",IF(OR('②-1職員名簿'!AM18="○",'②-1職員名簿'!AM18="●"),IF($E18="正規職員","正",IF($E18="契約上の就業時間を記載","","実績を入力")),"-"))</f>
        <v/>
      </c>
      <c r="Q18" s="9" t="str">
        <f>IF($B18="","",IF(OR('②-1職員名簿'!AN18="○",'②-1職員名簿'!AN18="●"),IF($E18="正規職員","正",IF($E18="契約上の就業時間を記載","","見込を入力")),"-"))</f>
        <v/>
      </c>
      <c r="R18" s="88" t="str">
        <f>IF($B18="","",IF(OR('②-1職員名簿'!AC18="○",'②-1職員名簿'!AC18="●"),IF($E18="正規職員","正",IF($E18="契約上の就業時間を記載","",IF($E18&gt;=F$5,"常",F18))),"-"))</f>
        <v/>
      </c>
      <c r="S18" s="88" t="str">
        <f>IF($B18="","",IF(OR('②-1職員名簿'!AD18="○",'②-1職員名簿'!AD18="●"),IF($E18="正規職員","正",IF($E18="契約上の就業時間を記載","",IF($E18&gt;=G$5,"常",G18))),"-"))</f>
        <v/>
      </c>
      <c r="T18" s="88" t="str">
        <f>IF($B18="","",IF(OR('②-1職員名簿'!AE18="○",'②-1職員名簿'!AE18="●"),IF($E18="正規職員","正",IF($E18="契約上の就業時間を記載","",IF($E18&gt;=H$5,"常",H18))),"-"))</f>
        <v/>
      </c>
      <c r="U18" s="88" t="str">
        <f>IF($B18="","",IF(OR('②-1職員名簿'!AF18="○",'②-1職員名簿'!AF18="●"),IF($E18="正規職員","正",IF($E18="契約上の就業時間を記載","",IF($E18&gt;=I$5,"常",I18))),"-"))</f>
        <v/>
      </c>
      <c r="V18" s="88" t="str">
        <f>IF($B18="","",IF(OR('②-1職員名簿'!AG18="○",'②-1職員名簿'!AG18="●"),IF($E18="正規職員","正",IF($E18="契約上の就業時間を記載","",IF($E18&gt;=J$5,"常",J18))),"-"))</f>
        <v/>
      </c>
      <c r="W18" s="88" t="str">
        <f>IF($B18="","",IF(OR('②-1職員名簿'!AH18="○",'②-1職員名簿'!AH18="●"),IF($E18="正規職員","正",IF($E18="契約上の就業時間を記載","",IF($E18&gt;=K$5,"常",K18))),"-"))</f>
        <v/>
      </c>
      <c r="X18" s="88" t="str">
        <f>IF($B18="","",IF(OR('②-1職員名簿'!AI18="○",'②-1職員名簿'!AI18="●"),IF($E18="正規職員","正",IF($E18="契約上の就業時間を記載","",IF($E18&gt;=L$5,"常",L18))),"-"))</f>
        <v/>
      </c>
      <c r="Y18" s="88" t="str">
        <f>IF($B18="","",IF(OR('②-1職員名簿'!AJ18="○",'②-1職員名簿'!AJ18="●"),IF($E18="正規職員","正",IF($E18="契約上の就業時間を記載","",IF($E18&gt;=M$5,"常",M18))),"-"))</f>
        <v/>
      </c>
      <c r="Z18" s="88" t="str">
        <f>IF($B18="","",IF(OR('②-1職員名簿'!AK18="○",'②-1職員名簿'!AK18="●"),IF($E18="正規職員","正",IF($E18="契約上の就業時間を記載","",IF($E18&gt;=N$5,"常",N18))),"-"))</f>
        <v/>
      </c>
      <c r="AA18" s="88" t="str">
        <f>IF($B18="","",IF(OR('②-1職員名簿'!AL18="○",'②-1職員名簿'!AL18="●"),IF($E18="正規職員","正",IF($E18="契約上の就業時間を記載","",IF($E18&gt;=O$5,"常",O18))),"-"))</f>
        <v/>
      </c>
      <c r="AB18" s="88" t="str">
        <f>IF($B18="","",IF(OR('②-1職員名簿'!AM18="○",'②-1職員名簿'!AM18="●"),IF($E18="正規職員","正",IF($E18="契約上の就業時間を記載","",IF($E18&gt;=P$5,"常",P18))),"-"))</f>
        <v/>
      </c>
      <c r="AC18" s="88" t="str">
        <f>IF($B18="","",IF(OR('②-1職員名簿'!AN18="○",'②-1職員名簿'!AN18="●"),IF($E18="正規職員","正",IF($E18="契約上の就業時間を記載","",IF($E18&gt;=Q$5,"常",Q18))),"-"))</f>
        <v/>
      </c>
      <c r="AE18" s="86" t="str">
        <f>IF('②-1職員名簿'!W18="","",'②-1職員名簿'!W18)</f>
        <v/>
      </c>
      <c r="AG18" s="116">
        <v>3</v>
      </c>
      <c r="AH18" s="90">
        <f>Q5</f>
        <v>0</v>
      </c>
      <c r="AJ18" s="17" t="str">
        <f t="shared" si="12"/>
        <v>○</v>
      </c>
      <c r="AK18" s="17" t="str">
        <f t="shared" si="10"/>
        <v>○</v>
      </c>
      <c r="AL18" s="17" t="str">
        <f t="shared" si="10"/>
        <v>○</v>
      </c>
      <c r="AM18" s="17" t="str">
        <f t="shared" si="10"/>
        <v>○</v>
      </c>
      <c r="AN18" s="17" t="str">
        <f t="shared" si="10"/>
        <v>○</v>
      </c>
      <c r="AO18" s="17" t="str">
        <f t="shared" si="10"/>
        <v>○</v>
      </c>
      <c r="AP18" s="17" t="str">
        <f t="shared" si="10"/>
        <v>○</v>
      </c>
      <c r="AQ18" s="17" t="str">
        <f t="shared" si="10"/>
        <v>○</v>
      </c>
      <c r="AR18" s="17" t="str">
        <f t="shared" si="10"/>
        <v>○</v>
      </c>
      <c r="AS18" s="17" t="str">
        <f t="shared" si="10"/>
        <v>○</v>
      </c>
      <c r="AT18" s="17" t="str">
        <f t="shared" si="10"/>
        <v>○</v>
      </c>
      <c r="AU18" s="17" t="str">
        <f t="shared" si="10"/>
        <v>○</v>
      </c>
    </row>
    <row r="19" spans="1:47" s="90" customFormat="1" ht="23.15" customHeight="1">
      <c r="A19" s="87">
        <v>13</v>
      </c>
      <c r="B19" s="86" t="str">
        <f>IF('②-1職員名簿'!E19="","",'②-1職員名簿'!Y19)</f>
        <v/>
      </c>
      <c r="C19" s="88" t="str">
        <f>'②-1職員名簿'!BE19</f>
        <v/>
      </c>
      <c r="D19" s="117" t="str">
        <f t="shared" si="9"/>
        <v/>
      </c>
      <c r="E19" s="18" t="str">
        <f>IF($B19="","",IF(AND('②-1職員名簿'!C19="正",'②-1職員名簿'!D19="常"),"正規職員","契約上の就業時間を記載"))</f>
        <v/>
      </c>
      <c r="F19" s="9" t="str">
        <f>IF($B19="","",IF(OR('②-1職員名簿'!AC19="○",'②-1職員名簿'!AC19="●"),IF($E19="正規職員","正",IF($E19="契約上の就業時間を記載","","見込を入力")),"-"))</f>
        <v/>
      </c>
      <c r="G19" s="9" t="str">
        <f>IF($B19="","",IF(OR('②-1職員名簿'!AD19="○",'②-1職員名簿'!AD19="●"),IF($E19="正規職員","正",IF($E19="契約上の就業時間を記載","","実績を入力")),"-"))</f>
        <v/>
      </c>
      <c r="H19" s="9" t="str">
        <f>IF($B19="","",IF(OR('②-1職員名簿'!AE19="○",'②-1職員名簿'!AE19="●"),IF($E19="正規職員","正",IF($E19="契約上の就業時間を記載","","実績を入力")),"-"))</f>
        <v/>
      </c>
      <c r="I19" s="9" t="str">
        <f>IF($B19="","",IF(OR('②-1職員名簿'!AF19="○",'②-1職員名簿'!AF19="●"),IF($E19="正規職員","正",IF($E19="契約上の就業時間を記載","","実績を入力")),"-"))</f>
        <v/>
      </c>
      <c r="J19" s="9" t="str">
        <f>IF($B19="","",IF(OR('②-1職員名簿'!AG19="○",'②-1職員名簿'!AG19="●"),IF($E19="正規職員","正",IF($E19="契約上の就業時間を記載","","実績を入力")),"-"))</f>
        <v/>
      </c>
      <c r="K19" s="9" t="str">
        <f>IF($B19="","",IF(OR('②-1職員名簿'!AH19="○",'②-1職員名簿'!AH19="●"),IF($E19="正規職員","正",IF($E19="契約上の就業時間を記載","","実績を入力")),"-"))</f>
        <v/>
      </c>
      <c r="L19" s="9" t="str">
        <f>IF($B19="","",IF(OR('②-1職員名簿'!AI19="○",'②-1職員名簿'!AI19="●"),IF($E19="正規職員","正",IF($E19="契約上の就業時間を記載","","実績を入力")),"-"))</f>
        <v/>
      </c>
      <c r="M19" s="9" t="str">
        <f>IF($B19="","",IF(OR('②-1職員名簿'!AJ19="○",'②-1職員名簿'!AJ19="●"),IF($E19="正規職員","正",IF($E19="契約上の就業時間を記載","","実績を入力")),"-"))</f>
        <v/>
      </c>
      <c r="N19" s="9" t="str">
        <f>IF($B19="","",IF(OR('②-1職員名簿'!AK19="○",'②-1職員名簿'!AK19="●"),IF($E19="正規職員","正",IF($E19="契約上の就業時間を記載","","実績を入力")),"-"))</f>
        <v/>
      </c>
      <c r="O19" s="9" t="str">
        <f>IF($B19="","",IF(OR('②-1職員名簿'!AL19="○",'②-1職員名簿'!AL19="●"),IF($E19="正規職員","正",IF($E19="契約上の就業時間を記載","","実績を入力")),"-"))</f>
        <v/>
      </c>
      <c r="P19" s="9" t="str">
        <f>IF($B19="","",IF(OR('②-1職員名簿'!AM19="○",'②-1職員名簿'!AM19="●"),IF($E19="正規職員","正",IF($E19="契約上の就業時間を記載","","実績を入力")),"-"))</f>
        <v/>
      </c>
      <c r="Q19" s="9" t="str">
        <f>IF($B19="","",IF(OR('②-1職員名簿'!AN19="○",'②-1職員名簿'!AN19="●"),IF($E19="正規職員","正",IF($E19="契約上の就業時間を記載","","見込を入力")),"-"))</f>
        <v/>
      </c>
      <c r="R19" s="88" t="str">
        <f>IF($B19="","",IF(OR('②-1職員名簿'!AC19="○",'②-1職員名簿'!AC19="●"),IF($E19="正規職員","正",IF($E19="契約上の就業時間を記載","",IF($E19&gt;=F$5,"常",F19))),"-"))</f>
        <v/>
      </c>
      <c r="S19" s="88" t="str">
        <f>IF($B19="","",IF(OR('②-1職員名簿'!AD19="○",'②-1職員名簿'!AD19="●"),IF($E19="正規職員","正",IF($E19="契約上の就業時間を記載","",IF($E19&gt;=G$5,"常",G19))),"-"))</f>
        <v/>
      </c>
      <c r="T19" s="88" t="str">
        <f>IF($B19="","",IF(OR('②-1職員名簿'!AE19="○",'②-1職員名簿'!AE19="●"),IF($E19="正規職員","正",IF($E19="契約上の就業時間を記載","",IF($E19&gt;=H$5,"常",H19))),"-"))</f>
        <v/>
      </c>
      <c r="U19" s="88" t="str">
        <f>IF($B19="","",IF(OR('②-1職員名簿'!AF19="○",'②-1職員名簿'!AF19="●"),IF($E19="正規職員","正",IF($E19="契約上の就業時間を記載","",IF($E19&gt;=I$5,"常",I19))),"-"))</f>
        <v/>
      </c>
      <c r="V19" s="88" t="str">
        <f>IF($B19="","",IF(OR('②-1職員名簿'!AG19="○",'②-1職員名簿'!AG19="●"),IF($E19="正規職員","正",IF($E19="契約上の就業時間を記載","",IF($E19&gt;=J$5,"常",J19))),"-"))</f>
        <v/>
      </c>
      <c r="W19" s="88" t="str">
        <f>IF($B19="","",IF(OR('②-1職員名簿'!AH19="○",'②-1職員名簿'!AH19="●"),IF($E19="正規職員","正",IF($E19="契約上の就業時間を記載","",IF($E19&gt;=K$5,"常",K19))),"-"))</f>
        <v/>
      </c>
      <c r="X19" s="88" t="str">
        <f>IF($B19="","",IF(OR('②-1職員名簿'!AI19="○",'②-1職員名簿'!AI19="●"),IF($E19="正規職員","正",IF($E19="契約上の就業時間を記載","",IF($E19&gt;=L$5,"常",L19))),"-"))</f>
        <v/>
      </c>
      <c r="Y19" s="88" t="str">
        <f>IF($B19="","",IF(OR('②-1職員名簿'!AJ19="○",'②-1職員名簿'!AJ19="●"),IF($E19="正規職員","正",IF($E19="契約上の就業時間を記載","",IF($E19&gt;=M$5,"常",M19))),"-"))</f>
        <v/>
      </c>
      <c r="Z19" s="88" t="str">
        <f>IF($B19="","",IF(OR('②-1職員名簿'!AK19="○",'②-1職員名簿'!AK19="●"),IF($E19="正規職員","正",IF($E19="契約上の就業時間を記載","",IF($E19&gt;=N$5,"常",N19))),"-"))</f>
        <v/>
      </c>
      <c r="AA19" s="88" t="str">
        <f>IF($B19="","",IF(OR('②-1職員名簿'!AL19="○",'②-1職員名簿'!AL19="●"),IF($E19="正規職員","正",IF($E19="契約上の就業時間を記載","",IF($E19&gt;=O$5,"常",O19))),"-"))</f>
        <v/>
      </c>
      <c r="AB19" s="88" t="str">
        <f>IF($B19="","",IF(OR('②-1職員名簿'!AM19="○",'②-1職員名簿'!AM19="●"),IF($E19="正規職員","正",IF($E19="契約上の就業時間を記載","",IF($E19&gt;=P$5,"常",P19))),"-"))</f>
        <v/>
      </c>
      <c r="AC19" s="88" t="str">
        <f>IF($B19="","",IF(OR('②-1職員名簿'!AN19="○",'②-1職員名簿'!AN19="●"),IF($E19="正規職員","正",IF($E19="契約上の就業時間を記載","",IF($E19&gt;=Q$5,"常",Q19))),"-"))</f>
        <v/>
      </c>
      <c r="AE19" s="86" t="str">
        <f>IF('②-1職員名簿'!W19="","",'②-1職員名簿'!W19)</f>
        <v/>
      </c>
      <c r="AJ19" s="17" t="str">
        <f t="shared" si="12"/>
        <v>○</v>
      </c>
      <c r="AK19" s="17" t="str">
        <f t="shared" si="10"/>
        <v>○</v>
      </c>
      <c r="AL19" s="17" t="str">
        <f t="shared" si="10"/>
        <v>○</v>
      </c>
      <c r="AM19" s="17" t="str">
        <f t="shared" si="10"/>
        <v>○</v>
      </c>
      <c r="AN19" s="17" t="str">
        <f t="shared" si="10"/>
        <v>○</v>
      </c>
      <c r="AO19" s="17" t="str">
        <f t="shared" si="10"/>
        <v>○</v>
      </c>
      <c r="AP19" s="17" t="str">
        <f t="shared" si="10"/>
        <v>○</v>
      </c>
      <c r="AQ19" s="17" t="str">
        <f t="shared" si="10"/>
        <v>○</v>
      </c>
      <c r="AR19" s="17" t="str">
        <f t="shared" si="10"/>
        <v>○</v>
      </c>
      <c r="AS19" s="17" t="str">
        <f t="shared" si="10"/>
        <v>○</v>
      </c>
      <c r="AT19" s="17" t="str">
        <f t="shared" si="10"/>
        <v>○</v>
      </c>
      <c r="AU19" s="17" t="str">
        <f t="shared" si="10"/>
        <v>○</v>
      </c>
    </row>
    <row r="20" spans="1:47" s="90" customFormat="1" ht="23.15" customHeight="1">
      <c r="A20" s="87">
        <v>14</v>
      </c>
      <c r="B20" s="86" t="str">
        <f>IF('②-1職員名簿'!E20="","",'②-1職員名簿'!Y20)</f>
        <v/>
      </c>
      <c r="C20" s="88" t="str">
        <f>'②-1職員名簿'!BE20</f>
        <v/>
      </c>
      <c r="D20" s="117" t="str">
        <f t="shared" si="9"/>
        <v/>
      </c>
      <c r="E20" s="18" t="str">
        <f>IF($B20="","",IF(AND('②-1職員名簿'!C20="正",'②-1職員名簿'!D20="常"),"正規職員","契約上の就業時間を記載"))</f>
        <v/>
      </c>
      <c r="F20" s="9" t="str">
        <f>IF($B20="","",IF(OR('②-1職員名簿'!AC20="○",'②-1職員名簿'!AC20="●"),IF($E20="正規職員","正",IF($E20="契約上の就業時間を記載","","見込を入力")),"-"))</f>
        <v/>
      </c>
      <c r="G20" s="9" t="str">
        <f>IF($B20="","",IF(OR('②-1職員名簿'!AD20="○",'②-1職員名簿'!AD20="●"),IF($E20="正規職員","正",IF($E20="契約上の就業時間を記載","","実績を入力")),"-"))</f>
        <v/>
      </c>
      <c r="H20" s="9" t="str">
        <f>IF($B20="","",IF(OR('②-1職員名簿'!AE20="○",'②-1職員名簿'!AE20="●"),IF($E20="正規職員","正",IF($E20="契約上の就業時間を記載","","実績を入力")),"-"))</f>
        <v/>
      </c>
      <c r="I20" s="9" t="str">
        <f>IF($B20="","",IF(OR('②-1職員名簿'!AF20="○",'②-1職員名簿'!AF20="●"),IF($E20="正規職員","正",IF($E20="契約上の就業時間を記載","","実績を入力")),"-"))</f>
        <v/>
      </c>
      <c r="J20" s="9" t="str">
        <f>IF($B20="","",IF(OR('②-1職員名簿'!AG20="○",'②-1職員名簿'!AG20="●"),IF($E20="正規職員","正",IF($E20="契約上の就業時間を記載","","実績を入力")),"-"))</f>
        <v/>
      </c>
      <c r="K20" s="9" t="str">
        <f>IF($B20="","",IF(OR('②-1職員名簿'!AH20="○",'②-1職員名簿'!AH20="●"),IF($E20="正規職員","正",IF($E20="契約上の就業時間を記載","","実績を入力")),"-"))</f>
        <v/>
      </c>
      <c r="L20" s="9" t="str">
        <f>IF($B20="","",IF(OR('②-1職員名簿'!AI20="○",'②-1職員名簿'!AI20="●"),IF($E20="正規職員","正",IF($E20="契約上の就業時間を記載","","実績を入力")),"-"))</f>
        <v/>
      </c>
      <c r="M20" s="9" t="str">
        <f>IF($B20="","",IF(OR('②-1職員名簿'!AJ20="○",'②-1職員名簿'!AJ20="●"),IF($E20="正規職員","正",IF($E20="契約上の就業時間を記載","","実績を入力")),"-"))</f>
        <v/>
      </c>
      <c r="N20" s="9" t="str">
        <f>IF($B20="","",IF(OR('②-1職員名簿'!AK20="○",'②-1職員名簿'!AK20="●"),IF($E20="正規職員","正",IF($E20="契約上の就業時間を記載","","実績を入力")),"-"))</f>
        <v/>
      </c>
      <c r="O20" s="9" t="str">
        <f>IF($B20="","",IF(OR('②-1職員名簿'!AL20="○",'②-1職員名簿'!AL20="●"),IF($E20="正規職員","正",IF($E20="契約上の就業時間を記載","","実績を入力")),"-"))</f>
        <v/>
      </c>
      <c r="P20" s="9" t="str">
        <f>IF($B20="","",IF(OR('②-1職員名簿'!AM20="○",'②-1職員名簿'!AM20="●"),IF($E20="正規職員","正",IF($E20="契約上の就業時間を記載","","実績を入力")),"-"))</f>
        <v/>
      </c>
      <c r="Q20" s="9" t="str">
        <f>IF($B20="","",IF(OR('②-1職員名簿'!AN20="○",'②-1職員名簿'!AN20="●"),IF($E20="正規職員","正",IF($E20="契約上の就業時間を記載","","見込を入力")),"-"))</f>
        <v/>
      </c>
      <c r="R20" s="88" t="str">
        <f>IF($B20="","",IF(OR('②-1職員名簿'!AC20="○",'②-1職員名簿'!AC20="●"),IF($E20="正規職員","正",IF($E20="契約上の就業時間を記載","",IF($E20&gt;=F$5,"常",F20))),"-"))</f>
        <v/>
      </c>
      <c r="S20" s="88" t="str">
        <f>IF($B20="","",IF(OR('②-1職員名簿'!AD20="○",'②-1職員名簿'!AD20="●"),IF($E20="正規職員","正",IF($E20="契約上の就業時間を記載","",IF($E20&gt;=G$5,"常",G20))),"-"))</f>
        <v/>
      </c>
      <c r="T20" s="88" t="str">
        <f>IF($B20="","",IF(OR('②-1職員名簿'!AE20="○",'②-1職員名簿'!AE20="●"),IF($E20="正規職員","正",IF($E20="契約上の就業時間を記載","",IF($E20&gt;=H$5,"常",H20))),"-"))</f>
        <v/>
      </c>
      <c r="U20" s="88" t="str">
        <f>IF($B20="","",IF(OR('②-1職員名簿'!AF20="○",'②-1職員名簿'!AF20="●"),IF($E20="正規職員","正",IF($E20="契約上の就業時間を記載","",IF($E20&gt;=I$5,"常",I20))),"-"))</f>
        <v/>
      </c>
      <c r="V20" s="88" t="str">
        <f>IF($B20="","",IF(OR('②-1職員名簿'!AG20="○",'②-1職員名簿'!AG20="●"),IF($E20="正規職員","正",IF($E20="契約上の就業時間を記載","",IF($E20&gt;=J$5,"常",J20))),"-"))</f>
        <v/>
      </c>
      <c r="W20" s="88" t="str">
        <f>IF($B20="","",IF(OR('②-1職員名簿'!AH20="○",'②-1職員名簿'!AH20="●"),IF($E20="正規職員","正",IF($E20="契約上の就業時間を記載","",IF($E20&gt;=K$5,"常",K20))),"-"))</f>
        <v/>
      </c>
      <c r="X20" s="88" t="str">
        <f>IF($B20="","",IF(OR('②-1職員名簿'!AI20="○",'②-1職員名簿'!AI20="●"),IF($E20="正規職員","正",IF($E20="契約上の就業時間を記載","",IF($E20&gt;=L$5,"常",L20))),"-"))</f>
        <v/>
      </c>
      <c r="Y20" s="88" t="str">
        <f>IF($B20="","",IF(OR('②-1職員名簿'!AJ20="○",'②-1職員名簿'!AJ20="●"),IF($E20="正規職員","正",IF($E20="契約上の就業時間を記載","",IF($E20&gt;=M$5,"常",M20))),"-"))</f>
        <v/>
      </c>
      <c r="Z20" s="88" t="str">
        <f>IF($B20="","",IF(OR('②-1職員名簿'!AK20="○",'②-1職員名簿'!AK20="●"),IF($E20="正規職員","正",IF($E20="契約上の就業時間を記載","",IF($E20&gt;=N$5,"常",N20))),"-"))</f>
        <v/>
      </c>
      <c r="AA20" s="88" t="str">
        <f>IF($B20="","",IF(OR('②-1職員名簿'!AL20="○",'②-1職員名簿'!AL20="●"),IF($E20="正規職員","正",IF($E20="契約上の就業時間を記載","",IF($E20&gt;=O$5,"常",O20))),"-"))</f>
        <v/>
      </c>
      <c r="AB20" s="88" t="str">
        <f>IF($B20="","",IF(OR('②-1職員名簿'!AM20="○",'②-1職員名簿'!AM20="●"),IF($E20="正規職員","正",IF($E20="契約上の就業時間を記載","",IF($E20&gt;=P$5,"常",P20))),"-"))</f>
        <v/>
      </c>
      <c r="AC20" s="88" t="str">
        <f>IF($B20="","",IF(OR('②-1職員名簿'!AN20="○",'②-1職員名簿'!AN20="●"),IF($E20="正規職員","正",IF($E20="契約上の就業時間を記載","",IF($E20&gt;=Q$5,"常",Q20))),"-"))</f>
        <v/>
      </c>
      <c r="AE20" s="86" t="str">
        <f>IF('②-1職員名簿'!W20="","",'②-1職員名簿'!W20)</f>
        <v/>
      </c>
      <c r="AJ20" s="17" t="str">
        <f t="shared" si="12"/>
        <v>○</v>
      </c>
      <c r="AK20" s="17" t="str">
        <f t="shared" si="10"/>
        <v>○</v>
      </c>
      <c r="AL20" s="17" t="str">
        <f t="shared" si="10"/>
        <v>○</v>
      </c>
      <c r="AM20" s="17" t="str">
        <f t="shared" si="10"/>
        <v>○</v>
      </c>
      <c r="AN20" s="17" t="str">
        <f t="shared" si="10"/>
        <v>○</v>
      </c>
      <c r="AO20" s="17" t="str">
        <f t="shared" si="10"/>
        <v>○</v>
      </c>
      <c r="AP20" s="17" t="str">
        <f t="shared" si="10"/>
        <v>○</v>
      </c>
      <c r="AQ20" s="17" t="str">
        <f t="shared" si="10"/>
        <v>○</v>
      </c>
      <c r="AR20" s="17" t="str">
        <f t="shared" si="10"/>
        <v>○</v>
      </c>
      <c r="AS20" s="17" t="str">
        <f t="shared" si="10"/>
        <v>○</v>
      </c>
      <c r="AT20" s="17" t="str">
        <f t="shared" si="10"/>
        <v>○</v>
      </c>
      <c r="AU20" s="17" t="str">
        <f t="shared" si="10"/>
        <v>○</v>
      </c>
    </row>
    <row r="21" spans="1:47" s="90" customFormat="1" ht="23.15" customHeight="1">
      <c r="A21" s="87">
        <v>15</v>
      </c>
      <c r="B21" s="86" t="str">
        <f>IF('②-1職員名簿'!E21="","",'②-1職員名簿'!Y21)</f>
        <v/>
      </c>
      <c r="C21" s="88" t="str">
        <f>'②-1職員名簿'!BE21</f>
        <v/>
      </c>
      <c r="D21" s="117" t="str">
        <f t="shared" si="9"/>
        <v/>
      </c>
      <c r="E21" s="18" t="str">
        <f>IF($B21="","",IF(AND('②-1職員名簿'!C21="正",'②-1職員名簿'!D21="常"),"正規職員","契約上の就業時間を記載"))</f>
        <v/>
      </c>
      <c r="F21" s="9" t="str">
        <f>IF($B21="","",IF(OR('②-1職員名簿'!AC21="○",'②-1職員名簿'!AC21="●"),IF($E21="正規職員","正",IF($E21="契約上の就業時間を記載","","見込を入力")),"-"))</f>
        <v/>
      </c>
      <c r="G21" s="9" t="str">
        <f>IF($B21="","",IF(OR('②-1職員名簿'!AD21="○",'②-1職員名簿'!AD21="●"),IF($E21="正規職員","正",IF($E21="契約上の就業時間を記載","","実績を入力")),"-"))</f>
        <v/>
      </c>
      <c r="H21" s="9" t="str">
        <f>IF($B21="","",IF(OR('②-1職員名簿'!AE21="○",'②-1職員名簿'!AE21="●"),IF($E21="正規職員","正",IF($E21="契約上の就業時間を記載","","実績を入力")),"-"))</f>
        <v/>
      </c>
      <c r="I21" s="9" t="str">
        <f>IF($B21="","",IF(OR('②-1職員名簿'!AF21="○",'②-1職員名簿'!AF21="●"),IF($E21="正規職員","正",IF($E21="契約上の就業時間を記載","","実績を入力")),"-"))</f>
        <v/>
      </c>
      <c r="J21" s="9" t="str">
        <f>IF($B21="","",IF(OR('②-1職員名簿'!AG21="○",'②-1職員名簿'!AG21="●"),IF($E21="正規職員","正",IF($E21="契約上の就業時間を記載","","実績を入力")),"-"))</f>
        <v/>
      </c>
      <c r="K21" s="9" t="str">
        <f>IF($B21="","",IF(OR('②-1職員名簿'!AH21="○",'②-1職員名簿'!AH21="●"),IF($E21="正規職員","正",IF($E21="契約上の就業時間を記載","","実績を入力")),"-"))</f>
        <v/>
      </c>
      <c r="L21" s="9" t="str">
        <f>IF($B21="","",IF(OR('②-1職員名簿'!AI21="○",'②-1職員名簿'!AI21="●"),IF($E21="正規職員","正",IF($E21="契約上の就業時間を記載","","実績を入力")),"-"))</f>
        <v/>
      </c>
      <c r="M21" s="9" t="str">
        <f>IF($B21="","",IF(OR('②-1職員名簿'!AJ21="○",'②-1職員名簿'!AJ21="●"),IF($E21="正規職員","正",IF($E21="契約上の就業時間を記載","","実績を入力")),"-"))</f>
        <v/>
      </c>
      <c r="N21" s="9" t="str">
        <f>IF($B21="","",IF(OR('②-1職員名簿'!AK21="○",'②-1職員名簿'!AK21="●"),IF($E21="正規職員","正",IF($E21="契約上の就業時間を記載","","実績を入力")),"-"))</f>
        <v/>
      </c>
      <c r="O21" s="9" t="str">
        <f>IF($B21="","",IF(OR('②-1職員名簿'!AL21="○",'②-1職員名簿'!AL21="●"),IF($E21="正規職員","正",IF($E21="契約上の就業時間を記載","","実績を入力")),"-"))</f>
        <v/>
      </c>
      <c r="P21" s="9" t="str">
        <f>IF($B21="","",IF(OR('②-1職員名簿'!AM21="○",'②-1職員名簿'!AM21="●"),IF($E21="正規職員","正",IF($E21="契約上の就業時間を記載","","実績を入力")),"-"))</f>
        <v/>
      </c>
      <c r="Q21" s="9" t="str">
        <f>IF($B21="","",IF(OR('②-1職員名簿'!AN21="○",'②-1職員名簿'!AN21="●"),IF($E21="正規職員","正",IF($E21="契約上の就業時間を記載","","見込を入力")),"-"))</f>
        <v/>
      </c>
      <c r="R21" s="88" t="str">
        <f>IF($B21="","",IF(OR('②-1職員名簿'!AC21="○",'②-1職員名簿'!AC21="●"),IF($E21="正規職員","正",IF($E21="契約上の就業時間を記載","",IF($E21&gt;=F$5,"常",F21))),"-"))</f>
        <v/>
      </c>
      <c r="S21" s="88" t="str">
        <f>IF($B21="","",IF(OR('②-1職員名簿'!AD21="○",'②-1職員名簿'!AD21="●"),IF($E21="正規職員","正",IF($E21="契約上の就業時間を記載","",IF($E21&gt;=G$5,"常",G21))),"-"))</f>
        <v/>
      </c>
      <c r="T21" s="88" t="str">
        <f>IF($B21="","",IF(OR('②-1職員名簿'!AE21="○",'②-1職員名簿'!AE21="●"),IF($E21="正規職員","正",IF($E21="契約上の就業時間を記載","",IF($E21&gt;=H$5,"常",H21))),"-"))</f>
        <v/>
      </c>
      <c r="U21" s="88" t="str">
        <f>IF($B21="","",IF(OR('②-1職員名簿'!AF21="○",'②-1職員名簿'!AF21="●"),IF($E21="正規職員","正",IF($E21="契約上の就業時間を記載","",IF($E21&gt;=I$5,"常",I21))),"-"))</f>
        <v/>
      </c>
      <c r="V21" s="88" t="str">
        <f>IF($B21="","",IF(OR('②-1職員名簿'!AG21="○",'②-1職員名簿'!AG21="●"),IF($E21="正規職員","正",IF($E21="契約上の就業時間を記載","",IF($E21&gt;=J$5,"常",J21))),"-"))</f>
        <v/>
      </c>
      <c r="W21" s="88" t="str">
        <f>IF($B21="","",IF(OR('②-1職員名簿'!AH21="○",'②-1職員名簿'!AH21="●"),IF($E21="正規職員","正",IF($E21="契約上の就業時間を記載","",IF($E21&gt;=K$5,"常",K21))),"-"))</f>
        <v/>
      </c>
      <c r="X21" s="88" t="str">
        <f>IF($B21="","",IF(OR('②-1職員名簿'!AI21="○",'②-1職員名簿'!AI21="●"),IF($E21="正規職員","正",IF($E21="契約上の就業時間を記載","",IF($E21&gt;=L$5,"常",L21))),"-"))</f>
        <v/>
      </c>
      <c r="Y21" s="88" t="str">
        <f>IF($B21="","",IF(OR('②-1職員名簿'!AJ21="○",'②-1職員名簿'!AJ21="●"),IF($E21="正規職員","正",IF($E21="契約上の就業時間を記載","",IF($E21&gt;=M$5,"常",M21))),"-"))</f>
        <v/>
      </c>
      <c r="Z21" s="88" t="str">
        <f>IF($B21="","",IF(OR('②-1職員名簿'!AK21="○",'②-1職員名簿'!AK21="●"),IF($E21="正規職員","正",IF($E21="契約上の就業時間を記載","",IF($E21&gt;=N$5,"常",N21))),"-"))</f>
        <v/>
      </c>
      <c r="AA21" s="88" t="str">
        <f>IF($B21="","",IF(OR('②-1職員名簿'!AL21="○",'②-1職員名簿'!AL21="●"),IF($E21="正規職員","正",IF($E21="契約上の就業時間を記載","",IF($E21&gt;=O$5,"常",O21))),"-"))</f>
        <v/>
      </c>
      <c r="AB21" s="88" t="str">
        <f>IF($B21="","",IF(OR('②-1職員名簿'!AM21="○",'②-1職員名簿'!AM21="●"),IF($E21="正規職員","正",IF($E21="契約上の就業時間を記載","",IF($E21&gt;=P$5,"常",P21))),"-"))</f>
        <v/>
      </c>
      <c r="AC21" s="88" t="str">
        <f>IF($B21="","",IF(OR('②-1職員名簿'!AN21="○",'②-1職員名簿'!AN21="●"),IF($E21="正規職員","正",IF($E21="契約上の就業時間を記載","",IF($E21&gt;=Q$5,"常",Q21))),"-"))</f>
        <v/>
      </c>
      <c r="AE21" s="86" t="str">
        <f>IF('②-1職員名簿'!W21="","",'②-1職員名簿'!W21)</f>
        <v/>
      </c>
      <c r="AJ21" s="17" t="str">
        <f t="shared" si="12"/>
        <v>○</v>
      </c>
      <c r="AK21" s="17" t="str">
        <f t="shared" si="10"/>
        <v>○</v>
      </c>
      <c r="AL21" s="17" t="str">
        <f t="shared" si="10"/>
        <v>○</v>
      </c>
      <c r="AM21" s="17" t="str">
        <f t="shared" si="10"/>
        <v>○</v>
      </c>
      <c r="AN21" s="17" t="str">
        <f t="shared" si="10"/>
        <v>○</v>
      </c>
      <c r="AO21" s="17" t="str">
        <f t="shared" si="10"/>
        <v>○</v>
      </c>
      <c r="AP21" s="17" t="str">
        <f t="shared" si="10"/>
        <v>○</v>
      </c>
      <c r="AQ21" s="17" t="str">
        <f t="shared" si="10"/>
        <v>○</v>
      </c>
      <c r="AR21" s="17" t="str">
        <f t="shared" si="10"/>
        <v>○</v>
      </c>
      <c r="AS21" s="17" t="str">
        <f t="shared" si="10"/>
        <v>○</v>
      </c>
      <c r="AT21" s="17" t="str">
        <f t="shared" si="10"/>
        <v>○</v>
      </c>
      <c r="AU21" s="17" t="str">
        <f t="shared" si="10"/>
        <v>○</v>
      </c>
    </row>
    <row r="22" spans="1:47" s="90" customFormat="1" ht="23.15" customHeight="1">
      <c r="A22" s="87">
        <v>16</v>
      </c>
      <c r="B22" s="86" t="str">
        <f>IF('②-1職員名簿'!E22="","",'②-1職員名簿'!Y22)</f>
        <v/>
      </c>
      <c r="C22" s="88" t="str">
        <f>'②-1職員名簿'!BE22</f>
        <v/>
      </c>
      <c r="D22" s="117" t="str">
        <f t="shared" si="9"/>
        <v/>
      </c>
      <c r="E22" s="18" t="str">
        <f>IF($B22="","",IF(AND('②-1職員名簿'!C22="正",'②-1職員名簿'!D22="常"),"正規職員","契約上の就業時間を記載"))</f>
        <v/>
      </c>
      <c r="F22" s="9" t="str">
        <f>IF($B22="","",IF(OR('②-1職員名簿'!AC22="○",'②-1職員名簿'!AC22="●"),IF($E22="正規職員","正",IF($E22="契約上の就業時間を記載","","見込を入力")),"-"))</f>
        <v/>
      </c>
      <c r="G22" s="9" t="str">
        <f>IF($B22="","",IF(OR('②-1職員名簿'!AD22="○",'②-1職員名簿'!AD22="●"),IF($E22="正規職員","正",IF($E22="契約上の就業時間を記載","","実績を入力")),"-"))</f>
        <v/>
      </c>
      <c r="H22" s="9" t="str">
        <f>IF($B22="","",IF(OR('②-1職員名簿'!AE22="○",'②-1職員名簿'!AE22="●"),IF($E22="正規職員","正",IF($E22="契約上の就業時間を記載","","実績を入力")),"-"))</f>
        <v/>
      </c>
      <c r="I22" s="9" t="str">
        <f>IF($B22="","",IF(OR('②-1職員名簿'!AF22="○",'②-1職員名簿'!AF22="●"),IF($E22="正規職員","正",IF($E22="契約上の就業時間を記載","","実績を入力")),"-"))</f>
        <v/>
      </c>
      <c r="J22" s="9" t="str">
        <f>IF($B22="","",IF(OR('②-1職員名簿'!AG22="○",'②-1職員名簿'!AG22="●"),IF($E22="正規職員","正",IF($E22="契約上の就業時間を記載","","実績を入力")),"-"))</f>
        <v/>
      </c>
      <c r="K22" s="9" t="str">
        <f>IF($B22="","",IF(OR('②-1職員名簿'!AH22="○",'②-1職員名簿'!AH22="●"),IF($E22="正規職員","正",IF($E22="契約上の就業時間を記載","","実績を入力")),"-"))</f>
        <v/>
      </c>
      <c r="L22" s="9" t="str">
        <f>IF($B22="","",IF(OR('②-1職員名簿'!AI22="○",'②-1職員名簿'!AI22="●"),IF($E22="正規職員","正",IF($E22="契約上の就業時間を記載","","実績を入力")),"-"))</f>
        <v/>
      </c>
      <c r="M22" s="9" t="str">
        <f>IF($B22="","",IF(OR('②-1職員名簿'!AJ22="○",'②-1職員名簿'!AJ22="●"),IF($E22="正規職員","正",IF($E22="契約上の就業時間を記載","","実績を入力")),"-"))</f>
        <v/>
      </c>
      <c r="N22" s="9" t="str">
        <f>IF($B22="","",IF(OR('②-1職員名簿'!AK22="○",'②-1職員名簿'!AK22="●"),IF($E22="正規職員","正",IF($E22="契約上の就業時間を記載","","実績を入力")),"-"))</f>
        <v/>
      </c>
      <c r="O22" s="9" t="str">
        <f>IF($B22="","",IF(OR('②-1職員名簿'!AL22="○",'②-1職員名簿'!AL22="●"),IF($E22="正規職員","正",IF($E22="契約上の就業時間を記載","","実績を入力")),"-"))</f>
        <v/>
      </c>
      <c r="P22" s="9" t="str">
        <f>IF($B22="","",IF(OR('②-1職員名簿'!AM22="○",'②-1職員名簿'!AM22="●"),IF($E22="正規職員","正",IF($E22="契約上の就業時間を記載","","実績を入力")),"-"))</f>
        <v/>
      </c>
      <c r="Q22" s="9" t="str">
        <f>IF($B22="","",IF(OR('②-1職員名簿'!AN22="○",'②-1職員名簿'!AN22="●"),IF($E22="正規職員","正",IF($E22="契約上の就業時間を記載","","見込を入力")),"-"))</f>
        <v/>
      </c>
      <c r="R22" s="88" t="str">
        <f>IF($B22="","",IF(OR('②-1職員名簿'!AC22="○",'②-1職員名簿'!AC22="●"),IF($E22="正規職員","正",IF($E22="契約上の就業時間を記載","",IF($E22&gt;=F$5,"常",F22))),"-"))</f>
        <v/>
      </c>
      <c r="S22" s="88" t="str">
        <f>IF($B22="","",IF(OR('②-1職員名簿'!AD22="○",'②-1職員名簿'!AD22="●"),IF($E22="正規職員","正",IF($E22="契約上の就業時間を記載","",IF($E22&gt;=G$5,"常",G22))),"-"))</f>
        <v/>
      </c>
      <c r="T22" s="88" t="str">
        <f>IF($B22="","",IF(OR('②-1職員名簿'!AE22="○",'②-1職員名簿'!AE22="●"),IF($E22="正規職員","正",IF($E22="契約上の就業時間を記載","",IF($E22&gt;=H$5,"常",H22))),"-"))</f>
        <v/>
      </c>
      <c r="U22" s="88" t="str">
        <f>IF($B22="","",IF(OR('②-1職員名簿'!AF22="○",'②-1職員名簿'!AF22="●"),IF($E22="正規職員","正",IF($E22="契約上の就業時間を記載","",IF($E22&gt;=I$5,"常",I22))),"-"))</f>
        <v/>
      </c>
      <c r="V22" s="88" t="str">
        <f>IF($B22="","",IF(OR('②-1職員名簿'!AG22="○",'②-1職員名簿'!AG22="●"),IF($E22="正規職員","正",IF($E22="契約上の就業時間を記載","",IF($E22&gt;=J$5,"常",J22))),"-"))</f>
        <v/>
      </c>
      <c r="W22" s="88" t="str">
        <f>IF($B22="","",IF(OR('②-1職員名簿'!AH22="○",'②-1職員名簿'!AH22="●"),IF($E22="正規職員","正",IF($E22="契約上の就業時間を記載","",IF($E22&gt;=K$5,"常",K22))),"-"))</f>
        <v/>
      </c>
      <c r="X22" s="88" t="str">
        <f>IF($B22="","",IF(OR('②-1職員名簿'!AI22="○",'②-1職員名簿'!AI22="●"),IF($E22="正規職員","正",IF($E22="契約上の就業時間を記載","",IF($E22&gt;=L$5,"常",L22))),"-"))</f>
        <v/>
      </c>
      <c r="Y22" s="88" t="str">
        <f>IF($B22="","",IF(OR('②-1職員名簿'!AJ22="○",'②-1職員名簿'!AJ22="●"),IF($E22="正規職員","正",IF($E22="契約上の就業時間を記載","",IF($E22&gt;=M$5,"常",M22))),"-"))</f>
        <v/>
      </c>
      <c r="Z22" s="88" t="str">
        <f>IF($B22="","",IF(OR('②-1職員名簿'!AK22="○",'②-1職員名簿'!AK22="●"),IF($E22="正規職員","正",IF($E22="契約上の就業時間を記載","",IF($E22&gt;=N$5,"常",N22))),"-"))</f>
        <v/>
      </c>
      <c r="AA22" s="88" t="str">
        <f>IF($B22="","",IF(OR('②-1職員名簿'!AL22="○",'②-1職員名簿'!AL22="●"),IF($E22="正規職員","正",IF($E22="契約上の就業時間を記載","",IF($E22&gt;=O$5,"常",O22))),"-"))</f>
        <v/>
      </c>
      <c r="AB22" s="88" t="str">
        <f>IF($B22="","",IF(OR('②-1職員名簿'!AM22="○",'②-1職員名簿'!AM22="●"),IF($E22="正規職員","正",IF($E22="契約上の就業時間を記載","",IF($E22&gt;=P$5,"常",P22))),"-"))</f>
        <v/>
      </c>
      <c r="AC22" s="88" t="str">
        <f>IF($B22="","",IF(OR('②-1職員名簿'!AN22="○",'②-1職員名簿'!AN22="●"),IF($E22="正規職員","正",IF($E22="契約上の就業時間を記載","",IF($E22&gt;=Q$5,"常",Q22))),"-"))</f>
        <v/>
      </c>
      <c r="AE22" s="86" t="str">
        <f>IF('②-1職員名簿'!W22="","",'②-1職員名簿'!W22)</f>
        <v/>
      </c>
      <c r="AJ22" s="17" t="str">
        <f t="shared" si="12"/>
        <v>○</v>
      </c>
      <c r="AK22" s="17" t="str">
        <f t="shared" si="10"/>
        <v>○</v>
      </c>
      <c r="AL22" s="17" t="str">
        <f t="shared" si="10"/>
        <v>○</v>
      </c>
      <c r="AM22" s="17" t="str">
        <f t="shared" si="10"/>
        <v>○</v>
      </c>
      <c r="AN22" s="17" t="str">
        <f t="shared" si="10"/>
        <v>○</v>
      </c>
      <c r="AO22" s="17" t="str">
        <f t="shared" si="10"/>
        <v>○</v>
      </c>
      <c r="AP22" s="17" t="str">
        <f t="shared" si="10"/>
        <v>○</v>
      </c>
      <c r="AQ22" s="17" t="str">
        <f t="shared" si="10"/>
        <v>○</v>
      </c>
      <c r="AR22" s="17" t="str">
        <f t="shared" si="10"/>
        <v>○</v>
      </c>
      <c r="AS22" s="17" t="str">
        <f t="shared" si="10"/>
        <v>○</v>
      </c>
      <c r="AT22" s="17" t="str">
        <f t="shared" si="10"/>
        <v>○</v>
      </c>
      <c r="AU22" s="17" t="str">
        <f t="shared" si="10"/>
        <v>○</v>
      </c>
    </row>
    <row r="23" spans="1:47" s="90" customFormat="1" ht="23.15" customHeight="1">
      <c r="A23" s="87">
        <v>17</v>
      </c>
      <c r="B23" s="86" t="str">
        <f>IF('②-1職員名簿'!E23="","",'②-1職員名簿'!Y23)</f>
        <v/>
      </c>
      <c r="C23" s="88" t="str">
        <f>'②-1職員名簿'!BE23</f>
        <v/>
      </c>
      <c r="D23" s="117" t="str">
        <f t="shared" si="9"/>
        <v/>
      </c>
      <c r="E23" s="18" t="str">
        <f>IF($B23="","",IF(AND('②-1職員名簿'!C23="正",'②-1職員名簿'!D23="常"),"正規職員","契約上の就業時間を記載"))</f>
        <v/>
      </c>
      <c r="F23" s="9" t="str">
        <f>IF($B23="","",IF(OR('②-1職員名簿'!AC23="○",'②-1職員名簿'!AC23="●"),IF($E23="正規職員","正",IF($E23="契約上の就業時間を記載","","見込を入力")),"-"))</f>
        <v/>
      </c>
      <c r="G23" s="9" t="str">
        <f>IF($B23="","",IF(OR('②-1職員名簿'!AD23="○",'②-1職員名簿'!AD23="●"),IF($E23="正規職員","正",IF($E23="契約上の就業時間を記載","","実績を入力")),"-"))</f>
        <v/>
      </c>
      <c r="H23" s="9" t="str">
        <f>IF($B23="","",IF(OR('②-1職員名簿'!AE23="○",'②-1職員名簿'!AE23="●"),IF($E23="正規職員","正",IF($E23="契約上の就業時間を記載","","実績を入力")),"-"))</f>
        <v/>
      </c>
      <c r="I23" s="9" t="str">
        <f>IF($B23="","",IF(OR('②-1職員名簿'!AF23="○",'②-1職員名簿'!AF23="●"),IF($E23="正規職員","正",IF($E23="契約上の就業時間を記載","","実績を入力")),"-"))</f>
        <v/>
      </c>
      <c r="J23" s="9" t="str">
        <f>IF($B23="","",IF(OR('②-1職員名簿'!AG23="○",'②-1職員名簿'!AG23="●"),IF($E23="正規職員","正",IF($E23="契約上の就業時間を記載","","実績を入力")),"-"))</f>
        <v/>
      </c>
      <c r="K23" s="9" t="str">
        <f>IF($B23="","",IF(OR('②-1職員名簿'!AH23="○",'②-1職員名簿'!AH23="●"),IF($E23="正規職員","正",IF($E23="契約上の就業時間を記載","","実績を入力")),"-"))</f>
        <v/>
      </c>
      <c r="L23" s="9" t="str">
        <f>IF($B23="","",IF(OR('②-1職員名簿'!AI23="○",'②-1職員名簿'!AI23="●"),IF($E23="正規職員","正",IF($E23="契約上の就業時間を記載","","実績を入力")),"-"))</f>
        <v/>
      </c>
      <c r="M23" s="9" t="str">
        <f>IF($B23="","",IF(OR('②-1職員名簿'!AJ23="○",'②-1職員名簿'!AJ23="●"),IF($E23="正規職員","正",IF($E23="契約上の就業時間を記載","","実績を入力")),"-"))</f>
        <v/>
      </c>
      <c r="N23" s="9" t="str">
        <f>IF($B23="","",IF(OR('②-1職員名簿'!AK23="○",'②-1職員名簿'!AK23="●"),IF($E23="正規職員","正",IF($E23="契約上の就業時間を記載","","実績を入力")),"-"))</f>
        <v/>
      </c>
      <c r="O23" s="9" t="str">
        <f>IF($B23="","",IF(OR('②-1職員名簿'!AL23="○",'②-1職員名簿'!AL23="●"),IF($E23="正規職員","正",IF($E23="契約上の就業時間を記載","","実績を入力")),"-"))</f>
        <v/>
      </c>
      <c r="P23" s="9" t="str">
        <f>IF($B23="","",IF(OR('②-1職員名簿'!AM23="○",'②-1職員名簿'!AM23="●"),IF($E23="正規職員","正",IF($E23="契約上の就業時間を記載","","実績を入力")),"-"))</f>
        <v/>
      </c>
      <c r="Q23" s="9" t="str">
        <f>IF($B23="","",IF(OR('②-1職員名簿'!AN23="○",'②-1職員名簿'!AN23="●"),IF($E23="正規職員","正",IF($E23="契約上の就業時間を記載","","見込を入力")),"-"))</f>
        <v/>
      </c>
      <c r="R23" s="88" t="str">
        <f>IF($B23="","",IF(OR('②-1職員名簿'!AC23="○",'②-1職員名簿'!AC23="●"),IF($E23="正規職員","正",IF($E23="契約上の就業時間を記載","",IF($E23&gt;=F$5,"常",F23))),"-"))</f>
        <v/>
      </c>
      <c r="S23" s="88" t="str">
        <f>IF($B23="","",IF(OR('②-1職員名簿'!AD23="○",'②-1職員名簿'!AD23="●"),IF($E23="正規職員","正",IF($E23="契約上の就業時間を記載","",IF($E23&gt;=G$5,"常",G23))),"-"))</f>
        <v/>
      </c>
      <c r="T23" s="88" t="str">
        <f>IF($B23="","",IF(OR('②-1職員名簿'!AE23="○",'②-1職員名簿'!AE23="●"),IF($E23="正規職員","正",IF($E23="契約上の就業時間を記載","",IF($E23&gt;=H$5,"常",H23))),"-"))</f>
        <v/>
      </c>
      <c r="U23" s="88" t="str">
        <f>IF($B23="","",IF(OR('②-1職員名簿'!AF23="○",'②-1職員名簿'!AF23="●"),IF($E23="正規職員","正",IF($E23="契約上の就業時間を記載","",IF($E23&gt;=I$5,"常",I23))),"-"))</f>
        <v/>
      </c>
      <c r="V23" s="88" t="str">
        <f>IF($B23="","",IF(OR('②-1職員名簿'!AG23="○",'②-1職員名簿'!AG23="●"),IF($E23="正規職員","正",IF($E23="契約上の就業時間を記載","",IF($E23&gt;=J$5,"常",J23))),"-"))</f>
        <v/>
      </c>
      <c r="W23" s="88" t="str">
        <f>IF($B23="","",IF(OR('②-1職員名簿'!AH23="○",'②-1職員名簿'!AH23="●"),IF($E23="正規職員","正",IF($E23="契約上の就業時間を記載","",IF($E23&gt;=K$5,"常",K23))),"-"))</f>
        <v/>
      </c>
      <c r="X23" s="88" t="str">
        <f>IF($B23="","",IF(OR('②-1職員名簿'!AI23="○",'②-1職員名簿'!AI23="●"),IF($E23="正規職員","正",IF($E23="契約上の就業時間を記載","",IF($E23&gt;=L$5,"常",L23))),"-"))</f>
        <v/>
      </c>
      <c r="Y23" s="88" t="str">
        <f>IF($B23="","",IF(OR('②-1職員名簿'!AJ23="○",'②-1職員名簿'!AJ23="●"),IF($E23="正規職員","正",IF($E23="契約上の就業時間を記載","",IF($E23&gt;=M$5,"常",M23))),"-"))</f>
        <v/>
      </c>
      <c r="Z23" s="88" t="str">
        <f>IF($B23="","",IF(OR('②-1職員名簿'!AK23="○",'②-1職員名簿'!AK23="●"),IF($E23="正規職員","正",IF($E23="契約上の就業時間を記載","",IF($E23&gt;=N$5,"常",N23))),"-"))</f>
        <v/>
      </c>
      <c r="AA23" s="88" t="str">
        <f>IF($B23="","",IF(OR('②-1職員名簿'!AL23="○",'②-1職員名簿'!AL23="●"),IF($E23="正規職員","正",IF($E23="契約上の就業時間を記載","",IF($E23&gt;=O$5,"常",O23))),"-"))</f>
        <v/>
      </c>
      <c r="AB23" s="88" t="str">
        <f>IF($B23="","",IF(OR('②-1職員名簿'!AM23="○",'②-1職員名簿'!AM23="●"),IF($E23="正規職員","正",IF($E23="契約上の就業時間を記載","",IF($E23&gt;=P$5,"常",P23))),"-"))</f>
        <v/>
      </c>
      <c r="AC23" s="88" t="str">
        <f>IF($B23="","",IF(OR('②-1職員名簿'!AN23="○",'②-1職員名簿'!AN23="●"),IF($E23="正規職員","正",IF($E23="契約上の就業時間を記載","",IF($E23&gt;=Q$5,"常",Q23))),"-"))</f>
        <v/>
      </c>
      <c r="AE23" s="86" t="str">
        <f>IF('②-1職員名簿'!W23="","",'②-1職員名簿'!W23)</f>
        <v/>
      </c>
      <c r="AJ23" s="17" t="str">
        <f t="shared" si="12"/>
        <v>○</v>
      </c>
      <c r="AK23" s="17" t="str">
        <f t="shared" ref="AK23:AK86" si="13">IF(AND($C23="常勤的非常勤",$E23&lt;G$5),"×",IF(AND($C23="短時間非常勤",G$5&lt;=$E23),"×",IF(AND($C23="嘱託常勤",$E23&lt;G$5),"×",IF(AND($C23="嘱託非常勤",G$5&lt;=$E23),"×","○"))))</f>
        <v>○</v>
      </c>
      <c r="AL23" s="17" t="str">
        <f t="shared" ref="AL23:AL86" si="14">IF(AND($C23="常勤的非常勤",$E23&lt;H$5),"×",IF(AND($C23="短時間非常勤",H$5&lt;=$E23),"×",IF(AND($C23="嘱託常勤",$E23&lt;H$5),"×",IF(AND($C23="嘱託非常勤",H$5&lt;=$E23),"×","○"))))</f>
        <v>○</v>
      </c>
      <c r="AM23" s="17" t="str">
        <f t="shared" ref="AM23:AM86" si="15">IF(AND($C23="常勤的非常勤",$E23&lt;I$5),"×",IF(AND($C23="短時間非常勤",I$5&lt;=$E23),"×",IF(AND($C23="嘱託常勤",$E23&lt;I$5),"×",IF(AND($C23="嘱託非常勤",I$5&lt;=$E23),"×","○"))))</f>
        <v>○</v>
      </c>
      <c r="AN23" s="17" t="str">
        <f t="shared" ref="AN23:AN86" si="16">IF(AND($C23="常勤的非常勤",$E23&lt;J$5),"×",IF(AND($C23="短時間非常勤",J$5&lt;=$E23),"×",IF(AND($C23="嘱託常勤",$E23&lt;J$5),"×",IF(AND($C23="嘱託非常勤",J$5&lt;=$E23),"×","○"))))</f>
        <v>○</v>
      </c>
      <c r="AO23" s="17" t="str">
        <f t="shared" ref="AO23:AO86" si="17">IF(AND($C23="常勤的非常勤",$E23&lt;K$5),"×",IF(AND($C23="短時間非常勤",K$5&lt;=$E23),"×",IF(AND($C23="嘱託常勤",$E23&lt;K$5),"×",IF(AND($C23="嘱託非常勤",K$5&lt;=$E23),"×","○"))))</f>
        <v>○</v>
      </c>
      <c r="AP23" s="17" t="str">
        <f t="shared" ref="AP23:AP86" si="18">IF(AND($C23="常勤的非常勤",$E23&lt;L$5),"×",IF(AND($C23="短時間非常勤",L$5&lt;=$E23),"×",IF(AND($C23="嘱託常勤",$E23&lt;L$5),"×",IF(AND($C23="嘱託非常勤",L$5&lt;=$E23),"×","○"))))</f>
        <v>○</v>
      </c>
      <c r="AQ23" s="17" t="str">
        <f t="shared" ref="AQ23:AQ86" si="19">IF(AND($C23="常勤的非常勤",$E23&lt;M$5),"×",IF(AND($C23="短時間非常勤",M$5&lt;=$E23),"×",IF(AND($C23="嘱託常勤",$E23&lt;M$5),"×",IF(AND($C23="嘱託非常勤",M$5&lt;=$E23),"×","○"))))</f>
        <v>○</v>
      </c>
      <c r="AR23" s="17" t="str">
        <f t="shared" ref="AR23:AR86" si="20">IF(AND($C23="常勤的非常勤",$E23&lt;N$5),"×",IF(AND($C23="短時間非常勤",N$5&lt;=$E23),"×",IF(AND($C23="嘱託常勤",$E23&lt;N$5),"×",IF(AND($C23="嘱託非常勤",N$5&lt;=$E23),"×","○"))))</f>
        <v>○</v>
      </c>
      <c r="AS23" s="17" t="str">
        <f t="shared" ref="AS23:AS86" si="21">IF(AND($C23="常勤的非常勤",$E23&lt;O$5),"×",IF(AND($C23="短時間非常勤",O$5&lt;=$E23),"×",IF(AND($C23="嘱託常勤",$E23&lt;O$5),"×",IF(AND($C23="嘱託非常勤",O$5&lt;=$E23),"×","○"))))</f>
        <v>○</v>
      </c>
      <c r="AT23" s="17" t="str">
        <f t="shared" ref="AT23:AT86" si="22">IF(AND($C23="常勤的非常勤",$E23&lt;P$5),"×",IF(AND($C23="短時間非常勤",P$5&lt;=$E23),"×",IF(AND($C23="嘱託常勤",$E23&lt;P$5),"×",IF(AND($C23="嘱託非常勤",P$5&lt;=$E23),"×","○"))))</f>
        <v>○</v>
      </c>
      <c r="AU23" s="17" t="str">
        <f t="shared" ref="AU23:AU86" si="23">IF(AND($C23="常勤的非常勤",$E23&lt;Q$5),"×",IF(AND($C23="短時間非常勤",Q$5&lt;=$E23),"×",IF(AND($C23="嘱託常勤",$E23&lt;Q$5),"×",IF(AND($C23="嘱託非常勤",Q$5&lt;=$E23),"×","○"))))</f>
        <v>○</v>
      </c>
    </row>
    <row r="24" spans="1:47" s="90" customFormat="1" ht="23.15" customHeight="1">
      <c r="A24" s="87">
        <v>18</v>
      </c>
      <c r="B24" s="86" t="str">
        <f>IF('②-1職員名簿'!E24="","",'②-1職員名簿'!Y24)</f>
        <v/>
      </c>
      <c r="C24" s="88" t="str">
        <f>'②-1職員名簿'!BE24</f>
        <v/>
      </c>
      <c r="D24" s="117" t="str">
        <f t="shared" si="9"/>
        <v/>
      </c>
      <c r="E24" s="18" t="str">
        <f>IF($B24="","",IF(AND('②-1職員名簿'!C24="正",'②-1職員名簿'!D24="常"),"正規職員","契約上の就業時間を記載"))</f>
        <v/>
      </c>
      <c r="F24" s="9" t="str">
        <f>IF($B24="","",IF(OR('②-1職員名簿'!AC24="○",'②-1職員名簿'!AC24="●"),IF($E24="正規職員","正",IF($E24="契約上の就業時間を記載","","見込を入力")),"-"))</f>
        <v/>
      </c>
      <c r="G24" s="9" t="str">
        <f>IF($B24="","",IF(OR('②-1職員名簿'!AD24="○",'②-1職員名簿'!AD24="●"),IF($E24="正規職員","正",IF($E24="契約上の就業時間を記載","","実績を入力")),"-"))</f>
        <v/>
      </c>
      <c r="H24" s="9" t="str">
        <f>IF($B24="","",IF(OR('②-1職員名簿'!AE24="○",'②-1職員名簿'!AE24="●"),IF($E24="正規職員","正",IF($E24="契約上の就業時間を記載","","実績を入力")),"-"))</f>
        <v/>
      </c>
      <c r="I24" s="9" t="str">
        <f>IF($B24="","",IF(OR('②-1職員名簿'!AF24="○",'②-1職員名簿'!AF24="●"),IF($E24="正規職員","正",IF($E24="契約上の就業時間を記載","","実績を入力")),"-"))</f>
        <v/>
      </c>
      <c r="J24" s="9" t="str">
        <f>IF($B24="","",IF(OR('②-1職員名簿'!AG24="○",'②-1職員名簿'!AG24="●"),IF($E24="正規職員","正",IF($E24="契約上の就業時間を記載","","実績を入力")),"-"))</f>
        <v/>
      </c>
      <c r="K24" s="9" t="str">
        <f>IF($B24="","",IF(OR('②-1職員名簿'!AH24="○",'②-1職員名簿'!AH24="●"),IF($E24="正規職員","正",IF($E24="契約上の就業時間を記載","","実績を入力")),"-"))</f>
        <v/>
      </c>
      <c r="L24" s="9" t="str">
        <f>IF($B24="","",IF(OR('②-1職員名簿'!AI24="○",'②-1職員名簿'!AI24="●"),IF($E24="正規職員","正",IF($E24="契約上の就業時間を記載","","実績を入力")),"-"))</f>
        <v/>
      </c>
      <c r="M24" s="9" t="str">
        <f>IF($B24="","",IF(OR('②-1職員名簿'!AJ24="○",'②-1職員名簿'!AJ24="●"),IF($E24="正規職員","正",IF($E24="契約上の就業時間を記載","","実績を入力")),"-"))</f>
        <v/>
      </c>
      <c r="N24" s="9" t="str">
        <f>IF($B24="","",IF(OR('②-1職員名簿'!AK24="○",'②-1職員名簿'!AK24="●"),IF($E24="正規職員","正",IF($E24="契約上の就業時間を記載","","実績を入力")),"-"))</f>
        <v/>
      </c>
      <c r="O24" s="9" t="str">
        <f>IF($B24="","",IF(OR('②-1職員名簿'!AL24="○",'②-1職員名簿'!AL24="●"),IF($E24="正規職員","正",IF($E24="契約上の就業時間を記載","","実績を入力")),"-"))</f>
        <v/>
      </c>
      <c r="P24" s="9" t="str">
        <f>IF($B24="","",IF(OR('②-1職員名簿'!AM24="○",'②-1職員名簿'!AM24="●"),IF($E24="正規職員","正",IF($E24="契約上の就業時間を記載","","実績を入力")),"-"))</f>
        <v/>
      </c>
      <c r="Q24" s="9" t="str">
        <f>IF($B24="","",IF(OR('②-1職員名簿'!AN24="○",'②-1職員名簿'!AN24="●"),IF($E24="正規職員","正",IF($E24="契約上の就業時間を記載","","見込を入力")),"-"))</f>
        <v/>
      </c>
      <c r="R24" s="88" t="str">
        <f>IF($B24="","",IF(OR('②-1職員名簿'!AC24="○",'②-1職員名簿'!AC24="●"),IF($E24="正規職員","正",IF($E24="契約上の就業時間を記載","",IF($E24&gt;=F$5,"常",F24))),"-"))</f>
        <v/>
      </c>
      <c r="S24" s="88" t="str">
        <f>IF($B24="","",IF(OR('②-1職員名簿'!AD24="○",'②-1職員名簿'!AD24="●"),IF($E24="正規職員","正",IF($E24="契約上の就業時間を記載","",IF($E24&gt;=G$5,"常",G24))),"-"))</f>
        <v/>
      </c>
      <c r="T24" s="88" t="str">
        <f>IF($B24="","",IF(OR('②-1職員名簿'!AE24="○",'②-1職員名簿'!AE24="●"),IF($E24="正規職員","正",IF($E24="契約上の就業時間を記載","",IF($E24&gt;=H$5,"常",H24))),"-"))</f>
        <v/>
      </c>
      <c r="U24" s="88" t="str">
        <f>IF($B24="","",IF(OR('②-1職員名簿'!AF24="○",'②-1職員名簿'!AF24="●"),IF($E24="正規職員","正",IF($E24="契約上の就業時間を記載","",IF($E24&gt;=I$5,"常",I24))),"-"))</f>
        <v/>
      </c>
      <c r="V24" s="88" t="str">
        <f>IF($B24="","",IF(OR('②-1職員名簿'!AG24="○",'②-1職員名簿'!AG24="●"),IF($E24="正規職員","正",IF($E24="契約上の就業時間を記載","",IF($E24&gt;=J$5,"常",J24))),"-"))</f>
        <v/>
      </c>
      <c r="W24" s="88" t="str">
        <f>IF($B24="","",IF(OR('②-1職員名簿'!AH24="○",'②-1職員名簿'!AH24="●"),IF($E24="正規職員","正",IF($E24="契約上の就業時間を記載","",IF($E24&gt;=K$5,"常",K24))),"-"))</f>
        <v/>
      </c>
      <c r="X24" s="88" t="str">
        <f>IF($B24="","",IF(OR('②-1職員名簿'!AI24="○",'②-1職員名簿'!AI24="●"),IF($E24="正規職員","正",IF($E24="契約上の就業時間を記載","",IF($E24&gt;=L$5,"常",L24))),"-"))</f>
        <v/>
      </c>
      <c r="Y24" s="88" t="str">
        <f>IF($B24="","",IF(OR('②-1職員名簿'!AJ24="○",'②-1職員名簿'!AJ24="●"),IF($E24="正規職員","正",IF($E24="契約上の就業時間を記載","",IF($E24&gt;=M$5,"常",M24))),"-"))</f>
        <v/>
      </c>
      <c r="Z24" s="88" t="str">
        <f>IF($B24="","",IF(OR('②-1職員名簿'!AK24="○",'②-1職員名簿'!AK24="●"),IF($E24="正規職員","正",IF($E24="契約上の就業時間を記載","",IF($E24&gt;=N$5,"常",N24))),"-"))</f>
        <v/>
      </c>
      <c r="AA24" s="88" t="str">
        <f>IF($B24="","",IF(OR('②-1職員名簿'!AL24="○",'②-1職員名簿'!AL24="●"),IF($E24="正規職員","正",IF($E24="契約上の就業時間を記載","",IF($E24&gt;=O$5,"常",O24))),"-"))</f>
        <v/>
      </c>
      <c r="AB24" s="88" t="str">
        <f>IF($B24="","",IF(OR('②-1職員名簿'!AM24="○",'②-1職員名簿'!AM24="●"),IF($E24="正規職員","正",IF($E24="契約上の就業時間を記載","",IF($E24&gt;=P$5,"常",P24))),"-"))</f>
        <v/>
      </c>
      <c r="AC24" s="88" t="str">
        <f>IF($B24="","",IF(OR('②-1職員名簿'!AN24="○",'②-1職員名簿'!AN24="●"),IF($E24="正規職員","正",IF($E24="契約上の就業時間を記載","",IF($E24&gt;=Q$5,"常",Q24))),"-"))</f>
        <v/>
      </c>
      <c r="AE24" s="86" t="str">
        <f>IF('②-1職員名簿'!W24="","",'②-1職員名簿'!W24)</f>
        <v/>
      </c>
      <c r="AJ24" s="17" t="str">
        <f t="shared" si="12"/>
        <v>○</v>
      </c>
      <c r="AK24" s="17" t="str">
        <f t="shared" si="13"/>
        <v>○</v>
      </c>
      <c r="AL24" s="17" t="str">
        <f t="shared" si="14"/>
        <v>○</v>
      </c>
      <c r="AM24" s="17" t="str">
        <f t="shared" si="15"/>
        <v>○</v>
      </c>
      <c r="AN24" s="17" t="str">
        <f t="shared" si="16"/>
        <v>○</v>
      </c>
      <c r="AO24" s="17" t="str">
        <f t="shared" si="17"/>
        <v>○</v>
      </c>
      <c r="AP24" s="17" t="str">
        <f t="shared" si="18"/>
        <v>○</v>
      </c>
      <c r="AQ24" s="17" t="str">
        <f t="shared" si="19"/>
        <v>○</v>
      </c>
      <c r="AR24" s="17" t="str">
        <f t="shared" si="20"/>
        <v>○</v>
      </c>
      <c r="AS24" s="17" t="str">
        <f t="shared" si="21"/>
        <v>○</v>
      </c>
      <c r="AT24" s="17" t="str">
        <f t="shared" si="22"/>
        <v>○</v>
      </c>
      <c r="AU24" s="17" t="str">
        <f t="shared" si="23"/>
        <v>○</v>
      </c>
    </row>
    <row r="25" spans="1:47" s="90" customFormat="1" ht="23.15" customHeight="1">
      <c r="A25" s="87">
        <v>19</v>
      </c>
      <c r="B25" s="86" t="str">
        <f>IF('②-1職員名簿'!E25="","",'②-1職員名簿'!Y25)</f>
        <v/>
      </c>
      <c r="C25" s="88" t="str">
        <f>'②-1職員名簿'!BE25</f>
        <v/>
      </c>
      <c r="D25" s="117" t="str">
        <f t="shared" si="9"/>
        <v/>
      </c>
      <c r="E25" s="18" t="str">
        <f>IF($B25="","",IF(AND('②-1職員名簿'!C25="正",'②-1職員名簿'!D25="常"),"正規職員","契約上の就業時間を記載"))</f>
        <v/>
      </c>
      <c r="F25" s="9" t="str">
        <f>IF($B25="","",IF(OR('②-1職員名簿'!AC25="○",'②-1職員名簿'!AC25="●"),IF($E25="正規職員","正",IF($E25="契約上の就業時間を記載","","見込を入力")),"-"))</f>
        <v/>
      </c>
      <c r="G25" s="9" t="str">
        <f>IF($B25="","",IF(OR('②-1職員名簿'!AD25="○",'②-1職員名簿'!AD25="●"),IF($E25="正規職員","正",IF($E25="契約上の就業時間を記載","","実績を入力")),"-"))</f>
        <v/>
      </c>
      <c r="H25" s="9" t="str">
        <f>IF($B25="","",IF(OR('②-1職員名簿'!AE25="○",'②-1職員名簿'!AE25="●"),IF($E25="正規職員","正",IF($E25="契約上の就業時間を記載","","実績を入力")),"-"))</f>
        <v/>
      </c>
      <c r="I25" s="9" t="str">
        <f>IF($B25="","",IF(OR('②-1職員名簿'!AF25="○",'②-1職員名簿'!AF25="●"),IF($E25="正規職員","正",IF($E25="契約上の就業時間を記載","","実績を入力")),"-"))</f>
        <v/>
      </c>
      <c r="J25" s="9" t="str">
        <f>IF($B25="","",IF(OR('②-1職員名簿'!AG25="○",'②-1職員名簿'!AG25="●"),IF($E25="正規職員","正",IF($E25="契約上の就業時間を記載","","実績を入力")),"-"))</f>
        <v/>
      </c>
      <c r="K25" s="9" t="str">
        <f>IF($B25="","",IF(OR('②-1職員名簿'!AH25="○",'②-1職員名簿'!AH25="●"),IF($E25="正規職員","正",IF($E25="契約上の就業時間を記載","","実績を入力")),"-"))</f>
        <v/>
      </c>
      <c r="L25" s="9" t="str">
        <f>IF($B25="","",IF(OR('②-1職員名簿'!AI25="○",'②-1職員名簿'!AI25="●"),IF($E25="正規職員","正",IF($E25="契約上の就業時間を記載","","実績を入力")),"-"))</f>
        <v/>
      </c>
      <c r="M25" s="9" t="str">
        <f>IF($B25="","",IF(OR('②-1職員名簿'!AJ25="○",'②-1職員名簿'!AJ25="●"),IF($E25="正規職員","正",IF($E25="契約上の就業時間を記載","","実績を入力")),"-"))</f>
        <v/>
      </c>
      <c r="N25" s="9" t="str">
        <f>IF($B25="","",IF(OR('②-1職員名簿'!AK25="○",'②-1職員名簿'!AK25="●"),IF($E25="正規職員","正",IF($E25="契約上の就業時間を記載","","実績を入力")),"-"))</f>
        <v/>
      </c>
      <c r="O25" s="9" t="str">
        <f>IF($B25="","",IF(OR('②-1職員名簿'!AL25="○",'②-1職員名簿'!AL25="●"),IF($E25="正規職員","正",IF($E25="契約上の就業時間を記載","","実績を入力")),"-"))</f>
        <v/>
      </c>
      <c r="P25" s="9" t="str">
        <f>IF($B25="","",IF(OR('②-1職員名簿'!AM25="○",'②-1職員名簿'!AM25="●"),IF($E25="正規職員","正",IF($E25="契約上の就業時間を記載","","実績を入力")),"-"))</f>
        <v/>
      </c>
      <c r="Q25" s="9" t="str">
        <f>IF($B25="","",IF(OR('②-1職員名簿'!AN25="○",'②-1職員名簿'!AN25="●"),IF($E25="正規職員","正",IF($E25="契約上の就業時間を記載","","見込を入力")),"-"))</f>
        <v/>
      </c>
      <c r="R25" s="88" t="str">
        <f>IF($B25="","",IF(OR('②-1職員名簿'!AC25="○",'②-1職員名簿'!AC25="●"),IF($E25="正規職員","正",IF($E25="契約上の就業時間を記載","",IF($E25&gt;=F$5,"常",F25))),"-"))</f>
        <v/>
      </c>
      <c r="S25" s="88" t="str">
        <f>IF($B25="","",IF(OR('②-1職員名簿'!AD25="○",'②-1職員名簿'!AD25="●"),IF($E25="正規職員","正",IF($E25="契約上の就業時間を記載","",IF($E25&gt;=G$5,"常",G25))),"-"))</f>
        <v/>
      </c>
      <c r="T25" s="88" t="str">
        <f>IF($B25="","",IF(OR('②-1職員名簿'!AE25="○",'②-1職員名簿'!AE25="●"),IF($E25="正規職員","正",IF($E25="契約上の就業時間を記載","",IF($E25&gt;=H$5,"常",H25))),"-"))</f>
        <v/>
      </c>
      <c r="U25" s="88" t="str">
        <f>IF($B25="","",IF(OR('②-1職員名簿'!AF25="○",'②-1職員名簿'!AF25="●"),IF($E25="正規職員","正",IF($E25="契約上の就業時間を記載","",IF($E25&gt;=I$5,"常",I25))),"-"))</f>
        <v/>
      </c>
      <c r="V25" s="88" t="str">
        <f>IF($B25="","",IF(OR('②-1職員名簿'!AG25="○",'②-1職員名簿'!AG25="●"),IF($E25="正規職員","正",IF($E25="契約上の就業時間を記載","",IF($E25&gt;=J$5,"常",J25))),"-"))</f>
        <v/>
      </c>
      <c r="W25" s="88" t="str">
        <f>IF($B25="","",IF(OR('②-1職員名簿'!AH25="○",'②-1職員名簿'!AH25="●"),IF($E25="正規職員","正",IF($E25="契約上の就業時間を記載","",IF($E25&gt;=K$5,"常",K25))),"-"))</f>
        <v/>
      </c>
      <c r="X25" s="88" t="str">
        <f>IF($B25="","",IF(OR('②-1職員名簿'!AI25="○",'②-1職員名簿'!AI25="●"),IF($E25="正規職員","正",IF($E25="契約上の就業時間を記載","",IF($E25&gt;=L$5,"常",L25))),"-"))</f>
        <v/>
      </c>
      <c r="Y25" s="88" t="str">
        <f>IF($B25="","",IF(OR('②-1職員名簿'!AJ25="○",'②-1職員名簿'!AJ25="●"),IF($E25="正規職員","正",IF($E25="契約上の就業時間を記載","",IF($E25&gt;=M$5,"常",M25))),"-"))</f>
        <v/>
      </c>
      <c r="Z25" s="88" t="str">
        <f>IF($B25="","",IF(OR('②-1職員名簿'!AK25="○",'②-1職員名簿'!AK25="●"),IF($E25="正規職員","正",IF($E25="契約上の就業時間を記載","",IF($E25&gt;=N$5,"常",N25))),"-"))</f>
        <v/>
      </c>
      <c r="AA25" s="88" t="str">
        <f>IF($B25="","",IF(OR('②-1職員名簿'!AL25="○",'②-1職員名簿'!AL25="●"),IF($E25="正規職員","正",IF($E25="契約上の就業時間を記載","",IF($E25&gt;=O$5,"常",O25))),"-"))</f>
        <v/>
      </c>
      <c r="AB25" s="88" t="str">
        <f>IF($B25="","",IF(OR('②-1職員名簿'!AM25="○",'②-1職員名簿'!AM25="●"),IF($E25="正規職員","正",IF($E25="契約上の就業時間を記載","",IF($E25&gt;=P$5,"常",P25))),"-"))</f>
        <v/>
      </c>
      <c r="AC25" s="88" t="str">
        <f>IF($B25="","",IF(OR('②-1職員名簿'!AN25="○",'②-1職員名簿'!AN25="●"),IF($E25="正規職員","正",IF($E25="契約上の就業時間を記載","",IF($E25&gt;=Q$5,"常",Q25))),"-"))</f>
        <v/>
      </c>
      <c r="AE25" s="86" t="str">
        <f>IF('②-1職員名簿'!W25="","",'②-1職員名簿'!W25)</f>
        <v/>
      </c>
      <c r="AJ25" s="17" t="str">
        <f t="shared" si="12"/>
        <v>○</v>
      </c>
      <c r="AK25" s="17" t="str">
        <f t="shared" si="13"/>
        <v>○</v>
      </c>
      <c r="AL25" s="17" t="str">
        <f t="shared" si="14"/>
        <v>○</v>
      </c>
      <c r="AM25" s="17" t="str">
        <f t="shared" si="15"/>
        <v>○</v>
      </c>
      <c r="AN25" s="17" t="str">
        <f t="shared" si="16"/>
        <v>○</v>
      </c>
      <c r="AO25" s="17" t="str">
        <f t="shared" si="17"/>
        <v>○</v>
      </c>
      <c r="AP25" s="17" t="str">
        <f t="shared" si="18"/>
        <v>○</v>
      </c>
      <c r="AQ25" s="17" t="str">
        <f t="shared" si="19"/>
        <v>○</v>
      </c>
      <c r="AR25" s="17" t="str">
        <f t="shared" si="20"/>
        <v>○</v>
      </c>
      <c r="AS25" s="17" t="str">
        <f t="shared" si="21"/>
        <v>○</v>
      </c>
      <c r="AT25" s="17" t="str">
        <f t="shared" si="22"/>
        <v>○</v>
      </c>
      <c r="AU25" s="17" t="str">
        <f t="shared" si="23"/>
        <v>○</v>
      </c>
    </row>
    <row r="26" spans="1:47" s="90" customFormat="1" ht="23.15" customHeight="1">
      <c r="A26" s="87">
        <v>20</v>
      </c>
      <c r="B26" s="86" t="str">
        <f>IF('②-1職員名簿'!E26="","",'②-1職員名簿'!Y26)</f>
        <v/>
      </c>
      <c r="C26" s="88" t="str">
        <f>'②-1職員名簿'!BE26</f>
        <v/>
      </c>
      <c r="D26" s="117" t="str">
        <f t="shared" si="9"/>
        <v/>
      </c>
      <c r="E26" s="18" t="str">
        <f>IF($B26="","",IF(AND('②-1職員名簿'!C26="正",'②-1職員名簿'!D26="常"),"正規職員","契約上の就業時間を記載"))</f>
        <v/>
      </c>
      <c r="F26" s="9" t="str">
        <f>IF($B26="","",IF(OR('②-1職員名簿'!AC26="○",'②-1職員名簿'!AC26="●"),IF($E26="正規職員","正",IF($E26="契約上の就業時間を記載","","見込を入力")),"-"))</f>
        <v/>
      </c>
      <c r="G26" s="9" t="str">
        <f>IF($B26="","",IF(OR('②-1職員名簿'!AD26="○",'②-1職員名簿'!AD26="●"),IF($E26="正規職員","正",IF($E26="契約上の就業時間を記載","","実績を入力")),"-"))</f>
        <v/>
      </c>
      <c r="H26" s="9" t="str">
        <f>IF($B26="","",IF(OR('②-1職員名簿'!AE26="○",'②-1職員名簿'!AE26="●"),IF($E26="正規職員","正",IF($E26="契約上の就業時間を記載","","実績を入力")),"-"))</f>
        <v/>
      </c>
      <c r="I26" s="9" t="str">
        <f>IF($B26="","",IF(OR('②-1職員名簿'!AF26="○",'②-1職員名簿'!AF26="●"),IF($E26="正規職員","正",IF($E26="契約上の就業時間を記載","","実績を入力")),"-"))</f>
        <v/>
      </c>
      <c r="J26" s="9" t="str">
        <f>IF($B26="","",IF(OR('②-1職員名簿'!AG26="○",'②-1職員名簿'!AG26="●"),IF($E26="正規職員","正",IF($E26="契約上の就業時間を記載","","実績を入力")),"-"))</f>
        <v/>
      </c>
      <c r="K26" s="9" t="str">
        <f>IF($B26="","",IF(OR('②-1職員名簿'!AH26="○",'②-1職員名簿'!AH26="●"),IF($E26="正規職員","正",IF($E26="契約上の就業時間を記載","","実績を入力")),"-"))</f>
        <v/>
      </c>
      <c r="L26" s="9" t="str">
        <f>IF($B26="","",IF(OR('②-1職員名簿'!AI26="○",'②-1職員名簿'!AI26="●"),IF($E26="正規職員","正",IF($E26="契約上の就業時間を記載","","実績を入力")),"-"))</f>
        <v/>
      </c>
      <c r="M26" s="9" t="str">
        <f>IF($B26="","",IF(OR('②-1職員名簿'!AJ26="○",'②-1職員名簿'!AJ26="●"),IF($E26="正規職員","正",IF($E26="契約上の就業時間を記載","","実績を入力")),"-"))</f>
        <v/>
      </c>
      <c r="N26" s="9" t="str">
        <f>IF($B26="","",IF(OR('②-1職員名簿'!AK26="○",'②-1職員名簿'!AK26="●"),IF($E26="正規職員","正",IF($E26="契約上の就業時間を記載","","実績を入力")),"-"))</f>
        <v/>
      </c>
      <c r="O26" s="9" t="str">
        <f>IF($B26="","",IF(OR('②-1職員名簿'!AL26="○",'②-1職員名簿'!AL26="●"),IF($E26="正規職員","正",IF($E26="契約上の就業時間を記載","","実績を入力")),"-"))</f>
        <v/>
      </c>
      <c r="P26" s="9" t="str">
        <f>IF($B26="","",IF(OR('②-1職員名簿'!AM26="○",'②-1職員名簿'!AM26="●"),IF($E26="正規職員","正",IF($E26="契約上の就業時間を記載","","実績を入力")),"-"))</f>
        <v/>
      </c>
      <c r="Q26" s="9" t="str">
        <f>IF($B26="","",IF(OR('②-1職員名簿'!AN26="○",'②-1職員名簿'!AN26="●"),IF($E26="正規職員","正",IF($E26="契約上の就業時間を記載","","見込を入力")),"-"))</f>
        <v/>
      </c>
      <c r="R26" s="88" t="str">
        <f>IF($B26="","",IF(OR('②-1職員名簿'!AC26="○",'②-1職員名簿'!AC26="●"),IF($E26="正規職員","正",IF($E26="契約上の就業時間を記載","",IF($E26&gt;=F$5,"常",F26))),"-"))</f>
        <v/>
      </c>
      <c r="S26" s="88" t="str">
        <f>IF($B26="","",IF(OR('②-1職員名簿'!AD26="○",'②-1職員名簿'!AD26="●"),IF($E26="正規職員","正",IF($E26="契約上の就業時間を記載","",IF($E26&gt;=G$5,"常",G26))),"-"))</f>
        <v/>
      </c>
      <c r="T26" s="88" t="str">
        <f>IF($B26="","",IF(OR('②-1職員名簿'!AE26="○",'②-1職員名簿'!AE26="●"),IF($E26="正規職員","正",IF($E26="契約上の就業時間を記載","",IF($E26&gt;=H$5,"常",H26))),"-"))</f>
        <v/>
      </c>
      <c r="U26" s="88" t="str">
        <f>IF($B26="","",IF(OR('②-1職員名簿'!AF26="○",'②-1職員名簿'!AF26="●"),IF($E26="正規職員","正",IF($E26="契約上の就業時間を記載","",IF($E26&gt;=I$5,"常",I26))),"-"))</f>
        <v/>
      </c>
      <c r="V26" s="88" t="str">
        <f>IF($B26="","",IF(OR('②-1職員名簿'!AG26="○",'②-1職員名簿'!AG26="●"),IF($E26="正規職員","正",IF($E26="契約上の就業時間を記載","",IF($E26&gt;=J$5,"常",J26))),"-"))</f>
        <v/>
      </c>
      <c r="W26" s="88" t="str">
        <f>IF($B26="","",IF(OR('②-1職員名簿'!AH26="○",'②-1職員名簿'!AH26="●"),IF($E26="正規職員","正",IF($E26="契約上の就業時間を記載","",IF($E26&gt;=K$5,"常",K26))),"-"))</f>
        <v/>
      </c>
      <c r="X26" s="88" t="str">
        <f>IF($B26="","",IF(OR('②-1職員名簿'!AI26="○",'②-1職員名簿'!AI26="●"),IF($E26="正規職員","正",IF($E26="契約上の就業時間を記載","",IF($E26&gt;=L$5,"常",L26))),"-"))</f>
        <v/>
      </c>
      <c r="Y26" s="88" t="str">
        <f>IF($B26="","",IF(OR('②-1職員名簿'!AJ26="○",'②-1職員名簿'!AJ26="●"),IF($E26="正規職員","正",IF($E26="契約上の就業時間を記載","",IF($E26&gt;=M$5,"常",M26))),"-"))</f>
        <v/>
      </c>
      <c r="Z26" s="88" t="str">
        <f>IF($B26="","",IF(OR('②-1職員名簿'!AK26="○",'②-1職員名簿'!AK26="●"),IF($E26="正規職員","正",IF($E26="契約上の就業時間を記載","",IF($E26&gt;=N$5,"常",N26))),"-"))</f>
        <v/>
      </c>
      <c r="AA26" s="88" t="str">
        <f>IF($B26="","",IF(OR('②-1職員名簿'!AL26="○",'②-1職員名簿'!AL26="●"),IF($E26="正規職員","正",IF($E26="契約上の就業時間を記載","",IF($E26&gt;=O$5,"常",O26))),"-"))</f>
        <v/>
      </c>
      <c r="AB26" s="88" t="str">
        <f>IF($B26="","",IF(OR('②-1職員名簿'!AM26="○",'②-1職員名簿'!AM26="●"),IF($E26="正規職員","正",IF($E26="契約上の就業時間を記載","",IF($E26&gt;=P$5,"常",P26))),"-"))</f>
        <v/>
      </c>
      <c r="AC26" s="88" t="str">
        <f>IF($B26="","",IF(OR('②-1職員名簿'!AN26="○",'②-1職員名簿'!AN26="●"),IF($E26="正規職員","正",IF($E26="契約上の就業時間を記載","",IF($E26&gt;=Q$5,"常",Q26))),"-"))</f>
        <v/>
      </c>
      <c r="AE26" s="86" t="str">
        <f>IF('②-1職員名簿'!W26="","",'②-1職員名簿'!W26)</f>
        <v/>
      </c>
      <c r="AJ26" s="17" t="str">
        <f t="shared" si="12"/>
        <v>○</v>
      </c>
      <c r="AK26" s="17" t="str">
        <f t="shared" si="13"/>
        <v>○</v>
      </c>
      <c r="AL26" s="17" t="str">
        <f t="shared" si="14"/>
        <v>○</v>
      </c>
      <c r="AM26" s="17" t="str">
        <f t="shared" si="15"/>
        <v>○</v>
      </c>
      <c r="AN26" s="17" t="str">
        <f t="shared" si="16"/>
        <v>○</v>
      </c>
      <c r="AO26" s="17" t="str">
        <f t="shared" si="17"/>
        <v>○</v>
      </c>
      <c r="AP26" s="17" t="str">
        <f t="shared" si="18"/>
        <v>○</v>
      </c>
      <c r="AQ26" s="17" t="str">
        <f t="shared" si="19"/>
        <v>○</v>
      </c>
      <c r="AR26" s="17" t="str">
        <f t="shared" si="20"/>
        <v>○</v>
      </c>
      <c r="AS26" s="17" t="str">
        <f t="shared" si="21"/>
        <v>○</v>
      </c>
      <c r="AT26" s="17" t="str">
        <f t="shared" si="22"/>
        <v>○</v>
      </c>
      <c r="AU26" s="17" t="str">
        <f t="shared" si="23"/>
        <v>○</v>
      </c>
    </row>
    <row r="27" spans="1:47" s="90" customFormat="1" ht="23.15" customHeight="1">
      <c r="A27" s="87">
        <v>21</v>
      </c>
      <c r="B27" s="86" t="str">
        <f>IF('②-1職員名簿'!E27="","",'②-1職員名簿'!Y27)</f>
        <v/>
      </c>
      <c r="C27" s="88" t="str">
        <f>'②-1職員名簿'!BE27</f>
        <v/>
      </c>
      <c r="D27" s="117" t="str">
        <f t="shared" si="9"/>
        <v/>
      </c>
      <c r="E27" s="18" t="str">
        <f>IF($B27="","",IF(AND('②-1職員名簿'!C27="正",'②-1職員名簿'!D27="常"),"正規職員","契約上の就業時間を記載"))</f>
        <v/>
      </c>
      <c r="F27" s="9" t="str">
        <f>IF($B27="","",IF(OR('②-1職員名簿'!AC27="○",'②-1職員名簿'!AC27="●"),IF($E27="正規職員","正",IF($E27="契約上の就業時間を記載","","見込を入力")),"-"))</f>
        <v/>
      </c>
      <c r="G27" s="9" t="str">
        <f>IF($B27="","",IF(OR('②-1職員名簿'!AD27="○",'②-1職員名簿'!AD27="●"),IF($E27="正規職員","正",IF($E27="契約上の就業時間を記載","","実績を入力")),"-"))</f>
        <v/>
      </c>
      <c r="H27" s="9" t="str">
        <f>IF($B27="","",IF(OR('②-1職員名簿'!AE27="○",'②-1職員名簿'!AE27="●"),IF($E27="正規職員","正",IF($E27="契約上の就業時間を記載","","実績を入力")),"-"))</f>
        <v/>
      </c>
      <c r="I27" s="9" t="str">
        <f>IF($B27="","",IF(OR('②-1職員名簿'!AF27="○",'②-1職員名簿'!AF27="●"),IF($E27="正規職員","正",IF($E27="契約上の就業時間を記載","","実績を入力")),"-"))</f>
        <v/>
      </c>
      <c r="J27" s="9" t="str">
        <f>IF($B27="","",IF(OR('②-1職員名簿'!AG27="○",'②-1職員名簿'!AG27="●"),IF($E27="正規職員","正",IF($E27="契約上の就業時間を記載","","実績を入力")),"-"))</f>
        <v/>
      </c>
      <c r="K27" s="9" t="str">
        <f>IF($B27="","",IF(OR('②-1職員名簿'!AH27="○",'②-1職員名簿'!AH27="●"),IF($E27="正規職員","正",IF($E27="契約上の就業時間を記載","","実績を入力")),"-"))</f>
        <v/>
      </c>
      <c r="L27" s="9" t="str">
        <f>IF($B27="","",IF(OR('②-1職員名簿'!AI27="○",'②-1職員名簿'!AI27="●"),IF($E27="正規職員","正",IF($E27="契約上の就業時間を記載","","実績を入力")),"-"))</f>
        <v/>
      </c>
      <c r="M27" s="9" t="str">
        <f>IF($B27="","",IF(OR('②-1職員名簿'!AJ27="○",'②-1職員名簿'!AJ27="●"),IF($E27="正規職員","正",IF($E27="契約上の就業時間を記載","","実績を入力")),"-"))</f>
        <v/>
      </c>
      <c r="N27" s="9" t="str">
        <f>IF($B27="","",IF(OR('②-1職員名簿'!AK27="○",'②-1職員名簿'!AK27="●"),IF($E27="正規職員","正",IF($E27="契約上の就業時間を記載","","実績を入力")),"-"))</f>
        <v/>
      </c>
      <c r="O27" s="9" t="str">
        <f>IF($B27="","",IF(OR('②-1職員名簿'!AL27="○",'②-1職員名簿'!AL27="●"),IF($E27="正規職員","正",IF($E27="契約上の就業時間を記載","","実績を入力")),"-"))</f>
        <v/>
      </c>
      <c r="P27" s="9" t="str">
        <f>IF($B27="","",IF(OR('②-1職員名簿'!AM27="○",'②-1職員名簿'!AM27="●"),IF($E27="正規職員","正",IF($E27="契約上の就業時間を記載","","実績を入力")),"-"))</f>
        <v/>
      </c>
      <c r="Q27" s="9" t="str">
        <f>IF($B27="","",IF(OR('②-1職員名簿'!AN27="○",'②-1職員名簿'!AN27="●"),IF($E27="正規職員","正",IF($E27="契約上の就業時間を記載","","見込を入力")),"-"))</f>
        <v/>
      </c>
      <c r="R27" s="88" t="str">
        <f>IF($B27="","",IF(OR('②-1職員名簿'!AC27="○",'②-1職員名簿'!AC27="●"),IF($E27="正規職員","正",IF($E27="契約上の就業時間を記載","",IF($E27&gt;=F$5,"常",F27))),"-"))</f>
        <v/>
      </c>
      <c r="S27" s="88" t="str">
        <f>IF($B27="","",IF(OR('②-1職員名簿'!AD27="○",'②-1職員名簿'!AD27="●"),IF($E27="正規職員","正",IF($E27="契約上の就業時間を記載","",IF($E27&gt;=G$5,"常",G27))),"-"))</f>
        <v/>
      </c>
      <c r="T27" s="88" t="str">
        <f>IF($B27="","",IF(OR('②-1職員名簿'!AE27="○",'②-1職員名簿'!AE27="●"),IF($E27="正規職員","正",IF($E27="契約上の就業時間を記載","",IF($E27&gt;=H$5,"常",H27))),"-"))</f>
        <v/>
      </c>
      <c r="U27" s="88" t="str">
        <f>IF($B27="","",IF(OR('②-1職員名簿'!AF27="○",'②-1職員名簿'!AF27="●"),IF($E27="正規職員","正",IF($E27="契約上の就業時間を記載","",IF($E27&gt;=I$5,"常",I27))),"-"))</f>
        <v/>
      </c>
      <c r="V27" s="88" t="str">
        <f>IF($B27="","",IF(OR('②-1職員名簿'!AG27="○",'②-1職員名簿'!AG27="●"),IF($E27="正規職員","正",IF($E27="契約上の就業時間を記載","",IF($E27&gt;=J$5,"常",J27))),"-"))</f>
        <v/>
      </c>
      <c r="W27" s="88" t="str">
        <f>IF($B27="","",IF(OR('②-1職員名簿'!AH27="○",'②-1職員名簿'!AH27="●"),IF($E27="正規職員","正",IF($E27="契約上の就業時間を記載","",IF($E27&gt;=K$5,"常",K27))),"-"))</f>
        <v/>
      </c>
      <c r="X27" s="88" t="str">
        <f>IF($B27="","",IF(OR('②-1職員名簿'!AI27="○",'②-1職員名簿'!AI27="●"),IF($E27="正規職員","正",IF($E27="契約上の就業時間を記載","",IF($E27&gt;=L$5,"常",L27))),"-"))</f>
        <v/>
      </c>
      <c r="Y27" s="88" t="str">
        <f>IF($B27="","",IF(OR('②-1職員名簿'!AJ27="○",'②-1職員名簿'!AJ27="●"),IF($E27="正規職員","正",IF($E27="契約上の就業時間を記載","",IF($E27&gt;=M$5,"常",M27))),"-"))</f>
        <v/>
      </c>
      <c r="Z27" s="88" t="str">
        <f>IF($B27="","",IF(OR('②-1職員名簿'!AK27="○",'②-1職員名簿'!AK27="●"),IF($E27="正規職員","正",IF($E27="契約上の就業時間を記載","",IF($E27&gt;=N$5,"常",N27))),"-"))</f>
        <v/>
      </c>
      <c r="AA27" s="88" t="str">
        <f>IF($B27="","",IF(OR('②-1職員名簿'!AL27="○",'②-1職員名簿'!AL27="●"),IF($E27="正規職員","正",IF($E27="契約上の就業時間を記載","",IF($E27&gt;=O$5,"常",O27))),"-"))</f>
        <v/>
      </c>
      <c r="AB27" s="88" t="str">
        <f>IF($B27="","",IF(OR('②-1職員名簿'!AM27="○",'②-1職員名簿'!AM27="●"),IF($E27="正規職員","正",IF($E27="契約上の就業時間を記載","",IF($E27&gt;=P$5,"常",P27))),"-"))</f>
        <v/>
      </c>
      <c r="AC27" s="88" t="str">
        <f>IF($B27="","",IF(OR('②-1職員名簿'!AN27="○",'②-1職員名簿'!AN27="●"),IF($E27="正規職員","正",IF($E27="契約上の就業時間を記載","",IF($E27&gt;=Q$5,"常",Q27))),"-"))</f>
        <v/>
      </c>
      <c r="AE27" s="86" t="str">
        <f>IF('②-1職員名簿'!W27="","",'②-1職員名簿'!W27)</f>
        <v/>
      </c>
      <c r="AJ27" s="17" t="str">
        <f t="shared" si="12"/>
        <v>○</v>
      </c>
      <c r="AK27" s="17" t="str">
        <f t="shared" si="13"/>
        <v>○</v>
      </c>
      <c r="AL27" s="17" t="str">
        <f t="shared" si="14"/>
        <v>○</v>
      </c>
      <c r="AM27" s="17" t="str">
        <f t="shared" si="15"/>
        <v>○</v>
      </c>
      <c r="AN27" s="17" t="str">
        <f t="shared" si="16"/>
        <v>○</v>
      </c>
      <c r="AO27" s="17" t="str">
        <f t="shared" si="17"/>
        <v>○</v>
      </c>
      <c r="AP27" s="17" t="str">
        <f t="shared" si="18"/>
        <v>○</v>
      </c>
      <c r="AQ27" s="17" t="str">
        <f t="shared" si="19"/>
        <v>○</v>
      </c>
      <c r="AR27" s="17" t="str">
        <f t="shared" si="20"/>
        <v>○</v>
      </c>
      <c r="AS27" s="17" t="str">
        <f t="shared" si="21"/>
        <v>○</v>
      </c>
      <c r="AT27" s="17" t="str">
        <f t="shared" si="22"/>
        <v>○</v>
      </c>
      <c r="AU27" s="17" t="str">
        <f t="shared" si="23"/>
        <v>○</v>
      </c>
    </row>
    <row r="28" spans="1:47" s="90" customFormat="1" ht="23.15" customHeight="1">
      <c r="A28" s="87">
        <v>22</v>
      </c>
      <c r="B28" s="86" t="str">
        <f>IF('②-1職員名簿'!E28="","",'②-1職員名簿'!Y28)</f>
        <v/>
      </c>
      <c r="C28" s="88" t="str">
        <f>'②-1職員名簿'!BE28</f>
        <v/>
      </c>
      <c r="D28" s="117" t="str">
        <f t="shared" si="9"/>
        <v/>
      </c>
      <c r="E28" s="18" t="str">
        <f>IF($B28="","",IF(AND('②-1職員名簿'!C28="正",'②-1職員名簿'!D28="常"),"正規職員","契約上の就業時間を記載"))</f>
        <v/>
      </c>
      <c r="F28" s="9" t="str">
        <f>IF($B28="","",IF(OR('②-1職員名簿'!AC28="○",'②-1職員名簿'!AC28="●"),IF($E28="正規職員","正",IF($E28="契約上の就業時間を記載","","見込を入力")),"-"))</f>
        <v/>
      </c>
      <c r="G28" s="9" t="str">
        <f>IF($B28="","",IF(OR('②-1職員名簿'!AD28="○",'②-1職員名簿'!AD28="●"),IF($E28="正規職員","正",IF($E28="契約上の就業時間を記載","","実績を入力")),"-"))</f>
        <v/>
      </c>
      <c r="H28" s="9" t="str">
        <f>IF($B28="","",IF(OR('②-1職員名簿'!AE28="○",'②-1職員名簿'!AE28="●"),IF($E28="正規職員","正",IF($E28="契約上の就業時間を記載","","実績を入力")),"-"))</f>
        <v/>
      </c>
      <c r="I28" s="9" t="str">
        <f>IF($B28="","",IF(OR('②-1職員名簿'!AF28="○",'②-1職員名簿'!AF28="●"),IF($E28="正規職員","正",IF($E28="契約上の就業時間を記載","","実績を入力")),"-"))</f>
        <v/>
      </c>
      <c r="J28" s="9" t="str">
        <f>IF($B28="","",IF(OR('②-1職員名簿'!AG28="○",'②-1職員名簿'!AG28="●"),IF($E28="正規職員","正",IF($E28="契約上の就業時間を記載","","実績を入力")),"-"))</f>
        <v/>
      </c>
      <c r="K28" s="9" t="str">
        <f>IF($B28="","",IF(OR('②-1職員名簿'!AH28="○",'②-1職員名簿'!AH28="●"),IF($E28="正規職員","正",IF($E28="契約上の就業時間を記載","","実績を入力")),"-"))</f>
        <v/>
      </c>
      <c r="L28" s="9" t="str">
        <f>IF($B28="","",IF(OR('②-1職員名簿'!AI28="○",'②-1職員名簿'!AI28="●"),IF($E28="正規職員","正",IF($E28="契約上の就業時間を記載","","実績を入力")),"-"))</f>
        <v/>
      </c>
      <c r="M28" s="9" t="str">
        <f>IF($B28="","",IF(OR('②-1職員名簿'!AJ28="○",'②-1職員名簿'!AJ28="●"),IF($E28="正規職員","正",IF($E28="契約上の就業時間を記載","","実績を入力")),"-"))</f>
        <v/>
      </c>
      <c r="N28" s="9" t="str">
        <f>IF($B28="","",IF(OR('②-1職員名簿'!AK28="○",'②-1職員名簿'!AK28="●"),IF($E28="正規職員","正",IF($E28="契約上の就業時間を記載","","実績を入力")),"-"))</f>
        <v/>
      </c>
      <c r="O28" s="9" t="str">
        <f>IF($B28="","",IF(OR('②-1職員名簿'!AL28="○",'②-1職員名簿'!AL28="●"),IF($E28="正規職員","正",IF($E28="契約上の就業時間を記載","","実績を入力")),"-"))</f>
        <v/>
      </c>
      <c r="P28" s="9" t="str">
        <f>IF($B28="","",IF(OR('②-1職員名簿'!AM28="○",'②-1職員名簿'!AM28="●"),IF($E28="正規職員","正",IF($E28="契約上の就業時間を記載","","実績を入力")),"-"))</f>
        <v/>
      </c>
      <c r="Q28" s="9" t="str">
        <f>IF($B28="","",IF(OR('②-1職員名簿'!AN28="○",'②-1職員名簿'!AN28="●"),IF($E28="正規職員","正",IF($E28="契約上の就業時間を記載","","見込を入力")),"-"))</f>
        <v/>
      </c>
      <c r="R28" s="88" t="str">
        <f>IF($B28="","",IF(OR('②-1職員名簿'!AC28="○",'②-1職員名簿'!AC28="●"),IF($E28="正規職員","正",IF($E28="契約上の就業時間を記載","",IF($E28&gt;=F$5,"常",F28))),"-"))</f>
        <v/>
      </c>
      <c r="S28" s="88" t="str">
        <f>IF($B28="","",IF(OR('②-1職員名簿'!AD28="○",'②-1職員名簿'!AD28="●"),IF($E28="正規職員","正",IF($E28="契約上の就業時間を記載","",IF($E28&gt;=G$5,"常",G28))),"-"))</f>
        <v/>
      </c>
      <c r="T28" s="88" t="str">
        <f>IF($B28="","",IF(OR('②-1職員名簿'!AE28="○",'②-1職員名簿'!AE28="●"),IF($E28="正規職員","正",IF($E28="契約上の就業時間を記載","",IF($E28&gt;=H$5,"常",H28))),"-"))</f>
        <v/>
      </c>
      <c r="U28" s="88" t="str">
        <f>IF($B28="","",IF(OR('②-1職員名簿'!AF28="○",'②-1職員名簿'!AF28="●"),IF($E28="正規職員","正",IF($E28="契約上の就業時間を記載","",IF($E28&gt;=I$5,"常",I28))),"-"))</f>
        <v/>
      </c>
      <c r="V28" s="88" t="str">
        <f>IF($B28="","",IF(OR('②-1職員名簿'!AG28="○",'②-1職員名簿'!AG28="●"),IF($E28="正規職員","正",IF($E28="契約上の就業時間を記載","",IF($E28&gt;=J$5,"常",J28))),"-"))</f>
        <v/>
      </c>
      <c r="W28" s="88" t="str">
        <f>IF($B28="","",IF(OR('②-1職員名簿'!AH28="○",'②-1職員名簿'!AH28="●"),IF($E28="正規職員","正",IF($E28="契約上の就業時間を記載","",IF($E28&gt;=K$5,"常",K28))),"-"))</f>
        <v/>
      </c>
      <c r="X28" s="88" t="str">
        <f>IF($B28="","",IF(OR('②-1職員名簿'!AI28="○",'②-1職員名簿'!AI28="●"),IF($E28="正規職員","正",IF($E28="契約上の就業時間を記載","",IF($E28&gt;=L$5,"常",L28))),"-"))</f>
        <v/>
      </c>
      <c r="Y28" s="88" t="str">
        <f>IF($B28="","",IF(OR('②-1職員名簿'!AJ28="○",'②-1職員名簿'!AJ28="●"),IF($E28="正規職員","正",IF($E28="契約上の就業時間を記載","",IF($E28&gt;=M$5,"常",M28))),"-"))</f>
        <v/>
      </c>
      <c r="Z28" s="88" t="str">
        <f>IF($B28="","",IF(OR('②-1職員名簿'!AK28="○",'②-1職員名簿'!AK28="●"),IF($E28="正規職員","正",IF($E28="契約上の就業時間を記載","",IF($E28&gt;=N$5,"常",N28))),"-"))</f>
        <v/>
      </c>
      <c r="AA28" s="88" t="str">
        <f>IF($B28="","",IF(OR('②-1職員名簿'!AL28="○",'②-1職員名簿'!AL28="●"),IF($E28="正規職員","正",IF($E28="契約上の就業時間を記載","",IF($E28&gt;=O$5,"常",O28))),"-"))</f>
        <v/>
      </c>
      <c r="AB28" s="88" t="str">
        <f>IF($B28="","",IF(OR('②-1職員名簿'!AM28="○",'②-1職員名簿'!AM28="●"),IF($E28="正規職員","正",IF($E28="契約上の就業時間を記載","",IF($E28&gt;=P$5,"常",P28))),"-"))</f>
        <v/>
      </c>
      <c r="AC28" s="88" t="str">
        <f>IF($B28="","",IF(OR('②-1職員名簿'!AN28="○",'②-1職員名簿'!AN28="●"),IF($E28="正規職員","正",IF($E28="契約上の就業時間を記載","",IF($E28&gt;=Q$5,"常",Q28))),"-"))</f>
        <v/>
      </c>
      <c r="AE28" s="86" t="str">
        <f>IF('②-1職員名簿'!W28="","",'②-1職員名簿'!W28)</f>
        <v/>
      </c>
      <c r="AJ28" s="17" t="str">
        <f t="shared" si="12"/>
        <v>○</v>
      </c>
      <c r="AK28" s="17" t="str">
        <f t="shared" si="13"/>
        <v>○</v>
      </c>
      <c r="AL28" s="17" t="str">
        <f t="shared" si="14"/>
        <v>○</v>
      </c>
      <c r="AM28" s="17" t="str">
        <f t="shared" si="15"/>
        <v>○</v>
      </c>
      <c r="AN28" s="17" t="str">
        <f t="shared" si="16"/>
        <v>○</v>
      </c>
      <c r="AO28" s="17" t="str">
        <f t="shared" si="17"/>
        <v>○</v>
      </c>
      <c r="AP28" s="17" t="str">
        <f t="shared" si="18"/>
        <v>○</v>
      </c>
      <c r="AQ28" s="17" t="str">
        <f t="shared" si="19"/>
        <v>○</v>
      </c>
      <c r="AR28" s="17" t="str">
        <f t="shared" si="20"/>
        <v>○</v>
      </c>
      <c r="AS28" s="17" t="str">
        <f t="shared" si="21"/>
        <v>○</v>
      </c>
      <c r="AT28" s="17" t="str">
        <f t="shared" si="22"/>
        <v>○</v>
      </c>
      <c r="AU28" s="17" t="str">
        <f t="shared" si="23"/>
        <v>○</v>
      </c>
    </row>
    <row r="29" spans="1:47" s="90" customFormat="1" ht="23.15" customHeight="1">
      <c r="A29" s="87">
        <v>23</v>
      </c>
      <c r="B29" s="86" t="str">
        <f>IF('②-1職員名簿'!E29="","",'②-1職員名簿'!Y29)</f>
        <v/>
      </c>
      <c r="C29" s="88" t="str">
        <f>'②-1職員名簿'!BE29</f>
        <v/>
      </c>
      <c r="D29" s="117" t="str">
        <f t="shared" si="9"/>
        <v/>
      </c>
      <c r="E29" s="18" t="str">
        <f>IF($B29="","",IF(AND('②-1職員名簿'!C29="正",'②-1職員名簿'!D29="常"),"正規職員","契約上の就業時間を記載"))</f>
        <v/>
      </c>
      <c r="F29" s="9" t="str">
        <f>IF($B29="","",IF(OR('②-1職員名簿'!AC29="○",'②-1職員名簿'!AC29="●"),IF($E29="正規職員","正",IF($E29="契約上の就業時間を記載","","見込を入力")),"-"))</f>
        <v/>
      </c>
      <c r="G29" s="9" t="str">
        <f>IF($B29="","",IF(OR('②-1職員名簿'!AD29="○",'②-1職員名簿'!AD29="●"),IF($E29="正規職員","正",IF($E29="契約上の就業時間を記載","","実績を入力")),"-"))</f>
        <v/>
      </c>
      <c r="H29" s="9" t="str">
        <f>IF($B29="","",IF(OR('②-1職員名簿'!AE29="○",'②-1職員名簿'!AE29="●"),IF($E29="正規職員","正",IF($E29="契約上の就業時間を記載","","実績を入力")),"-"))</f>
        <v/>
      </c>
      <c r="I29" s="9" t="str">
        <f>IF($B29="","",IF(OR('②-1職員名簿'!AF29="○",'②-1職員名簿'!AF29="●"),IF($E29="正規職員","正",IF($E29="契約上の就業時間を記載","","実績を入力")),"-"))</f>
        <v/>
      </c>
      <c r="J29" s="9" t="str">
        <f>IF($B29="","",IF(OR('②-1職員名簿'!AG29="○",'②-1職員名簿'!AG29="●"),IF($E29="正規職員","正",IF($E29="契約上の就業時間を記載","","実績を入力")),"-"))</f>
        <v/>
      </c>
      <c r="K29" s="9" t="str">
        <f>IF($B29="","",IF(OR('②-1職員名簿'!AH29="○",'②-1職員名簿'!AH29="●"),IF($E29="正規職員","正",IF($E29="契約上の就業時間を記載","","実績を入力")),"-"))</f>
        <v/>
      </c>
      <c r="L29" s="9" t="str">
        <f>IF($B29="","",IF(OR('②-1職員名簿'!AI29="○",'②-1職員名簿'!AI29="●"),IF($E29="正規職員","正",IF($E29="契約上の就業時間を記載","","実績を入力")),"-"))</f>
        <v/>
      </c>
      <c r="M29" s="9" t="str">
        <f>IF($B29="","",IF(OR('②-1職員名簿'!AJ29="○",'②-1職員名簿'!AJ29="●"),IF($E29="正規職員","正",IF($E29="契約上の就業時間を記載","","実績を入力")),"-"))</f>
        <v/>
      </c>
      <c r="N29" s="9" t="str">
        <f>IF($B29="","",IF(OR('②-1職員名簿'!AK29="○",'②-1職員名簿'!AK29="●"),IF($E29="正規職員","正",IF($E29="契約上の就業時間を記載","","実績を入力")),"-"))</f>
        <v/>
      </c>
      <c r="O29" s="9" t="str">
        <f>IF($B29="","",IF(OR('②-1職員名簿'!AL29="○",'②-1職員名簿'!AL29="●"),IF($E29="正規職員","正",IF($E29="契約上の就業時間を記載","","実績を入力")),"-"))</f>
        <v/>
      </c>
      <c r="P29" s="9" t="str">
        <f>IF($B29="","",IF(OR('②-1職員名簿'!AM29="○",'②-1職員名簿'!AM29="●"),IF($E29="正規職員","正",IF($E29="契約上の就業時間を記載","","実績を入力")),"-"))</f>
        <v/>
      </c>
      <c r="Q29" s="9" t="str">
        <f>IF($B29="","",IF(OR('②-1職員名簿'!AN29="○",'②-1職員名簿'!AN29="●"),IF($E29="正規職員","正",IF($E29="契約上の就業時間を記載","","見込を入力")),"-"))</f>
        <v/>
      </c>
      <c r="R29" s="88" t="str">
        <f>IF($B29="","",IF(OR('②-1職員名簿'!AC29="○",'②-1職員名簿'!AC29="●"),IF($E29="正規職員","正",IF($E29="契約上の就業時間を記載","",IF($E29&gt;=F$5,"常",F29))),"-"))</f>
        <v/>
      </c>
      <c r="S29" s="88" t="str">
        <f>IF($B29="","",IF(OR('②-1職員名簿'!AD29="○",'②-1職員名簿'!AD29="●"),IF($E29="正規職員","正",IF($E29="契約上の就業時間を記載","",IF($E29&gt;=G$5,"常",G29))),"-"))</f>
        <v/>
      </c>
      <c r="T29" s="88" t="str">
        <f>IF($B29="","",IF(OR('②-1職員名簿'!AE29="○",'②-1職員名簿'!AE29="●"),IF($E29="正規職員","正",IF($E29="契約上の就業時間を記載","",IF($E29&gt;=H$5,"常",H29))),"-"))</f>
        <v/>
      </c>
      <c r="U29" s="88" t="str">
        <f>IF($B29="","",IF(OR('②-1職員名簿'!AF29="○",'②-1職員名簿'!AF29="●"),IF($E29="正規職員","正",IF($E29="契約上の就業時間を記載","",IF($E29&gt;=I$5,"常",I29))),"-"))</f>
        <v/>
      </c>
      <c r="V29" s="88" t="str">
        <f>IF($B29="","",IF(OR('②-1職員名簿'!AG29="○",'②-1職員名簿'!AG29="●"),IF($E29="正規職員","正",IF($E29="契約上の就業時間を記載","",IF($E29&gt;=J$5,"常",J29))),"-"))</f>
        <v/>
      </c>
      <c r="W29" s="88" t="str">
        <f>IF($B29="","",IF(OR('②-1職員名簿'!AH29="○",'②-1職員名簿'!AH29="●"),IF($E29="正規職員","正",IF($E29="契約上の就業時間を記載","",IF($E29&gt;=K$5,"常",K29))),"-"))</f>
        <v/>
      </c>
      <c r="X29" s="88" t="str">
        <f>IF($B29="","",IF(OR('②-1職員名簿'!AI29="○",'②-1職員名簿'!AI29="●"),IF($E29="正規職員","正",IF($E29="契約上の就業時間を記載","",IF($E29&gt;=L$5,"常",L29))),"-"))</f>
        <v/>
      </c>
      <c r="Y29" s="88" t="str">
        <f>IF($B29="","",IF(OR('②-1職員名簿'!AJ29="○",'②-1職員名簿'!AJ29="●"),IF($E29="正規職員","正",IF($E29="契約上の就業時間を記載","",IF($E29&gt;=M$5,"常",M29))),"-"))</f>
        <v/>
      </c>
      <c r="Z29" s="88" t="str">
        <f>IF($B29="","",IF(OR('②-1職員名簿'!AK29="○",'②-1職員名簿'!AK29="●"),IF($E29="正規職員","正",IF($E29="契約上の就業時間を記載","",IF($E29&gt;=N$5,"常",N29))),"-"))</f>
        <v/>
      </c>
      <c r="AA29" s="88" t="str">
        <f>IF($B29="","",IF(OR('②-1職員名簿'!AL29="○",'②-1職員名簿'!AL29="●"),IF($E29="正規職員","正",IF($E29="契約上の就業時間を記載","",IF($E29&gt;=O$5,"常",O29))),"-"))</f>
        <v/>
      </c>
      <c r="AB29" s="88" t="str">
        <f>IF($B29="","",IF(OR('②-1職員名簿'!AM29="○",'②-1職員名簿'!AM29="●"),IF($E29="正規職員","正",IF($E29="契約上の就業時間を記載","",IF($E29&gt;=P$5,"常",P29))),"-"))</f>
        <v/>
      </c>
      <c r="AC29" s="88" t="str">
        <f>IF($B29="","",IF(OR('②-1職員名簿'!AN29="○",'②-1職員名簿'!AN29="●"),IF($E29="正規職員","正",IF($E29="契約上の就業時間を記載","",IF($E29&gt;=Q$5,"常",Q29))),"-"))</f>
        <v/>
      </c>
      <c r="AE29" s="86" t="str">
        <f>IF('②-1職員名簿'!W29="","",'②-1職員名簿'!W29)</f>
        <v/>
      </c>
      <c r="AJ29" s="17" t="str">
        <f t="shared" si="12"/>
        <v>○</v>
      </c>
      <c r="AK29" s="17" t="str">
        <f t="shared" si="13"/>
        <v>○</v>
      </c>
      <c r="AL29" s="17" t="str">
        <f t="shared" si="14"/>
        <v>○</v>
      </c>
      <c r="AM29" s="17" t="str">
        <f t="shared" si="15"/>
        <v>○</v>
      </c>
      <c r="AN29" s="17" t="str">
        <f t="shared" si="16"/>
        <v>○</v>
      </c>
      <c r="AO29" s="17" t="str">
        <f t="shared" si="17"/>
        <v>○</v>
      </c>
      <c r="AP29" s="17" t="str">
        <f t="shared" si="18"/>
        <v>○</v>
      </c>
      <c r="AQ29" s="17" t="str">
        <f t="shared" si="19"/>
        <v>○</v>
      </c>
      <c r="AR29" s="17" t="str">
        <f t="shared" si="20"/>
        <v>○</v>
      </c>
      <c r="AS29" s="17" t="str">
        <f t="shared" si="21"/>
        <v>○</v>
      </c>
      <c r="AT29" s="17" t="str">
        <f t="shared" si="22"/>
        <v>○</v>
      </c>
      <c r="AU29" s="17" t="str">
        <f t="shared" si="23"/>
        <v>○</v>
      </c>
    </row>
    <row r="30" spans="1:47" s="90" customFormat="1" ht="23.15" customHeight="1">
      <c r="A30" s="87">
        <v>24</v>
      </c>
      <c r="B30" s="86" t="str">
        <f>IF('②-1職員名簿'!E30="","",'②-1職員名簿'!Y30)</f>
        <v/>
      </c>
      <c r="C30" s="88" t="str">
        <f>'②-1職員名簿'!BE30</f>
        <v/>
      </c>
      <c r="D30" s="117" t="str">
        <f t="shared" si="9"/>
        <v/>
      </c>
      <c r="E30" s="18" t="str">
        <f>IF($B30="","",IF(AND('②-1職員名簿'!C30="正",'②-1職員名簿'!D30="常"),"正規職員","契約上の就業時間を記載"))</f>
        <v/>
      </c>
      <c r="F30" s="9" t="str">
        <f>IF($B30="","",IF(OR('②-1職員名簿'!AC30="○",'②-1職員名簿'!AC30="●"),IF($E30="正規職員","正",IF($E30="契約上の就業時間を記載","","見込を入力")),"-"))</f>
        <v/>
      </c>
      <c r="G30" s="9" t="str">
        <f>IF($B30="","",IF(OR('②-1職員名簿'!AD30="○",'②-1職員名簿'!AD30="●"),IF($E30="正規職員","正",IF($E30="契約上の就業時間を記載","","実績を入力")),"-"))</f>
        <v/>
      </c>
      <c r="H30" s="9" t="str">
        <f>IF($B30="","",IF(OR('②-1職員名簿'!AE30="○",'②-1職員名簿'!AE30="●"),IF($E30="正規職員","正",IF($E30="契約上の就業時間を記載","","実績を入力")),"-"))</f>
        <v/>
      </c>
      <c r="I30" s="9" t="str">
        <f>IF($B30="","",IF(OR('②-1職員名簿'!AF30="○",'②-1職員名簿'!AF30="●"),IF($E30="正規職員","正",IF($E30="契約上の就業時間を記載","","実績を入力")),"-"))</f>
        <v/>
      </c>
      <c r="J30" s="9" t="str">
        <f>IF($B30="","",IF(OR('②-1職員名簿'!AG30="○",'②-1職員名簿'!AG30="●"),IF($E30="正規職員","正",IF($E30="契約上の就業時間を記載","","実績を入力")),"-"))</f>
        <v/>
      </c>
      <c r="K30" s="9" t="str">
        <f>IF($B30="","",IF(OR('②-1職員名簿'!AH30="○",'②-1職員名簿'!AH30="●"),IF($E30="正規職員","正",IF($E30="契約上の就業時間を記載","","実績を入力")),"-"))</f>
        <v/>
      </c>
      <c r="L30" s="9" t="str">
        <f>IF($B30="","",IF(OR('②-1職員名簿'!AI30="○",'②-1職員名簿'!AI30="●"),IF($E30="正規職員","正",IF($E30="契約上の就業時間を記載","","実績を入力")),"-"))</f>
        <v/>
      </c>
      <c r="M30" s="9" t="str">
        <f>IF($B30="","",IF(OR('②-1職員名簿'!AJ30="○",'②-1職員名簿'!AJ30="●"),IF($E30="正規職員","正",IF($E30="契約上の就業時間を記載","","実績を入力")),"-"))</f>
        <v/>
      </c>
      <c r="N30" s="9" t="str">
        <f>IF($B30="","",IF(OR('②-1職員名簿'!AK30="○",'②-1職員名簿'!AK30="●"),IF($E30="正規職員","正",IF($E30="契約上の就業時間を記載","","実績を入力")),"-"))</f>
        <v/>
      </c>
      <c r="O30" s="9" t="str">
        <f>IF($B30="","",IF(OR('②-1職員名簿'!AL30="○",'②-1職員名簿'!AL30="●"),IF($E30="正規職員","正",IF($E30="契約上の就業時間を記載","","実績を入力")),"-"))</f>
        <v/>
      </c>
      <c r="P30" s="9" t="str">
        <f>IF($B30="","",IF(OR('②-1職員名簿'!AM30="○",'②-1職員名簿'!AM30="●"),IF($E30="正規職員","正",IF($E30="契約上の就業時間を記載","","実績を入力")),"-"))</f>
        <v/>
      </c>
      <c r="Q30" s="9" t="str">
        <f>IF($B30="","",IF(OR('②-1職員名簿'!AN30="○",'②-1職員名簿'!AN30="●"),IF($E30="正規職員","正",IF($E30="契約上の就業時間を記載","","見込を入力")),"-"))</f>
        <v/>
      </c>
      <c r="R30" s="88" t="str">
        <f>IF($B30="","",IF(OR('②-1職員名簿'!AC30="○",'②-1職員名簿'!AC30="●"),IF($E30="正規職員","正",IF($E30="契約上の就業時間を記載","",IF($E30&gt;=F$5,"常",F30))),"-"))</f>
        <v/>
      </c>
      <c r="S30" s="88" t="str">
        <f>IF($B30="","",IF(OR('②-1職員名簿'!AD30="○",'②-1職員名簿'!AD30="●"),IF($E30="正規職員","正",IF($E30="契約上の就業時間を記載","",IF($E30&gt;=G$5,"常",G30))),"-"))</f>
        <v/>
      </c>
      <c r="T30" s="88" t="str">
        <f>IF($B30="","",IF(OR('②-1職員名簿'!AE30="○",'②-1職員名簿'!AE30="●"),IF($E30="正規職員","正",IF($E30="契約上の就業時間を記載","",IF($E30&gt;=H$5,"常",H30))),"-"))</f>
        <v/>
      </c>
      <c r="U30" s="88" t="str">
        <f>IF($B30="","",IF(OR('②-1職員名簿'!AF30="○",'②-1職員名簿'!AF30="●"),IF($E30="正規職員","正",IF($E30="契約上の就業時間を記載","",IF($E30&gt;=I$5,"常",I30))),"-"))</f>
        <v/>
      </c>
      <c r="V30" s="88" t="str">
        <f>IF($B30="","",IF(OR('②-1職員名簿'!AG30="○",'②-1職員名簿'!AG30="●"),IF($E30="正規職員","正",IF($E30="契約上の就業時間を記載","",IF($E30&gt;=J$5,"常",J30))),"-"))</f>
        <v/>
      </c>
      <c r="W30" s="88" t="str">
        <f>IF($B30="","",IF(OR('②-1職員名簿'!AH30="○",'②-1職員名簿'!AH30="●"),IF($E30="正規職員","正",IF($E30="契約上の就業時間を記載","",IF($E30&gt;=K$5,"常",K30))),"-"))</f>
        <v/>
      </c>
      <c r="X30" s="88" t="str">
        <f>IF($B30="","",IF(OR('②-1職員名簿'!AI30="○",'②-1職員名簿'!AI30="●"),IF($E30="正規職員","正",IF($E30="契約上の就業時間を記載","",IF($E30&gt;=L$5,"常",L30))),"-"))</f>
        <v/>
      </c>
      <c r="Y30" s="88" t="str">
        <f>IF($B30="","",IF(OR('②-1職員名簿'!AJ30="○",'②-1職員名簿'!AJ30="●"),IF($E30="正規職員","正",IF($E30="契約上の就業時間を記載","",IF($E30&gt;=M$5,"常",M30))),"-"))</f>
        <v/>
      </c>
      <c r="Z30" s="88" t="str">
        <f>IF($B30="","",IF(OR('②-1職員名簿'!AK30="○",'②-1職員名簿'!AK30="●"),IF($E30="正規職員","正",IF($E30="契約上の就業時間を記載","",IF($E30&gt;=N$5,"常",N30))),"-"))</f>
        <v/>
      </c>
      <c r="AA30" s="88" t="str">
        <f>IF($B30="","",IF(OR('②-1職員名簿'!AL30="○",'②-1職員名簿'!AL30="●"),IF($E30="正規職員","正",IF($E30="契約上の就業時間を記載","",IF($E30&gt;=O$5,"常",O30))),"-"))</f>
        <v/>
      </c>
      <c r="AB30" s="88" t="str">
        <f>IF($B30="","",IF(OR('②-1職員名簿'!AM30="○",'②-1職員名簿'!AM30="●"),IF($E30="正規職員","正",IF($E30="契約上の就業時間を記載","",IF($E30&gt;=P$5,"常",P30))),"-"))</f>
        <v/>
      </c>
      <c r="AC30" s="88" t="str">
        <f>IF($B30="","",IF(OR('②-1職員名簿'!AN30="○",'②-1職員名簿'!AN30="●"),IF($E30="正規職員","正",IF($E30="契約上の就業時間を記載","",IF($E30&gt;=Q$5,"常",Q30))),"-"))</f>
        <v/>
      </c>
      <c r="AE30" s="86" t="str">
        <f>IF('②-1職員名簿'!W30="","",'②-1職員名簿'!W30)</f>
        <v/>
      </c>
      <c r="AJ30" s="17" t="str">
        <f t="shared" si="12"/>
        <v>○</v>
      </c>
      <c r="AK30" s="17" t="str">
        <f t="shared" si="13"/>
        <v>○</v>
      </c>
      <c r="AL30" s="17" t="str">
        <f t="shared" si="14"/>
        <v>○</v>
      </c>
      <c r="AM30" s="17" t="str">
        <f t="shared" si="15"/>
        <v>○</v>
      </c>
      <c r="AN30" s="17" t="str">
        <f t="shared" si="16"/>
        <v>○</v>
      </c>
      <c r="AO30" s="17" t="str">
        <f t="shared" si="17"/>
        <v>○</v>
      </c>
      <c r="AP30" s="17" t="str">
        <f t="shared" si="18"/>
        <v>○</v>
      </c>
      <c r="AQ30" s="17" t="str">
        <f t="shared" si="19"/>
        <v>○</v>
      </c>
      <c r="AR30" s="17" t="str">
        <f t="shared" si="20"/>
        <v>○</v>
      </c>
      <c r="AS30" s="17" t="str">
        <f t="shared" si="21"/>
        <v>○</v>
      </c>
      <c r="AT30" s="17" t="str">
        <f t="shared" si="22"/>
        <v>○</v>
      </c>
      <c r="AU30" s="17" t="str">
        <f t="shared" si="23"/>
        <v>○</v>
      </c>
    </row>
    <row r="31" spans="1:47" s="90" customFormat="1" ht="23.15" customHeight="1">
      <c r="A31" s="87">
        <v>25</v>
      </c>
      <c r="B31" s="86" t="str">
        <f>IF('②-1職員名簿'!E31="","",'②-1職員名簿'!Y31)</f>
        <v/>
      </c>
      <c r="C31" s="88" t="str">
        <f>'②-1職員名簿'!BE31</f>
        <v/>
      </c>
      <c r="D31" s="117" t="str">
        <f t="shared" si="9"/>
        <v/>
      </c>
      <c r="E31" s="18" t="str">
        <f>IF($B31="","",IF(AND('②-1職員名簿'!C31="正",'②-1職員名簿'!D31="常"),"正規職員","契約上の就業時間を記載"))</f>
        <v/>
      </c>
      <c r="F31" s="9" t="str">
        <f>IF($B31="","",IF(OR('②-1職員名簿'!AC31="○",'②-1職員名簿'!AC31="●"),IF($E31="正規職員","正",IF($E31="契約上の就業時間を記載","","見込を入力")),"-"))</f>
        <v/>
      </c>
      <c r="G31" s="9" t="str">
        <f>IF($B31="","",IF(OR('②-1職員名簿'!AD31="○",'②-1職員名簿'!AD31="●"),IF($E31="正規職員","正",IF($E31="契約上の就業時間を記載","","実績を入力")),"-"))</f>
        <v/>
      </c>
      <c r="H31" s="9" t="str">
        <f>IF($B31="","",IF(OR('②-1職員名簿'!AE31="○",'②-1職員名簿'!AE31="●"),IF($E31="正規職員","正",IF($E31="契約上の就業時間を記載","","実績を入力")),"-"))</f>
        <v/>
      </c>
      <c r="I31" s="9" t="str">
        <f>IF($B31="","",IF(OR('②-1職員名簿'!AF31="○",'②-1職員名簿'!AF31="●"),IF($E31="正規職員","正",IF($E31="契約上の就業時間を記載","","実績を入力")),"-"))</f>
        <v/>
      </c>
      <c r="J31" s="9" t="str">
        <f>IF($B31="","",IF(OR('②-1職員名簿'!AG31="○",'②-1職員名簿'!AG31="●"),IF($E31="正規職員","正",IF($E31="契約上の就業時間を記載","","実績を入力")),"-"))</f>
        <v/>
      </c>
      <c r="K31" s="9" t="str">
        <f>IF($B31="","",IF(OR('②-1職員名簿'!AH31="○",'②-1職員名簿'!AH31="●"),IF($E31="正規職員","正",IF($E31="契約上の就業時間を記載","","実績を入力")),"-"))</f>
        <v/>
      </c>
      <c r="L31" s="9" t="str">
        <f>IF($B31="","",IF(OR('②-1職員名簿'!AI31="○",'②-1職員名簿'!AI31="●"),IF($E31="正規職員","正",IF($E31="契約上の就業時間を記載","","実績を入力")),"-"))</f>
        <v/>
      </c>
      <c r="M31" s="9" t="str">
        <f>IF($B31="","",IF(OR('②-1職員名簿'!AJ31="○",'②-1職員名簿'!AJ31="●"),IF($E31="正規職員","正",IF($E31="契約上の就業時間を記載","","実績を入力")),"-"))</f>
        <v/>
      </c>
      <c r="N31" s="9" t="str">
        <f>IF($B31="","",IF(OR('②-1職員名簿'!AK31="○",'②-1職員名簿'!AK31="●"),IF($E31="正規職員","正",IF($E31="契約上の就業時間を記載","","実績を入力")),"-"))</f>
        <v/>
      </c>
      <c r="O31" s="9" t="str">
        <f>IF($B31="","",IF(OR('②-1職員名簿'!AL31="○",'②-1職員名簿'!AL31="●"),IF($E31="正規職員","正",IF($E31="契約上の就業時間を記載","","実績を入力")),"-"))</f>
        <v/>
      </c>
      <c r="P31" s="9" t="str">
        <f>IF($B31="","",IF(OR('②-1職員名簿'!AM31="○",'②-1職員名簿'!AM31="●"),IF($E31="正規職員","正",IF($E31="契約上の就業時間を記載","","実績を入力")),"-"))</f>
        <v/>
      </c>
      <c r="Q31" s="9" t="str">
        <f>IF($B31="","",IF(OR('②-1職員名簿'!AN31="○",'②-1職員名簿'!AN31="●"),IF($E31="正規職員","正",IF($E31="契約上の就業時間を記載","","見込を入力")),"-"))</f>
        <v/>
      </c>
      <c r="R31" s="88" t="str">
        <f>IF($B31="","",IF(OR('②-1職員名簿'!AC31="○",'②-1職員名簿'!AC31="●"),IF($E31="正規職員","正",IF($E31="契約上の就業時間を記載","",IF($E31&gt;=F$5,"常",F31))),"-"))</f>
        <v/>
      </c>
      <c r="S31" s="88" t="str">
        <f>IF($B31="","",IF(OR('②-1職員名簿'!AD31="○",'②-1職員名簿'!AD31="●"),IF($E31="正規職員","正",IF($E31="契約上の就業時間を記載","",IF($E31&gt;=G$5,"常",G31))),"-"))</f>
        <v/>
      </c>
      <c r="T31" s="88" t="str">
        <f>IF($B31="","",IF(OR('②-1職員名簿'!AE31="○",'②-1職員名簿'!AE31="●"),IF($E31="正規職員","正",IF($E31="契約上の就業時間を記載","",IF($E31&gt;=H$5,"常",H31))),"-"))</f>
        <v/>
      </c>
      <c r="U31" s="88" t="str">
        <f>IF($B31="","",IF(OR('②-1職員名簿'!AF31="○",'②-1職員名簿'!AF31="●"),IF($E31="正規職員","正",IF($E31="契約上の就業時間を記載","",IF($E31&gt;=I$5,"常",I31))),"-"))</f>
        <v/>
      </c>
      <c r="V31" s="88" t="str">
        <f>IF($B31="","",IF(OR('②-1職員名簿'!AG31="○",'②-1職員名簿'!AG31="●"),IF($E31="正規職員","正",IF($E31="契約上の就業時間を記載","",IF($E31&gt;=J$5,"常",J31))),"-"))</f>
        <v/>
      </c>
      <c r="W31" s="88" t="str">
        <f>IF($B31="","",IF(OR('②-1職員名簿'!AH31="○",'②-1職員名簿'!AH31="●"),IF($E31="正規職員","正",IF($E31="契約上の就業時間を記載","",IF($E31&gt;=K$5,"常",K31))),"-"))</f>
        <v/>
      </c>
      <c r="X31" s="88" t="str">
        <f>IF($B31="","",IF(OR('②-1職員名簿'!AI31="○",'②-1職員名簿'!AI31="●"),IF($E31="正規職員","正",IF($E31="契約上の就業時間を記載","",IF($E31&gt;=L$5,"常",L31))),"-"))</f>
        <v/>
      </c>
      <c r="Y31" s="88" t="str">
        <f>IF($B31="","",IF(OR('②-1職員名簿'!AJ31="○",'②-1職員名簿'!AJ31="●"),IF($E31="正規職員","正",IF($E31="契約上の就業時間を記載","",IF($E31&gt;=M$5,"常",M31))),"-"))</f>
        <v/>
      </c>
      <c r="Z31" s="88" t="str">
        <f>IF($B31="","",IF(OR('②-1職員名簿'!AK31="○",'②-1職員名簿'!AK31="●"),IF($E31="正規職員","正",IF($E31="契約上の就業時間を記載","",IF($E31&gt;=N$5,"常",N31))),"-"))</f>
        <v/>
      </c>
      <c r="AA31" s="88" t="str">
        <f>IF($B31="","",IF(OR('②-1職員名簿'!AL31="○",'②-1職員名簿'!AL31="●"),IF($E31="正規職員","正",IF($E31="契約上の就業時間を記載","",IF($E31&gt;=O$5,"常",O31))),"-"))</f>
        <v/>
      </c>
      <c r="AB31" s="88" t="str">
        <f>IF($B31="","",IF(OR('②-1職員名簿'!AM31="○",'②-1職員名簿'!AM31="●"),IF($E31="正規職員","正",IF($E31="契約上の就業時間を記載","",IF($E31&gt;=P$5,"常",P31))),"-"))</f>
        <v/>
      </c>
      <c r="AC31" s="88" t="str">
        <f>IF($B31="","",IF(OR('②-1職員名簿'!AN31="○",'②-1職員名簿'!AN31="●"),IF($E31="正規職員","正",IF($E31="契約上の就業時間を記載","",IF($E31&gt;=Q$5,"常",Q31))),"-"))</f>
        <v/>
      </c>
      <c r="AE31" s="86" t="str">
        <f>IF('②-1職員名簿'!W31="","",'②-1職員名簿'!W31)</f>
        <v/>
      </c>
      <c r="AJ31" s="17" t="str">
        <f t="shared" si="12"/>
        <v>○</v>
      </c>
      <c r="AK31" s="17" t="str">
        <f t="shared" si="13"/>
        <v>○</v>
      </c>
      <c r="AL31" s="17" t="str">
        <f t="shared" si="14"/>
        <v>○</v>
      </c>
      <c r="AM31" s="17" t="str">
        <f t="shared" si="15"/>
        <v>○</v>
      </c>
      <c r="AN31" s="17" t="str">
        <f t="shared" si="16"/>
        <v>○</v>
      </c>
      <c r="AO31" s="17" t="str">
        <f t="shared" si="17"/>
        <v>○</v>
      </c>
      <c r="AP31" s="17" t="str">
        <f t="shared" si="18"/>
        <v>○</v>
      </c>
      <c r="AQ31" s="17" t="str">
        <f t="shared" si="19"/>
        <v>○</v>
      </c>
      <c r="AR31" s="17" t="str">
        <f t="shared" si="20"/>
        <v>○</v>
      </c>
      <c r="AS31" s="17" t="str">
        <f t="shared" si="21"/>
        <v>○</v>
      </c>
      <c r="AT31" s="17" t="str">
        <f t="shared" si="22"/>
        <v>○</v>
      </c>
      <c r="AU31" s="17" t="str">
        <f t="shared" si="23"/>
        <v>○</v>
      </c>
    </row>
    <row r="32" spans="1:47" s="90" customFormat="1" ht="23.15" customHeight="1">
      <c r="A32" s="87">
        <v>26</v>
      </c>
      <c r="B32" s="86" t="str">
        <f>IF('②-1職員名簿'!E32="","",'②-1職員名簿'!Y32)</f>
        <v/>
      </c>
      <c r="C32" s="88" t="str">
        <f>'②-1職員名簿'!BE32</f>
        <v/>
      </c>
      <c r="D32" s="117" t="str">
        <f t="shared" si="9"/>
        <v/>
      </c>
      <c r="E32" s="18" t="str">
        <f>IF($B32="","",IF(AND('②-1職員名簿'!C32="正",'②-1職員名簿'!D32="常"),"正規職員","契約上の就業時間を記載"))</f>
        <v/>
      </c>
      <c r="F32" s="9" t="str">
        <f>IF($B32="","",IF(OR('②-1職員名簿'!AC32="○",'②-1職員名簿'!AC32="●"),IF($E32="正規職員","正",IF($E32="契約上の就業時間を記載","","見込を入力")),"-"))</f>
        <v/>
      </c>
      <c r="G32" s="9" t="str">
        <f>IF($B32="","",IF(OR('②-1職員名簿'!AD32="○",'②-1職員名簿'!AD32="●"),IF($E32="正規職員","正",IF($E32="契約上の就業時間を記載","","実績を入力")),"-"))</f>
        <v/>
      </c>
      <c r="H32" s="9" t="str">
        <f>IF($B32="","",IF(OR('②-1職員名簿'!AE32="○",'②-1職員名簿'!AE32="●"),IF($E32="正規職員","正",IF($E32="契約上の就業時間を記載","","実績を入力")),"-"))</f>
        <v/>
      </c>
      <c r="I32" s="9" t="str">
        <f>IF($B32="","",IF(OR('②-1職員名簿'!AF32="○",'②-1職員名簿'!AF32="●"),IF($E32="正規職員","正",IF($E32="契約上の就業時間を記載","","実績を入力")),"-"))</f>
        <v/>
      </c>
      <c r="J32" s="9" t="str">
        <f>IF($B32="","",IF(OR('②-1職員名簿'!AG32="○",'②-1職員名簿'!AG32="●"),IF($E32="正規職員","正",IF($E32="契約上の就業時間を記載","","実績を入力")),"-"))</f>
        <v/>
      </c>
      <c r="K32" s="9" t="str">
        <f>IF($B32="","",IF(OR('②-1職員名簿'!AH32="○",'②-1職員名簿'!AH32="●"),IF($E32="正規職員","正",IF($E32="契約上の就業時間を記載","","実績を入力")),"-"))</f>
        <v/>
      </c>
      <c r="L32" s="9" t="str">
        <f>IF($B32="","",IF(OR('②-1職員名簿'!AI32="○",'②-1職員名簿'!AI32="●"),IF($E32="正規職員","正",IF($E32="契約上の就業時間を記載","","実績を入力")),"-"))</f>
        <v/>
      </c>
      <c r="M32" s="9" t="str">
        <f>IF($B32="","",IF(OR('②-1職員名簿'!AJ32="○",'②-1職員名簿'!AJ32="●"),IF($E32="正規職員","正",IF($E32="契約上の就業時間を記載","","実績を入力")),"-"))</f>
        <v/>
      </c>
      <c r="N32" s="9" t="str">
        <f>IF($B32="","",IF(OR('②-1職員名簿'!AK32="○",'②-1職員名簿'!AK32="●"),IF($E32="正規職員","正",IF($E32="契約上の就業時間を記載","","実績を入力")),"-"))</f>
        <v/>
      </c>
      <c r="O32" s="9" t="str">
        <f>IF($B32="","",IF(OR('②-1職員名簿'!AL32="○",'②-1職員名簿'!AL32="●"),IF($E32="正規職員","正",IF($E32="契約上の就業時間を記載","","実績を入力")),"-"))</f>
        <v/>
      </c>
      <c r="P32" s="9" t="str">
        <f>IF($B32="","",IF(OR('②-1職員名簿'!AM32="○",'②-1職員名簿'!AM32="●"),IF($E32="正規職員","正",IF($E32="契約上の就業時間を記載","","実績を入力")),"-"))</f>
        <v/>
      </c>
      <c r="Q32" s="9" t="str">
        <f>IF($B32="","",IF(OR('②-1職員名簿'!AN32="○",'②-1職員名簿'!AN32="●"),IF($E32="正規職員","正",IF($E32="契約上の就業時間を記載","","見込を入力")),"-"))</f>
        <v/>
      </c>
      <c r="R32" s="88" t="str">
        <f>IF($B32="","",IF(OR('②-1職員名簿'!AC32="○",'②-1職員名簿'!AC32="●"),IF($E32="正規職員","正",IF($E32="契約上の就業時間を記載","",IF($E32&gt;=F$5,"常",F32))),"-"))</f>
        <v/>
      </c>
      <c r="S32" s="88" t="str">
        <f>IF($B32="","",IF(OR('②-1職員名簿'!AD32="○",'②-1職員名簿'!AD32="●"),IF($E32="正規職員","正",IF($E32="契約上の就業時間を記載","",IF($E32&gt;=G$5,"常",G32))),"-"))</f>
        <v/>
      </c>
      <c r="T32" s="88" t="str">
        <f>IF($B32="","",IF(OR('②-1職員名簿'!AE32="○",'②-1職員名簿'!AE32="●"),IF($E32="正規職員","正",IF($E32="契約上の就業時間を記載","",IF($E32&gt;=H$5,"常",H32))),"-"))</f>
        <v/>
      </c>
      <c r="U32" s="88" t="str">
        <f>IF($B32="","",IF(OR('②-1職員名簿'!AF32="○",'②-1職員名簿'!AF32="●"),IF($E32="正規職員","正",IF($E32="契約上の就業時間を記載","",IF($E32&gt;=I$5,"常",I32))),"-"))</f>
        <v/>
      </c>
      <c r="V32" s="88" t="str">
        <f>IF($B32="","",IF(OR('②-1職員名簿'!AG32="○",'②-1職員名簿'!AG32="●"),IF($E32="正規職員","正",IF($E32="契約上の就業時間を記載","",IF($E32&gt;=J$5,"常",J32))),"-"))</f>
        <v/>
      </c>
      <c r="W32" s="88" t="str">
        <f>IF($B32="","",IF(OR('②-1職員名簿'!AH32="○",'②-1職員名簿'!AH32="●"),IF($E32="正規職員","正",IF($E32="契約上の就業時間を記載","",IF($E32&gt;=K$5,"常",K32))),"-"))</f>
        <v/>
      </c>
      <c r="X32" s="88" t="str">
        <f>IF($B32="","",IF(OR('②-1職員名簿'!AI32="○",'②-1職員名簿'!AI32="●"),IF($E32="正規職員","正",IF($E32="契約上の就業時間を記載","",IF($E32&gt;=L$5,"常",L32))),"-"))</f>
        <v/>
      </c>
      <c r="Y32" s="88" t="str">
        <f>IF($B32="","",IF(OR('②-1職員名簿'!AJ32="○",'②-1職員名簿'!AJ32="●"),IF($E32="正規職員","正",IF($E32="契約上の就業時間を記載","",IF($E32&gt;=M$5,"常",M32))),"-"))</f>
        <v/>
      </c>
      <c r="Z32" s="88" t="str">
        <f>IF($B32="","",IF(OR('②-1職員名簿'!AK32="○",'②-1職員名簿'!AK32="●"),IF($E32="正規職員","正",IF($E32="契約上の就業時間を記載","",IF($E32&gt;=N$5,"常",N32))),"-"))</f>
        <v/>
      </c>
      <c r="AA32" s="88" t="str">
        <f>IF($B32="","",IF(OR('②-1職員名簿'!AL32="○",'②-1職員名簿'!AL32="●"),IF($E32="正規職員","正",IF($E32="契約上の就業時間を記載","",IF($E32&gt;=O$5,"常",O32))),"-"))</f>
        <v/>
      </c>
      <c r="AB32" s="88" t="str">
        <f>IF($B32="","",IF(OR('②-1職員名簿'!AM32="○",'②-1職員名簿'!AM32="●"),IF($E32="正規職員","正",IF($E32="契約上の就業時間を記載","",IF($E32&gt;=P$5,"常",P32))),"-"))</f>
        <v/>
      </c>
      <c r="AC32" s="88" t="str">
        <f>IF($B32="","",IF(OR('②-1職員名簿'!AN32="○",'②-1職員名簿'!AN32="●"),IF($E32="正規職員","正",IF($E32="契約上の就業時間を記載","",IF($E32&gt;=Q$5,"常",Q32))),"-"))</f>
        <v/>
      </c>
      <c r="AE32" s="86" t="str">
        <f>IF('②-1職員名簿'!W32="","",'②-1職員名簿'!W32)</f>
        <v/>
      </c>
      <c r="AJ32" s="17" t="str">
        <f t="shared" si="12"/>
        <v>○</v>
      </c>
      <c r="AK32" s="17" t="str">
        <f t="shared" si="13"/>
        <v>○</v>
      </c>
      <c r="AL32" s="17" t="str">
        <f t="shared" si="14"/>
        <v>○</v>
      </c>
      <c r="AM32" s="17" t="str">
        <f t="shared" si="15"/>
        <v>○</v>
      </c>
      <c r="AN32" s="17" t="str">
        <f t="shared" si="16"/>
        <v>○</v>
      </c>
      <c r="AO32" s="17" t="str">
        <f t="shared" si="17"/>
        <v>○</v>
      </c>
      <c r="AP32" s="17" t="str">
        <f t="shared" si="18"/>
        <v>○</v>
      </c>
      <c r="AQ32" s="17" t="str">
        <f t="shared" si="19"/>
        <v>○</v>
      </c>
      <c r="AR32" s="17" t="str">
        <f t="shared" si="20"/>
        <v>○</v>
      </c>
      <c r="AS32" s="17" t="str">
        <f t="shared" si="21"/>
        <v>○</v>
      </c>
      <c r="AT32" s="17" t="str">
        <f t="shared" si="22"/>
        <v>○</v>
      </c>
      <c r="AU32" s="17" t="str">
        <f t="shared" si="23"/>
        <v>○</v>
      </c>
    </row>
    <row r="33" spans="1:47" s="90" customFormat="1" ht="23.15" customHeight="1">
      <c r="A33" s="87">
        <v>27</v>
      </c>
      <c r="B33" s="86" t="str">
        <f>IF('②-1職員名簿'!E33="","",'②-1職員名簿'!Y33)</f>
        <v/>
      </c>
      <c r="C33" s="88" t="str">
        <f>'②-1職員名簿'!BE33</f>
        <v/>
      </c>
      <c r="D33" s="117" t="str">
        <f t="shared" si="9"/>
        <v/>
      </c>
      <c r="E33" s="18" t="str">
        <f>IF($B33="","",IF(AND('②-1職員名簿'!C33="正",'②-1職員名簿'!D33="常"),"正規職員","契約上の就業時間を記載"))</f>
        <v/>
      </c>
      <c r="F33" s="9" t="str">
        <f>IF($B33="","",IF(OR('②-1職員名簿'!AC33="○",'②-1職員名簿'!AC33="●"),IF($E33="正規職員","正",IF($E33="契約上の就業時間を記載","","見込を入力")),"-"))</f>
        <v/>
      </c>
      <c r="G33" s="9" t="str">
        <f>IF($B33="","",IF(OR('②-1職員名簿'!AD33="○",'②-1職員名簿'!AD33="●"),IF($E33="正規職員","正",IF($E33="契約上の就業時間を記載","","実績を入力")),"-"))</f>
        <v/>
      </c>
      <c r="H33" s="9" t="str">
        <f>IF($B33="","",IF(OR('②-1職員名簿'!AE33="○",'②-1職員名簿'!AE33="●"),IF($E33="正規職員","正",IF($E33="契約上の就業時間を記載","","実績を入力")),"-"))</f>
        <v/>
      </c>
      <c r="I33" s="9" t="str">
        <f>IF($B33="","",IF(OR('②-1職員名簿'!AF33="○",'②-1職員名簿'!AF33="●"),IF($E33="正規職員","正",IF($E33="契約上の就業時間を記載","","実績を入力")),"-"))</f>
        <v/>
      </c>
      <c r="J33" s="9" t="str">
        <f>IF($B33="","",IF(OR('②-1職員名簿'!AG33="○",'②-1職員名簿'!AG33="●"),IF($E33="正規職員","正",IF($E33="契約上の就業時間を記載","","実績を入力")),"-"))</f>
        <v/>
      </c>
      <c r="K33" s="9" t="str">
        <f>IF($B33="","",IF(OR('②-1職員名簿'!AH33="○",'②-1職員名簿'!AH33="●"),IF($E33="正規職員","正",IF($E33="契約上の就業時間を記載","","実績を入力")),"-"))</f>
        <v/>
      </c>
      <c r="L33" s="9" t="str">
        <f>IF($B33="","",IF(OR('②-1職員名簿'!AI33="○",'②-1職員名簿'!AI33="●"),IF($E33="正規職員","正",IF($E33="契約上の就業時間を記載","","実績を入力")),"-"))</f>
        <v/>
      </c>
      <c r="M33" s="9" t="str">
        <f>IF($B33="","",IF(OR('②-1職員名簿'!AJ33="○",'②-1職員名簿'!AJ33="●"),IF($E33="正規職員","正",IF($E33="契約上の就業時間を記載","","実績を入力")),"-"))</f>
        <v/>
      </c>
      <c r="N33" s="9" t="str">
        <f>IF($B33="","",IF(OR('②-1職員名簿'!AK33="○",'②-1職員名簿'!AK33="●"),IF($E33="正規職員","正",IF($E33="契約上の就業時間を記載","","実績を入力")),"-"))</f>
        <v/>
      </c>
      <c r="O33" s="9" t="str">
        <f>IF($B33="","",IF(OR('②-1職員名簿'!AL33="○",'②-1職員名簿'!AL33="●"),IF($E33="正規職員","正",IF($E33="契約上の就業時間を記載","","実績を入力")),"-"))</f>
        <v/>
      </c>
      <c r="P33" s="9" t="str">
        <f>IF($B33="","",IF(OR('②-1職員名簿'!AM33="○",'②-1職員名簿'!AM33="●"),IF($E33="正規職員","正",IF($E33="契約上の就業時間を記載","","実績を入力")),"-"))</f>
        <v/>
      </c>
      <c r="Q33" s="9" t="str">
        <f>IF($B33="","",IF(OR('②-1職員名簿'!AN33="○",'②-1職員名簿'!AN33="●"),IF($E33="正規職員","正",IF($E33="契約上の就業時間を記載","","見込を入力")),"-"))</f>
        <v/>
      </c>
      <c r="R33" s="88" t="str">
        <f>IF($B33="","",IF(OR('②-1職員名簿'!AC33="○",'②-1職員名簿'!AC33="●"),IF($E33="正規職員","正",IF($E33="契約上の就業時間を記載","",IF($E33&gt;=F$5,"常",F33))),"-"))</f>
        <v/>
      </c>
      <c r="S33" s="88" t="str">
        <f>IF($B33="","",IF(OR('②-1職員名簿'!AD33="○",'②-1職員名簿'!AD33="●"),IF($E33="正規職員","正",IF($E33="契約上の就業時間を記載","",IF($E33&gt;=G$5,"常",G33))),"-"))</f>
        <v/>
      </c>
      <c r="T33" s="88" t="str">
        <f>IF($B33="","",IF(OR('②-1職員名簿'!AE33="○",'②-1職員名簿'!AE33="●"),IF($E33="正規職員","正",IF($E33="契約上の就業時間を記載","",IF($E33&gt;=H$5,"常",H33))),"-"))</f>
        <v/>
      </c>
      <c r="U33" s="88" t="str">
        <f>IF($B33="","",IF(OR('②-1職員名簿'!AF33="○",'②-1職員名簿'!AF33="●"),IF($E33="正規職員","正",IF($E33="契約上の就業時間を記載","",IF($E33&gt;=I$5,"常",I33))),"-"))</f>
        <v/>
      </c>
      <c r="V33" s="88" t="str">
        <f>IF($B33="","",IF(OR('②-1職員名簿'!AG33="○",'②-1職員名簿'!AG33="●"),IF($E33="正規職員","正",IF($E33="契約上の就業時間を記載","",IF($E33&gt;=J$5,"常",J33))),"-"))</f>
        <v/>
      </c>
      <c r="W33" s="88" t="str">
        <f>IF($B33="","",IF(OR('②-1職員名簿'!AH33="○",'②-1職員名簿'!AH33="●"),IF($E33="正規職員","正",IF($E33="契約上の就業時間を記載","",IF($E33&gt;=K$5,"常",K33))),"-"))</f>
        <v/>
      </c>
      <c r="X33" s="88" t="str">
        <f>IF($B33="","",IF(OR('②-1職員名簿'!AI33="○",'②-1職員名簿'!AI33="●"),IF($E33="正規職員","正",IF($E33="契約上の就業時間を記載","",IF($E33&gt;=L$5,"常",L33))),"-"))</f>
        <v/>
      </c>
      <c r="Y33" s="88" t="str">
        <f>IF($B33="","",IF(OR('②-1職員名簿'!AJ33="○",'②-1職員名簿'!AJ33="●"),IF($E33="正規職員","正",IF($E33="契約上の就業時間を記載","",IF($E33&gt;=M$5,"常",M33))),"-"))</f>
        <v/>
      </c>
      <c r="Z33" s="88" t="str">
        <f>IF($B33="","",IF(OR('②-1職員名簿'!AK33="○",'②-1職員名簿'!AK33="●"),IF($E33="正規職員","正",IF($E33="契約上の就業時間を記載","",IF($E33&gt;=N$5,"常",N33))),"-"))</f>
        <v/>
      </c>
      <c r="AA33" s="88" t="str">
        <f>IF($B33="","",IF(OR('②-1職員名簿'!AL33="○",'②-1職員名簿'!AL33="●"),IF($E33="正規職員","正",IF($E33="契約上の就業時間を記載","",IF($E33&gt;=O$5,"常",O33))),"-"))</f>
        <v/>
      </c>
      <c r="AB33" s="88" t="str">
        <f>IF($B33="","",IF(OR('②-1職員名簿'!AM33="○",'②-1職員名簿'!AM33="●"),IF($E33="正規職員","正",IF($E33="契約上の就業時間を記載","",IF($E33&gt;=P$5,"常",P33))),"-"))</f>
        <v/>
      </c>
      <c r="AC33" s="88" t="str">
        <f>IF($B33="","",IF(OR('②-1職員名簿'!AN33="○",'②-1職員名簿'!AN33="●"),IF($E33="正規職員","正",IF($E33="契約上の就業時間を記載","",IF($E33&gt;=Q$5,"常",Q33))),"-"))</f>
        <v/>
      </c>
      <c r="AE33" s="86" t="str">
        <f>IF('②-1職員名簿'!W33="","",'②-1職員名簿'!W33)</f>
        <v/>
      </c>
      <c r="AJ33" s="17" t="str">
        <f t="shared" si="12"/>
        <v>○</v>
      </c>
      <c r="AK33" s="17" t="str">
        <f t="shared" si="13"/>
        <v>○</v>
      </c>
      <c r="AL33" s="17" t="str">
        <f t="shared" si="14"/>
        <v>○</v>
      </c>
      <c r="AM33" s="17" t="str">
        <f t="shared" si="15"/>
        <v>○</v>
      </c>
      <c r="AN33" s="17" t="str">
        <f t="shared" si="16"/>
        <v>○</v>
      </c>
      <c r="AO33" s="17" t="str">
        <f t="shared" si="17"/>
        <v>○</v>
      </c>
      <c r="AP33" s="17" t="str">
        <f t="shared" si="18"/>
        <v>○</v>
      </c>
      <c r="AQ33" s="17" t="str">
        <f t="shared" si="19"/>
        <v>○</v>
      </c>
      <c r="AR33" s="17" t="str">
        <f t="shared" si="20"/>
        <v>○</v>
      </c>
      <c r="AS33" s="17" t="str">
        <f t="shared" si="21"/>
        <v>○</v>
      </c>
      <c r="AT33" s="17" t="str">
        <f t="shared" si="22"/>
        <v>○</v>
      </c>
      <c r="AU33" s="17" t="str">
        <f t="shared" si="23"/>
        <v>○</v>
      </c>
    </row>
    <row r="34" spans="1:47" s="90" customFormat="1" ht="23.15" customHeight="1">
      <c r="A34" s="87">
        <v>28</v>
      </c>
      <c r="B34" s="86" t="str">
        <f>IF('②-1職員名簿'!E34="","",'②-1職員名簿'!Y34)</f>
        <v/>
      </c>
      <c r="C34" s="88" t="str">
        <f>'②-1職員名簿'!BE34</f>
        <v/>
      </c>
      <c r="D34" s="117" t="str">
        <f t="shared" si="9"/>
        <v/>
      </c>
      <c r="E34" s="18" t="str">
        <f>IF($B34="","",IF(AND('②-1職員名簿'!C34="正",'②-1職員名簿'!D34="常"),"正規職員","契約上の就業時間を記載"))</f>
        <v/>
      </c>
      <c r="F34" s="9" t="str">
        <f>IF($B34="","",IF(OR('②-1職員名簿'!AC34="○",'②-1職員名簿'!AC34="●"),IF($E34="正規職員","正",IF($E34="契約上の就業時間を記載","","見込を入力")),"-"))</f>
        <v/>
      </c>
      <c r="G34" s="9" t="str">
        <f>IF($B34="","",IF(OR('②-1職員名簿'!AD34="○",'②-1職員名簿'!AD34="●"),IF($E34="正規職員","正",IF($E34="契約上の就業時間を記載","","実績を入力")),"-"))</f>
        <v/>
      </c>
      <c r="H34" s="9" t="str">
        <f>IF($B34="","",IF(OR('②-1職員名簿'!AE34="○",'②-1職員名簿'!AE34="●"),IF($E34="正規職員","正",IF($E34="契約上の就業時間を記載","","実績を入力")),"-"))</f>
        <v/>
      </c>
      <c r="I34" s="9" t="str">
        <f>IF($B34="","",IF(OR('②-1職員名簿'!AF34="○",'②-1職員名簿'!AF34="●"),IF($E34="正規職員","正",IF($E34="契約上の就業時間を記載","","実績を入力")),"-"))</f>
        <v/>
      </c>
      <c r="J34" s="9" t="str">
        <f>IF($B34="","",IF(OR('②-1職員名簿'!AG34="○",'②-1職員名簿'!AG34="●"),IF($E34="正規職員","正",IF($E34="契約上の就業時間を記載","","実績を入力")),"-"))</f>
        <v/>
      </c>
      <c r="K34" s="9" t="str">
        <f>IF($B34="","",IF(OR('②-1職員名簿'!AH34="○",'②-1職員名簿'!AH34="●"),IF($E34="正規職員","正",IF($E34="契約上の就業時間を記載","","実績を入力")),"-"))</f>
        <v/>
      </c>
      <c r="L34" s="9" t="str">
        <f>IF($B34="","",IF(OR('②-1職員名簿'!AI34="○",'②-1職員名簿'!AI34="●"),IF($E34="正規職員","正",IF($E34="契約上の就業時間を記載","","実績を入力")),"-"))</f>
        <v/>
      </c>
      <c r="M34" s="9" t="str">
        <f>IF($B34="","",IF(OR('②-1職員名簿'!AJ34="○",'②-1職員名簿'!AJ34="●"),IF($E34="正規職員","正",IF($E34="契約上の就業時間を記載","","実績を入力")),"-"))</f>
        <v/>
      </c>
      <c r="N34" s="9" t="str">
        <f>IF($B34="","",IF(OR('②-1職員名簿'!AK34="○",'②-1職員名簿'!AK34="●"),IF($E34="正規職員","正",IF($E34="契約上の就業時間を記載","","実績を入力")),"-"))</f>
        <v/>
      </c>
      <c r="O34" s="9" t="str">
        <f>IF($B34="","",IF(OR('②-1職員名簿'!AL34="○",'②-1職員名簿'!AL34="●"),IF($E34="正規職員","正",IF($E34="契約上の就業時間を記載","","実績を入力")),"-"))</f>
        <v/>
      </c>
      <c r="P34" s="9" t="str">
        <f>IF($B34="","",IF(OR('②-1職員名簿'!AM34="○",'②-1職員名簿'!AM34="●"),IF($E34="正規職員","正",IF($E34="契約上の就業時間を記載","","実績を入力")),"-"))</f>
        <v/>
      </c>
      <c r="Q34" s="9" t="str">
        <f>IF($B34="","",IF(OR('②-1職員名簿'!AN34="○",'②-1職員名簿'!AN34="●"),IF($E34="正規職員","正",IF($E34="契約上の就業時間を記載","","見込を入力")),"-"))</f>
        <v/>
      </c>
      <c r="R34" s="88" t="str">
        <f>IF($B34="","",IF(OR('②-1職員名簿'!AC34="○",'②-1職員名簿'!AC34="●"),IF($E34="正規職員","正",IF($E34="契約上の就業時間を記載","",IF($E34&gt;=F$5,"常",F34))),"-"))</f>
        <v/>
      </c>
      <c r="S34" s="88" t="str">
        <f>IF($B34="","",IF(OR('②-1職員名簿'!AD34="○",'②-1職員名簿'!AD34="●"),IF($E34="正規職員","正",IF($E34="契約上の就業時間を記載","",IF($E34&gt;=G$5,"常",G34))),"-"))</f>
        <v/>
      </c>
      <c r="T34" s="88" t="str">
        <f>IF($B34="","",IF(OR('②-1職員名簿'!AE34="○",'②-1職員名簿'!AE34="●"),IF($E34="正規職員","正",IF($E34="契約上の就業時間を記載","",IF($E34&gt;=H$5,"常",H34))),"-"))</f>
        <v/>
      </c>
      <c r="U34" s="88" t="str">
        <f>IF($B34="","",IF(OR('②-1職員名簿'!AF34="○",'②-1職員名簿'!AF34="●"),IF($E34="正規職員","正",IF($E34="契約上の就業時間を記載","",IF($E34&gt;=I$5,"常",I34))),"-"))</f>
        <v/>
      </c>
      <c r="V34" s="88" t="str">
        <f>IF($B34="","",IF(OR('②-1職員名簿'!AG34="○",'②-1職員名簿'!AG34="●"),IF($E34="正規職員","正",IF($E34="契約上の就業時間を記載","",IF($E34&gt;=J$5,"常",J34))),"-"))</f>
        <v/>
      </c>
      <c r="W34" s="88" t="str">
        <f>IF($B34="","",IF(OR('②-1職員名簿'!AH34="○",'②-1職員名簿'!AH34="●"),IF($E34="正規職員","正",IF($E34="契約上の就業時間を記載","",IF($E34&gt;=K$5,"常",K34))),"-"))</f>
        <v/>
      </c>
      <c r="X34" s="88" t="str">
        <f>IF($B34="","",IF(OR('②-1職員名簿'!AI34="○",'②-1職員名簿'!AI34="●"),IF($E34="正規職員","正",IF($E34="契約上の就業時間を記載","",IF($E34&gt;=L$5,"常",L34))),"-"))</f>
        <v/>
      </c>
      <c r="Y34" s="88" t="str">
        <f>IF($B34="","",IF(OR('②-1職員名簿'!AJ34="○",'②-1職員名簿'!AJ34="●"),IF($E34="正規職員","正",IF($E34="契約上の就業時間を記載","",IF($E34&gt;=M$5,"常",M34))),"-"))</f>
        <v/>
      </c>
      <c r="Z34" s="88" t="str">
        <f>IF($B34="","",IF(OR('②-1職員名簿'!AK34="○",'②-1職員名簿'!AK34="●"),IF($E34="正規職員","正",IF($E34="契約上の就業時間を記載","",IF($E34&gt;=N$5,"常",N34))),"-"))</f>
        <v/>
      </c>
      <c r="AA34" s="88" t="str">
        <f>IF($B34="","",IF(OR('②-1職員名簿'!AL34="○",'②-1職員名簿'!AL34="●"),IF($E34="正規職員","正",IF($E34="契約上の就業時間を記載","",IF($E34&gt;=O$5,"常",O34))),"-"))</f>
        <v/>
      </c>
      <c r="AB34" s="88" t="str">
        <f>IF($B34="","",IF(OR('②-1職員名簿'!AM34="○",'②-1職員名簿'!AM34="●"),IF($E34="正規職員","正",IF($E34="契約上の就業時間を記載","",IF($E34&gt;=P$5,"常",P34))),"-"))</f>
        <v/>
      </c>
      <c r="AC34" s="88" t="str">
        <f>IF($B34="","",IF(OR('②-1職員名簿'!AN34="○",'②-1職員名簿'!AN34="●"),IF($E34="正規職員","正",IF($E34="契約上の就業時間を記載","",IF($E34&gt;=Q$5,"常",Q34))),"-"))</f>
        <v/>
      </c>
      <c r="AE34" s="86" t="str">
        <f>IF('②-1職員名簿'!W34="","",'②-1職員名簿'!W34)</f>
        <v/>
      </c>
      <c r="AJ34" s="17" t="str">
        <f t="shared" si="12"/>
        <v>○</v>
      </c>
      <c r="AK34" s="17" t="str">
        <f t="shared" si="13"/>
        <v>○</v>
      </c>
      <c r="AL34" s="17" t="str">
        <f t="shared" si="14"/>
        <v>○</v>
      </c>
      <c r="AM34" s="17" t="str">
        <f t="shared" si="15"/>
        <v>○</v>
      </c>
      <c r="AN34" s="17" t="str">
        <f t="shared" si="16"/>
        <v>○</v>
      </c>
      <c r="AO34" s="17" t="str">
        <f t="shared" si="17"/>
        <v>○</v>
      </c>
      <c r="AP34" s="17" t="str">
        <f t="shared" si="18"/>
        <v>○</v>
      </c>
      <c r="AQ34" s="17" t="str">
        <f t="shared" si="19"/>
        <v>○</v>
      </c>
      <c r="AR34" s="17" t="str">
        <f t="shared" si="20"/>
        <v>○</v>
      </c>
      <c r="AS34" s="17" t="str">
        <f t="shared" si="21"/>
        <v>○</v>
      </c>
      <c r="AT34" s="17" t="str">
        <f t="shared" si="22"/>
        <v>○</v>
      </c>
      <c r="AU34" s="17" t="str">
        <f t="shared" si="23"/>
        <v>○</v>
      </c>
    </row>
    <row r="35" spans="1:47" s="90" customFormat="1" ht="23.15" customHeight="1">
      <c r="A35" s="87">
        <v>29</v>
      </c>
      <c r="B35" s="86" t="str">
        <f>IF('②-1職員名簿'!E35="","",'②-1職員名簿'!Y35)</f>
        <v/>
      </c>
      <c r="C35" s="88" t="str">
        <f>'②-1職員名簿'!BE35</f>
        <v/>
      </c>
      <c r="D35" s="117" t="str">
        <f t="shared" si="9"/>
        <v/>
      </c>
      <c r="E35" s="18" t="str">
        <f>IF($B35="","",IF(AND('②-1職員名簿'!C35="正",'②-1職員名簿'!D35="常"),"正規職員","契約上の就業時間を記載"))</f>
        <v/>
      </c>
      <c r="F35" s="9" t="str">
        <f>IF($B35="","",IF(OR('②-1職員名簿'!AC35="○",'②-1職員名簿'!AC35="●"),IF($E35="正規職員","正",IF($E35="契約上の就業時間を記載","","見込を入力")),"-"))</f>
        <v/>
      </c>
      <c r="G35" s="9" t="str">
        <f>IF($B35="","",IF(OR('②-1職員名簿'!AD35="○",'②-1職員名簿'!AD35="●"),IF($E35="正規職員","正",IF($E35="契約上の就業時間を記載","","実績を入力")),"-"))</f>
        <v/>
      </c>
      <c r="H35" s="9" t="str">
        <f>IF($B35="","",IF(OR('②-1職員名簿'!AE35="○",'②-1職員名簿'!AE35="●"),IF($E35="正規職員","正",IF($E35="契約上の就業時間を記載","","実績を入力")),"-"))</f>
        <v/>
      </c>
      <c r="I35" s="9" t="str">
        <f>IF($B35="","",IF(OR('②-1職員名簿'!AF35="○",'②-1職員名簿'!AF35="●"),IF($E35="正規職員","正",IF($E35="契約上の就業時間を記載","","実績を入力")),"-"))</f>
        <v/>
      </c>
      <c r="J35" s="9" t="str">
        <f>IF($B35="","",IF(OR('②-1職員名簿'!AG35="○",'②-1職員名簿'!AG35="●"),IF($E35="正規職員","正",IF($E35="契約上の就業時間を記載","","実績を入力")),"-"))</f>
        <v/>
      </c>
      <c r="K35" s="9" t="str">
        <f>IF($B35="","",IF(OR('②-1職員名簿'!AH35="○",'②-1職員名簿'!AH35="●"),IF($E35="正規職員","正",IF($E35="契約上の就業時間を記載","","実績を入力")),"-"))</f>
        <v/>
      </c>
      <c r="L35" s="9" t="str">
        <f>IF($B35="","",IF(OR('②-1職員名簿'!AI35="○",'②-1職員名簿'!AI35="●"),IF($E35="正規職員","正",IF($E35="契約上の就業時間を記載","","実績を入力")),"-"))</f>
        <v/>
      </c>
      <c r="M35" s="9" t="str">
        <f>IF($B35="","",IF(OR('②-1職員名簿'!AJ35="○",'②-1職員名簿'!AJ35="●"),IF($E35="正規職員","正",IF($E35="契約上の就業時間を記載","","実績を入力")),"-"))</f>
        <v/>
      </c>
      <c r="N35" s="9" t="str">
        <f>IF($B35="","",IF(OR('②-1職員名簿'!AK35="○",'②-1職員名簿'!AK35="●"),IF($E35="正規職員","正",IF($E35="契約上の就業時間を記載","","実績を入力")),"-"))</f>
        <v/>
      </c>
      <c r="O35" s="9" t="str">
        <f>IF($B35="","",IF(OR('②-1職員名簿'!AL35="○",'②-1職員名簿'!AL35="●"),IF($E35="正規職員","正",IF($E35="契約上の就業時間を記載","","実績を入力")),"-"))</f>
        <v/>
      </c>
      <c r="P35" s="9" t="str">
        <f>IF($B35="","",IF(OR('②-1職員名簿'!AM35="○",'②-1職員名簿'!AM35="●"),IF($E35="正規職員","正",IF($E35="契約上の就業時間を記載","","実績を入力")),"-"))</f>
        <v/>
      </c>
      <c r="Q35" s="9" t="str">
        <f>IF($B35="","",IF(OR('②-1職員名簿'!AN35="○",'②-1職員名簿'!AN35="●"),IF($E35="正規職員","正",IF($E35="契約上の就業時間を記載","","見込を入力")),"-"))</f>
        <v/>
      </c>
      <c r="R35" s="88" t="str">
        <f>IF($B35="","",IF(OR('②-1職員名簿'!AC35="○",'②-1職員名簿'!AC35="●"),IF($E35="正規職員","正",IF($E35="契約上の就業時間を記載","",IF($E35&gt;=F$5,"常",F35))),"-"))</f>
        <v/>
      </c>
      <c r="S35" s="88" t="str">
        <f>IF($B35="","",IF(OR('②-1職員名簿'!AD35="○",'②-1職員名簿'!AD35="●"),IF($E35="正規職員","正",IF($E35="契約上の就業時間を記載","",IF($E35&gt;=G$5,"常",G35))),"-"))</f>
        <v/>
      </c>
      <c r="T35" s="88" t="str">
        <f>IF($B35="","",IF(OR('②-1職員名簿'!AE35="○",'②-1職員名簿'!AE35="●"),IF($E35="正規職員","正",IF($E35="契約上の就業時間を記載","",IF($E35&gt;=H$5,"常",H35))),"-"))</f>
        <v/>
      </c>
      <c r="U35" s="88" t="str">
        <f>IF($B35="","",IF(OR('②-1職員名簿'!AF35="○",'②-1職員名簿'!AF35="●"),IF($E35="正規職員","正",IF($E35="契約上の就業時間を記載","",IF($E35&gt;=I$5,"常",I35))),"-"))</f>
        <v/>
      </c>
      <c r="V35" s="88" t="str">
        <f>IF($B35="","",IF(OR('②-1職員名簿'!AG35="○",'②-1職員名簿'!AG35="●"),IF($E35="正規職員","正",IF($E35="契約上の就業時間を記載","",IF($E35&gt;=J$5,"常",J35))),"-"))</f>
        <v/>
      </c>
      <c r="W35" s="88" t="str">
        <f>IF($B35="","",IF(OR('②-1職員名簿'!AH35="○",'②-1職員名簿'!AH35="●"),IF($E35="正規職員","正",IF($E35="契約上の就業時間を記載","",IF($E35&gt;=K$5,"常",K35))),"-"))</f>
        <v/>
      </c>
      <c r="X35" s="88" t="str">
        <f>IF($B35="","",IF(OR('②-1職員名簿'!AI35="○",'②-1職員名簿'!AI35="●"),IF($E35="正規職員","正",IF($E35="契約上の就業時間を記載","",IF($E35&gt;=L$5,"常",L35))),"-"))</f>
        <v/>
      </c>
      <c r="Y35" s="88" t="str">
        <f>IF($B35="","",IF(OR('②-1職員名簿'!AJ35="○",'②-1職員名簿'!AJ35="●"),IF($E35="正規職員","正",IF($E35="契約上の就業時間を記載","",IF($E35&gt;=M$5,"常",M35))),"-"))</f>
        <v/>
      </c>
      <c r="Z35" s="88" t="str">
        <f>IF($B35="","",IF(OR('②-1職員名簿'!AK35="○",'②-1職員名簿'!AK35="●"),IF($E35="正規職員","正",IF($E35="契約上の就業時間を記載","",IF($E35&gt;=N$5,"常",N35))),"-"))</f>
        <v/>
      </c>
      <c r="AA35" s="88" t="str">
        <f>IF($B35="","",IF(OR('②-1職員名簿'!AL35="○",'②-1職員名簿'!AL35="●"),IF($E35="正規職員","正",IF($E35="契約上の就業時間を記載","",IF($E35&gt;=O$5,"常",O35))),"-"))</f>
        <v/>
      </c>
      <c r="AB35" s="88" t="str">
        <f>IF($B35="","",IF(OR('②-1職員名簿'!AM35="○",'②-1職員名簿'!AM35="●"),IF($E35="正規職員","正",IF($E35="契約上の就業時間を記載","",IF($E35&gt;=P$5,"常",P35))),"-"))</f>
        <v/>
      </c>
      <c r="AC35" s="88" t="str">
        <f>IF($B35="","",IF(OR('②-1職員名簿'!AN35="○",'②-1職員名簿'!AN35="●"),IF($E35="正規職員","正",IF($E35="契約上の就業時間を記載","",IF($E35&gt;=Q$5,"常",Q35))),"-"))</f>
        <v/>
      </c>
      <c r="AE35" s="86" t="str">
        <f>IF('②-1職員名簿'!W35="","",'②-1職員名簿'!W35)</f>
        <v/>
      </c>
      <c r="AJ35" s="17" t="str">
        <f t="shared" si="12"/>
        <v>○</v>
      </c>
      <c r="AK35" s="17" t="str">
        <f t="shared" si="13"/>
        <v>○</v>
      </c>
      <c r="AL35" s="17" t="str">
        <f t="shared" si="14"/>
        <v>○</v>
      </c>
      <c r="AM35" s="17" t="str">
        <f t="shared" si="15"/>
        <v>○</v>
      </c>
      <c r="AN35" s="17" t="str">
        <f t="shared" si="16"/>
        <v>○</v>
      </c>
      <c r="AO35" s="17" t="str">
        <f t="shared" si="17"/>
        <v>○</v>
      </c>
      <c r="AP35" s="17" t="str">
        <f t="shared" si="18"/>
        <v>○</v>
      </c>
      <c r="AQ35" s="17" t="str">
        <f t="shared" si="19"/>
        <v>○</v>
      </c>
      <c r="AR35" s="17" t="str">
        <f t="shared" si="20"/>
        <v>○</v>
      </c>
      <c r="AS35" s="17" t="str">
        <f t="shared" si="21"/>
        <v>○</v>
      </c>
      <c r="AT35" s="17" t="str">
        <f t="shared" si="22"/>
        <v>○</v>
      </c>
      <c r="AU35" s="17" t="str">
        <f t="shared" si="23"/>
        <v>○</v>
      </c>
    </row>
    <row r="36" spans="1:47" s="90" customFormat="1" ht="23.15" customHeight="1">
      <c r="A36" s="87">
        <v>30</v>
      </c>
      <c r="B36" s="86" t="str">
        <f>IF('②-1職員名簿'!E36="","",'②-1職員名簿'!Y36)</f>
        <v/>
      </c>
      <c r="C36" s="88" t="str">
        <f>'②-1職員名簿'!BE36</f>
        <v/>
      </c>
      <c r="D36" s="117" t="str">
        <f t="shared" si="9"/>
        <v/>
      </c>
      <c r="E36" s="18" t="str">
        <f>IF($B36="","",IF(AND('②-1職員名簿'!C36="正",'②-1職員名簿'!D36="常"),"正規職員","契約上の就業時間を記載"))</f>
        <v/>
      </c>
      <c r="F36" s="9" t="str">
        <f>IF($B36="","",IF(OR('②-1職員名簿'!AC36="○",'②-1職員名簿'!AC36="●"),IF($E36="正規職員","正",IF($E36="契約上の就業時間を記載","","見込を入力")),"-"))</f>
        <v/>
      </c>
      <c r="G36" s="9" t="str">
        <f>IF($B36="","",IF(OR('②-1職員名簿'!AD36="○",'②-1職員名簿'!AD36="●"),IF($E36="正規職員","正",IF($E36="契約上の就業時間を記載","","実績を入力")),"-"))</f>
        <v/>
      </c>
      <c r="H36" s="9" t="str">
        <f>IF($B36="","",IF(OR('②-1職員名簿'!AE36="○",'②-1職員名簿'!AE36="●"),IF($E36="正規職員","正",IF($E36="契約上の就業時間を記載","","実績を入力")),"-"))</f>
        <v/>
      </c>
      <c r="I36" s="9" t="str">
        <f>IF($B36="","",IF(OR('②-1職員名簿'!AF36="○",'②-1職員名簿'!AF36="●"),IF($E36="正規職員","正",IF($E36="契約上の就業時間を記載","","実績を入力")),"-"))</f>
        <v/>
      </c>
      <c r="J36" s="9" t="str">
        <f>IF($B36="","",IF(OR('②-1職員名簿'!AG36="○",'②-1職員名簿'!AG36="●"),IF($E36="正規職員","正",IF($E36="契約上の就業時間を記載","","実績を入力")),"-"))</f>
        <v/>
      </c>
      <c r="K36" s="9" t="str">
        <f>IF($B36="","",IF(OR('②-1職員名簿'!AH36="○",'②-1職員名簿'!AH36="●"),IF($E36="正規職員","正",IF($E36="契約上の就業時間を記載","","実績を入力")),"-"))</f>
        <v/>
      </c>
      <c r="L36" s="9" t="str">
        <f>IF($B36="","",IF(OR('②-1職員名簿'!AI36="○",'②-1職員名簿'!AI36="●"),IF($E36="正規職員","正",IF($E36="契約上の就業時間を記載","","実績を入力")),"-"))</f>
        <v/>
      </c>
      <c r="M36" s="9" t="str">
        <f>IF($B36="","",IF(OR('②-1職員名簿'!AJ36="○",'②-1職員名簿'!AJ36="●"),IF($E36="正規職員","正",IF($E36="契約上の就業時間を記載","","実績を入力")),"-"))</f>
        <v/>
      </c>
      <c r="N36" s="9" t="str">
        <f>IF($B36="","",IF(OR('②-1職員名簿'!AK36="○",'②-1職員名簿'!AK36="●"),IF($E36="正規職員","正",IF($E36="契約上の就業時間を記載","","実績を入力")),"-"))</f>
        <v/>
      </c>
      <c r="O36" s="9" t="str">
        <f>IF($B36="","",IF(OR('②-1職員名簿'!AL36="○",'②-1職員名簿'!AL36="●"),IF($E36="正規職員","正",IF($E36="契約上の就業時間を記載","","実績を入力")),"-"))</f>
        <v/>
      </c>
      <c r="P36" s="9" t="str">
        <f>IF($B36="","",IF(OR('②-1職員名簿'!AM36="○",'②-1職員名簿'!AM36="●"),IF($E36="正規職員","正",IF($E36="契約上の就業時間を記載","","実績を入力")),"-"))</f>
        <v/>
      </c>
      <c r="Q36" s="9" t="str">
        <f>IF($B36="","",IF(OR('②-1職員名簿'!AN36="○",'②-1職員名簿'!AN36="●"),IF($E36="正規職員","正",IF($E36="契約上の就業時間を記載","","見込を入力")),"-"))</f>
        <v/>
      </c>
      <c r="R36" s="88" t="str">
        <f>IF($B36="","",IF(OR('②-1職員名簿'!AC36="○",'②-1職員名簿'!AC36="●"),IF($E36="正規職員","正",IF($E36="契約上の就業時間を記載","",IF($E36&gt;=F$5,"常",F36))),"-"))</f>
        <v/>
      </c>
      <c r="S36" s="88" t="str">
        <f>IF($B36="","",IF(OR('②-1職員名簿'!AD36="○",'②-1職員名簿'!AD36="●"),IF($E36="正規職員","正",IF($E36="契約上の就業時間を記載","",IF($E36&gt;=G$5,"常",G36))),"-"))</f>
        <v/>
      </c>
      <c r="T36" s="88" t="str">
        <f>IF($B36="","",IF(OR('②-1職員名簿'!AE36="○",'②-1職員名簿'!AE36="●"),IF($E36="正規職員","正",IF($E36="契約上の就業時間を記載","",IF($E36&gt;=H$5,"常",H36))),"-"))</f>
        <v/>
      </c>
      <c r="U36" s="88" t="str">
        <f>IF($B36="","",IF(OR('②-1職員名簿'!AF36="○",'②-1職員名簿'!AF36="●"),IF($E36="正規職員","正",IF($E36="契約上の就業時間を記載","",IF($E36&gt;=I$5,"常",I36))),"-"))</f>
        <v/>
      </c>
      <c r="V36" s="88" t="str">
        <f>IF($B36="","",IF(OR('②-1職員名簿'!AG36="○",'②-1職員名簿'!AG36="●"),IF($E36="正規職員","正",IF($E36="契約上の就業時間を記載","",IF($E36&gt;=J$5,"常",J36))),"-"))</f>
        <v/>
      </c>
      <c r="W36" s="88" t="str">
        <f>IF($B36="","",IF(OR('②-1職員名簿'!AH36="○",'②-1職員名簿'!AH36="●"),IF($E36="正規職員","正",IF($E36="契約上の就業時間を記載","",IF($E36&gt;=K$5,"常",K36))),"-"))</f>
        <v/>
      </c>
      <c r="X36" s="88" t="str">
        <f>IF($B36="","",IF(OR('②-1職員名簿'!AI36="○",'②-1職員名簿'!AI36="●"),IF($E36="正規職員","正",IF($E36="契約上の就業時間を記載","",IF($E36&gt;=L$5,"常",L36))),"-"))</f>
        <v/>
      </c>
      <c r="Y36" s="88" t="str">
        <f>IF($B36="","",IF(OR('②-1職員名簿'!AJ36="○",'②-1職員名簿'!AJ36="●"),IF($E36="正規職員","正",IF($E36="契約上の就業時間を記載","",IF($E36&gt;=M$5,"常",M36))),"-"))</f>
        <v/>
      </c>
      <c r="Z36" s="88" t="str">
        <f>IF($B36="","",IF(OR('②-1職員名簿'!AK36="○",'②-1職員名簿'!AK36="●"),IF($E36="正規職員","正",IF($E36="契約上の就業時間を記載","",IF($E36&gt;=N$5,"常",N36))),"-"))</f>
        <v/>
      </c>
      <c r="AA36" s="88" t="str">
        <f>IF($B36="","",IF(OR('②-1職員名簿'!AL36="○",'②-1職員名簿'!AL36="●"),IF($E36="正規職員","正",IF($E36="契約上の就業時間を記載","",IF($E36&gt;=O$5,"常",O36))),"-"))</f>
        <v/>
      </c>
      <c r="AB36" s="88" t="str">
        <f>IF($B36="","",IF(OR('②-1職員名簿'!AM36="○",'②-1職員名簿'!AM36="●"),IF($E36="正規職員","正",IF($E36="契約上の就業時間を記載","",IF($E36&gt;=P$5,"常",P36))),"-"))</f>
        <v/>
      </c>
      <c r="AC36" s="88" t="str">
        <f>IF($B36="","",IF(OR('②-1職員名簿'!AN36="○",'②-1職員名簿'!AN36="●"),IF($E36="正規職員","正",IF($E36="契約上の就業時間を記載","",IF($E36&gt;=Q$5,"常",Q36))),"-"))</f>
        <v/>
      </c>
      <c r="AE36" s="86" t="str">
        <f>IF('②-1職員名簿'!W36="","",'②-1職員名簿'!W36)</f>
        <v/>
      </c>
      <c r="AJ36" s="17" t="str">
        <f t="shared" si="12"/>
        <v>○</v>
      </c>
      <c r="AK36" s="17" t="str">
        <f t="shared" si="13"/>
        <v>○</v>
      </c>
      <c r="AL36" s="17" t="str">
        <f t="shared" si="14"/>
        <v>○</v>
      </c>
      <c r="AM36" s="17" t="str">
        <f t="shared" si="15"/>
        <v>○</v>
      </c>
      <c r="AN36" s="17" t="str">
        <f t="shared" si="16"/>
        <v>○</v>
      </c>
      <c r="AO36" s="17" t="str">
        <f t="shared" si="17"/>
        <v>○</v>
      </c>
      <c r="AP36" s="17" t="str">
        <f t="shared" si="18"/>
        <v>○</v>
      </c>
      <c r="AQ36" s="17" t="str">
        <f t="shared" si="19"/>
        <v>○</v>
      </c>
      <c r="AR36" s="17" t="str">
        <f t="shared" si="20"/>
        <v>○</v>
      </c>
      <c r="AS36" s="17" t="str">
        <f t="shared" si="21"/>
        <v>○</v>
      </c>
      <c r="AT36" s="17" t="str">
        <f t="shared" si="22"/>
        <v>○</v>
      </c>
      <c r="AU36" s="17" t="str">
        <f t="shared" si="23"/>
        <v>○</v>
      </c>
    </row>
    <row r="37" spans="1:47" s="90" customFormat="1" ht="23.15" customHeight="1">
      <c r="A37" s="87">
        <v>31</v>
      </c>
      <c r="B37" s="86" t="str">
        <f>IF('②-1職員名簿'!E37="","",'②-1職員名簿'!Y37)</f>
        <v/>
      </c>
      <c r="C37" s="88" t="str">
        <f>'②-1職員名簿'!BE37</f>
        <v/>
      </c>
      <c r="D37" s="117" t="str">
        <f t="shared" si="9"/>
        <v/>
      </c>
      <c r="E37" s="18" t="str">
        <f>IF($B37="","",IF(AND('②-1職員名簿'!C37="正",'②-1職員名簿'!D37="常"),"正規職員","契約上の就業時間を記載"))</f>
        <v/>
      </c>
      <c r="F37" s="9" t="str">
        <f>IF($B37="","",IF(OR('②-1職員名簿'!AC37="○",'②-1職員名簿'!AC37="●"),IF($E37="正規職員","正",IF($E37="契約上の就業時間を記載","","見込を入力")),"-"))</f>
        <v/>
      </c>
      <c r="G37" s="9" t="str">
        <f>IF($B37="","",IF(OR('②-1職員名簿'!AD37="○",'②-1職員名簿'!AD37="●"),IF($E37="正規職員","正",IF($E37="契約上の就業時間を記載","","実績を入力")),"-"))</f>
        <v/>
      </c>
      <c r="H37" s="9" t="str">
        <f>IF($B37="","",IF(OR('②-1職員名簿'!AE37="○",'②-1職員名簿'!AE37="●"),IF($E37="正規職員","正",IF($E37="契約上の就業時間を記載","","実績を入力")),"-"))</f>
        <v/>
      </c>
      <c r="I37" s="9" t="str">
        <f>IF($B37="","",IF(OR('②-1職員名簿'!AF37="○",'②-1職員名簿'!AF37="●"),IF($E37="正規職員","正",IF($E37="契約上の就業時間を記載","","実績を入力")),"-"))</f>
        <v/>
      </c>
      <c r="J37" s="9" t="str">
        <f>IF($B37="","",IF(OR('②-1職員名簿'!AG37="○",'②-1職員名簿'!AG37="●"),IF($E37="正規職員","正",IF($E37="契約上の就業時間を記載","","実績を入力")),"-"))</f>
        <v/>
      </c>
      <c r="K37" s="9" t="str">
        <f>IF($B37="","",IF(OR('②-1職員名簿'!AH37="○",'②-1職員名簿'!AH37="●"),IF($E37="正規職員","正",IF($E37="契約上の就業時間を記載","","実績を入力")),"-"))</f>
        <v/>
      </c>
      <c r="L37" s="9" t="str">
        <f>IF($B37="","",IF(OR('②-1職員名簿'!AI37="○",'②-1職員名簿'!AI37="●"),IF($E37="正規職員","正",IF($E37="契約上の就業時間を記載","","実績を入力")),"-"))</f>
        <v/>
      </c>
      <c r="M37" s="9" t="str">
        <f>IF($B37="","",IF(OR('②-1職員名簿'!AJ37="○",'②-1職員名簿'!AJ37="●"),IF($E37="正規職員","正",IF($E37="契約上の就業時間を記載","","実績を入力")),"-"))</f>
        <v/>
      </c>
      <c r="N37" s="9" t="str">
        <f>IF($B37="","",IF(OR('②-1職員名簿'!AK37="○",'②-1職員名簿'!AK37="●"),IF($E37="正規職員","正",IF($E37="契約上の就業時間を記載","","実績を入力")),"-"))</f>
        <v/>
      </c>
      <c r="O37" s="9" t="str">
        <f>IF($B37="","",IF(OR('②-1職員名簿'!AL37="○",'②-1職員名簿'!AL37="●"),IF($E37="正規職員","正",IF($E37="契約上の就業時間を記載","","実績を入力")),"-"))</f>
        <v/>
      </c>
      <c r="P37" s="9" t="str">
        <f>IF($B37="","",IF(OR('②-1職員名簿'!AM37="○",'②-1職員名簿'!AM37="●"),IF($E37="正規職員","正",IF($E37="契約上の就業時間を記載","","実績を入力")),"-"))</f>
        <v/>
      </c>
      <c r="Q37" s="9" t="str">
        <f>IF($B37="","",IF(OR('②-1職員名簿'!AN37="○",'②-1職員名簿'!AN37="●"),IF($E37="正規職員","正",IF($E37="契約上の就業時間を記載","","見込を入力")),"-"))</f>
        <v/>
      </c>
      <c r="R37" s="88" t="str">
        <f>IF($B37="","",IF(OR('②-1職員名簿'!AC37="○",'②-1職員名簿'!AC37="●"),IF($E37="正規職員","正",IF($E37="契約上の就業時間を記載","",IF($E37&gt;=F$5,"常",F37))),"-"))</f>
        <v/>
      </c>
      <c r="S37" s="88" t="str">
        <f>IF($B37="","",IF(OR('②-1職員名簿'!AD37="○",'②-1職員名簿'!AD37="●"),IF($E37="正規職員","正",IF($E37="契約上の就業時間を記載","",IF($E37&gt;=G$5,"常",G37))),"-"))</f>
        <v/>
      </c>
      <c r="T37" s="88" t="str">
        <f>IF($B37="","",IF(OR('②-1職員名簿'!AE37="○",'②-1職員名簿'!AE37="●"),IF($E37="正規職員","正",IF($E37="契約上の就業時間を記載","",IF($E37&gt;=H$5,"常",H37))),"-"))</f>
        <v/>
      </c>
      <c r="U37" s="88" t="str">
        <f>IF($B37="","",IF(OR('②-1職員名簿'!AF37="○",'②-1職員名簿'!AF37="●"),IF($E37="正規職員","正",IF($E37="契約上の就業時間を記載","",IF($E37&gt;=I$5,"常",I37))),"-"))</f>
        <v/>
      </c>
      <c r="V37" s="88" t="str">
        <f>IF($B37="","",IF(OR('②-1職員名簿'!AG37="○",'②-1職員名簿'!AG37="●"),IF($E37="正規職員","正",IF($E37="契約上の就業時間を記載","",IF($E37&gt;=J$5,"常",J37))),"-"))</f>
        <v/>
      </c>
      <c r="W37" s="88" t="str">
        <f>IF($B37="","",IF(OR('②-1職員名簿'!AH37="○",'②-1職員名簿'!AH37="●"),IF($E37="正規職員","正",IF($E37="契約上の就業時間を記載","",IF($E37&gt;=K$5,"常",K37))),"-"))</f>
        <v/>
      </c>
      <c r="X37" s="88" t="str">
        <f>IF($B37="","",IF(OR('②-1職員名簿'!AI37="○",'②-1職員名簿'!AI37="●"),IF($E37="正規職員","正",IF($E37="契約上の就業時間を記載","",IF($E37&gt;=L$5,"常",L37))),"-"))</f>
        <v/>
      </c>
      <c r="Y37" s="88" t="str">
        <f>IF($B37="","",IF(OR('②-1職員名簿'!AJ37="○",'②-1職員名簿'!AJ37="●"),IF($E37="正規職員","正",IF($E37="契約上の就業時間を記載","",IF($E37&gt;=M$5,"常",M37))),"-"))</f>
        <v/>
      </c>
      <c r="Z37" s="88" t="str">
        <f>IF($B37="","",IF(OR('②-1職員名簿'!AK37="○",'②-1職員名簿'!AK37="●"),IF($E37="正規職員","正",IF($E37="契約上の就業時間を記載","",IF($E37&gt;=N$5,"常",N37))),"-"))</f>
        <v/>
      </c>
      <c r="AA37" s="88" t="str">
        <f>IF($B37="","",IF(OR('②-1職員名簿'!AL37="○",'②-1職員名簿'!AL37="●"),IF($E37="正規職員","正",IF($E37="契約上の就業時間を記載","",IF($E37&gt;=O$5,"常",O37))),"-"))</f>
        <v/>
      </c>
      <c r="AB37" s="88" t="str">
        <f>IF($B37="","",IF(OR('②-1職員名簿'!AM37="○",'②-1職員名簿'!AM37="●"),IF($E37="正規職員","正",IF($E37="契約上の就業時間を記載","",IF($E37&gt;=P$5,"常",P37))),"-"))</f>
        <v/>
      </c>
      <c r="AC37" s="88" t="str">
        <f>IF($B37="","",IF(OR('②-1職員名簿'!AN37="○",'②-1職員名簿'!AN37="●"),IF($E37="正規職員","正",IF($E37="契約上の就業時間を記載","",IF($E37&gt;=Q$5,"常",Q37))),"-"))</f>
        <v/>
      </c>
      <c r="AE37" s="86" t="str">
        <f>IF('②-1職員名簿'!W37="","",'②-1職員名簿'!W37)</f>
        <v/>
      </c>
      <c r="AJ37" s="17" t="str">
        <f t="shared" si="12"/>
        <v>○</v>
      </c>
      <c r="AK37" s="17" t="str">
        <f t="shared" si="13"/>
        <v>○</v>
      </c>
      <c r="AL37" s="17" t="str">
        <f t="shared" si="14"/>
        <v>○</v>
      </c>
      <c r="AM37" s="17" t="str">
        <f t="shared" si="15"/>
        <v>○</v>
      </c>
      <c r="AN37" s="17" t="str">
        <f t="shared" si="16"/>
        <v>○</v>
      </c>
      <c r="AO37" s="17" t="str">
        <f t="shared" si="17"/>
        <v>○</v>
      </c>
      <c r="AP37" s="17" t="str">
        <f t="shared" si="18"/>
        <v>○</v>
      </c>
      <c r="AQ37" s="17" t="str">
        <f t="shared" si="19"/>
        <v>○</v>
      </c>
      <c r="AR37" s="17" t="str">
        <f t="shared" si="20"/>
        <v>○</v>
      </c>
      <c r="AS37" s="17" t="str">
        <f t="shared" si="21"/>
        <v>○</v>
      </c>
      <c r="AT37" s="17" t="str">
        <f t="shared" si="22"/>
        <v>○</v>
      </c>
      <c r="AU37" s="17" t="str">
        <f t="shared" si="23"/>
        <v>○</v>
      </c>
    </row>
    <row r="38" spans="1:47" s="90" customFormat="1" ht="23.15" customHeight="1">
      <c r="A38" s="87">
        <v>32</v>
      </c>
      <c r="B38" s="86" t="str">
        <f>IF('②-1職員名簿'!E38="","",'②-1職員名簿'!Y38)</f>
        <v/>
      </c>
      <c r="C38" s="88" t="str">
        <f>'②-1職員名簿'!BE38</f>
        <v/>
      </c>
      <c r="D38" s="117" t="str">
        <f t="shared" si="9"/>
        <v/>
      </c>
      <c r="E38" s="18" t="str">
        <f>IF($B38="","",IF(AND('②-1職員名簿'!C38="正",'②-1職員名簿'!D38="常"),"正規職員","契約上の就業時間を記載"))</f>
        <v/>
      </c>
      <c r="F38" s="9" t="str">
        <f>IF($B38="","",IF(OR('②-1職員名簿'!AC38="○",'②-1職員名簿'!AC38="●"),IF($E38="正規職員","正",IF($E38="契約上の就業時間を記載","","見込を入力")),"-"))</f>
        <v/>
      </c>
      <c r="G38" s="9" t="str">
        <f>IF($B38="","",IF(OR('②-1職員名簿'!AD38="○",'②-1職員名簿'!AD38="●"),IF($E38="正規職員","正",IF($E38="契約上の就業時間を記載","","実績を入力")),"-"))</f>
        <v/>
      </c>
      <c r="H38" s="9" t="str">
        <f>IF($B38="","",IF(OR('②-1職員名簿'!AE38="○",'②-1職員名簿'!AE38="●"),IF($E38="正規職員","正",IF($E38="契約上の就業時間を記載","","実績を入力")),"-"))</f>
        <v/>
      </c>
      <c r="I38" s="9" t="str">
        <f>IF($B38="","",IF(OR('②-1職員名簿'!AF38="○",'②-1職員名簿'!AF38="●"),IF($E38="正規職員","正",IF($E38="契約上の就業時間を記載","","実績を入力")),"-"))</f>
        <v/>
      </c>
      <c r="J38" s="9" t="str">
        <f>IF($B38="","",IF(OR('②-1職員名簿'!AG38="○",'②-1職員名簿'!AG38="●"),IF($E38="正規職員","正",IF($E38="契約上の就業時間を記載","","実績を入力")),"-"))</f>
        <v/>
      </c>
      <c r="K38" s="9" t="str">
        <f>IF($B38="","",IF(OR('②-1職員名簿'!AH38="○",'②-1職員名簿'!AH38="●"),IF($E38="正規職員","正",IF($E38="契約上の就業時間を記載","","実績を入力")),"-"))</f>
        <v/>
      </c>
      <c r="L38" s="9" t="str">
        <f>IF($B38="","",IF(OR('②-1職員名簿'!AI38="○",'②-1職員名簿'!AI38="●"),IF($E38="正規職員","正",IF($E38="契約上の就業時間を記載","","実績を入力")),"-"))</f>
        <v/>
      </c>
      <c r="M38" s="9" t="str">
        <f>IF($B38="","",IF(OR('②-1職員名簿'!AJ38="○",'②-1職員名簿'!AJ38="●"),IF($E38="正規職員","正",IF($E38="契約上の就業時間を記載","","実績を入力")),"-"))</f>
        <v/>
      </c>
      <c r="N38" s="9" t="str">
        <f>IF($B38="","",IF(OR('②-1職員名簿'!AK38="○",'②-1職員名簿'!AK38="●"),IF($E38="正規職員","正",IF($E38="契約上の就業時間を記載","","実績を入力")),"-"))</f>
        <v/>
      </c>
      <c r="O38" s="9" t="str">
        <f>IF($B38="","",IF(OR('②-1職員名簿'!AL38="○",'②-1職員名簿'!AL38="●"),IF($E38="正規職員","正",IF($E38="契約上の就業時間を記載","","実績を入力")),"-"))</f>
        <v/>
      </c>
      <c r="P38" s="9" t="str">
        <f>IF($B38="","",IF(OR('②-1職員名簿'!AM38="○",'②-1職員名簿'!AM38="●"),IF($E38="正規職員","正",IF($E38="契約上の就業時間を記載","","実績を入力")),"-"))</f>
        <v/>
      </c>
      <c r="Q38" s="9" t="str">
        <f>IF($B38="","",IF(OR('②-1職員名簿'!AN38="○",'②-1職員名簿'!AN38="●"),IF($E38="正規職員","正",IF($E38="契約上の就業時間を記載","","見込を入力")),"-"))</f>
        <v/>
      </c>
      <c r="R38" s="88" t="str">
        <f>IF($B38="","",IF(OR('②-1職員名簿'!AC38="○",'②-1職員名簿'!AC38="●"),IF($E38="正規職員","正",IF($E38="契約上の就業時間を記載","",IF($E38&gt;=F$5,"常",F38))),"-"))</f>
        <v/>
      </c>
      <c r="S38" s="88" t="str">
        <f>IF($B38="","",IF(OR('②-1職員名簿'!AD38="○",'②-1職員名簿'!AD38="●"),IF($E38="正規職員","正",IF($E38="契約上の就業時間を記載","",IF($E38&gt;=G$5,"常",G38))),"-"))</f>
        <v/>
      </c>
      <c r="T38" s="88" t="str">
        <f>IF($B38="","",IF(OR('②-1職員名簿'!AE38="○",'②-1職員名簿'!AE38="●"),IF($E38="正規職員","正",IF($E38="契約上の就業時間を記載","",IF($E38&gt;=H$5,"常",H38))),"-"))</f>
        <v/>
      </c>
      <c r="U38" s="88" t="str">
        <f>IF($B38="","",IF(OR('②-1職員名簿'!AF38="○",'②-1職員名簿'!AF38="●"),IF($E38="正規職員","正",IF($E38="契約上の就業時間を記載","",IF($E38&gt;=I$5,"常",I38))),"-"))</f>
        <v/>
      </c>
      <c r="V38" s="88" t="str">
        <f>IF($B38="","",IF(OR('②-1職員名簿'!AG38="○",'②-1職員名簿'!AG38="●"),IF($E38="正規職員","正",IF($E38="契約上の就業時間を記載","",IF($E38&gt;=J$5,"常",J38))),"-"))</f>
        <v/>
      </c>
      <c r="W38" s="88" t="str">
        <f>IF($B38="","",IF(OR('②-1職員名簿'!AH38="○",'②-1職員名簿'!AH38="●"),IF($E38="正規職員","正",IF($E38="契約上の就業時間を記載","",IF($E38&gt;=K$5,"常",K38))),"-"))</f>
        <v/>
      </c>
      <c r="X38" s="88" t="str">
        <f>IF($B38="","",IF(OR('②-1職員名簿'!AI38="○",'②-1職員名簿'!AI38="●"),IF($E38="正規職員","正",IF($E38="契約上の就業時間を記載","",IF($E38&gt;=L$5,"常",L38))),"-"))</f>
        <v/>
      </c>
      <c r="Y38" s="88" t="str">
        <f>IF($B38="","",IF(OR('②-1職員名簿'!AJ38="○",'②-1職員名簿'!AJ38="●"),IF($E38="正規職員","正",IF($E38="契約上の就業時間を記載","",IF($E38&gt;=M$5,"常",M38))),"-"))</f>
        <v/>
      </c>
      <c r="Z38" s="88" t="str">
        <f>IF($B38="","",IF(OR('②-1職員名簿'!AK38="○",'②-1職員名簿'!AK38="●"),IF($E38="正規職員","正",IF($E38="契約上の就業時間を記載","",IF($E38&gt;=N$5,"常",N38))),"-"))</f>
        <v/>
      </c>
      <c r="AA38" s="88" t="str">
        <f>IF($B38="","",IF(OR('②-1職員名簿'!AL38="○",'②-1職員名簿'!AL38="●"),IF($E38="正規職員","正",IF($E38="契約上の就業時間を記載","",IF($E38&gt;=O$5,"常",O38))),"-"))</f>
        <v/>
      </c>
      <c r="AB38" s="88" t="str">
        <f>IF($B38="","",IF(OR('②-1職員名簿'!AM38="○",'②-1職員名簿'!AM38="●"),IF($E38="正規職員","正",IF($E38="契約上の就業時間を記載","",IF($E38&gt;=P$5,"常",P38))),"-"))</f>
        <v/>
      </c>
      <c r="AC38" s="88" t="str">
        <f>IF($B38="","",IF(OR('②-1職員名簿'!AN38="○",'②-1職員名簿'!AN38="●"),IF($E38="正規職員","正",IF($E38="契約上の就業時間を記載","",IF($E38&gt;=Q$5,"常",Q38))),"-"))</f>
        <v/>
      </c>
      <c r="AE38" s="86" t="str">
        <f>IF('②-1職員名簿'!W38="","",'②-1職員名簿'!W38)</f>
        <v/>
      </c>
      <c r="AJ38" s="17" t="str">
        <f t="shared" si="12"/>
        <v>○</v>
      </c>
      <c r="AK38" s="17" t="str">
        <f t="shared" si="13"/>
        <v>○</v>
      </c>
      <c r="AL38" s="17" t="str">
        <f t="shared" si="14"/>
        <v>○</v>
      </c>
      <c r="AM38" s="17" t="str">
        <f t="shared" si="15"/>
        <v>○</v>
      </c>
      <c r="AN38" s="17" t="str">
        <f t="shared" si="16"/>
        <v>○</v>
      </c>
      <c r="AO38" s="17" t="str">
        <f t="shared" si="17"/>
        <v>○</v>
      </c>
      <c r="AP38" s="17" t="str">
        <f t="shared" si="18"/>
        <v>○</v>
      </c>
      <c r="AQ38" s="17" t="str">
        <f t="shared" si="19"/>
        <v>○</v>
      </c>
      <c r="AR38" s="17" t="str">
        <f t="shared" si="20"/>
        <v>○</v>
      </c>
      <c r="AS38" s="17" t="str">
        <f t="shared" si="21"/>
        <v>○</v>
      </c>
      <c r="AT38" s="17" t="str">
        <f t="shared" si="22"/>
        <v>○</v>
      </c>
      <c r="AU38" s="17" t="str">
        <f t="shared" si="23"/>
        <v>○</v>
      </c>
    </row>
    <row r="39" spans="1:47" s="90" customFormat="1" ht="23.15" customHeight="1">
      <c r="A39" s="87">
        <v>33</v>
      </c>
      <c r="B39" s="86" t="str">
        <f>IF('②-1職員名簿'!E39="","",'②-1職員名簿'!Y39)</f>
        <v/>
      </c>
      <c r="C39" s="88" t="str">
        <f>'②-1職員名簿'!BE39</f>
        <v/>
      </c>
      <c r="D39" s="117" t="str">
        <f t="shared" si="9"/>
        <v/>
      </c>
      <c r="E39" s="18" t="str">
        <f>IF($B39="","",IF(AND('②-1職員名簿'!C39="正",'②-1職員名簿'!D39="常"),"正規職員","契約上の就業時間を記載"))</f>
        <v/>
      </c>
      <c r="F39" s="9" t="str">
        <f>IF($B39="","",IF(OR('②-1職員名簿'!AC39="○",'②-1職員名簿'!AC39="●"),IF($E39="正規職員","正",IF($E39="契約上の就業時間を記載","","見込を入力")),"-"))</f>
        <v/>
      </c>
      <c r="G39" s="9" t="str">
        <f>IF($B39="","",IF(OR('②-1職員名簿'!AD39="○",'②-1職員名簿'!AD39="●"),IF($E39="正規職員","正",IF($E39="契約上の就業時間を記載","","実績を入力")),"-"))</f>
        <v/>
      </c>
      <c r="H39" s="9" t="str">
        <f>IF($B39="","",IF(OR('②-1職員名簿'!AE39="○",'②-1職員名簿'!AE39="●"),IF($E39="正規職員","正",IF($E39="契約上の就業時間を記載","","実績を入力")),"-"))</f>
        <v/>
      </c>
      <c r="I39" s="9" t="str">
        <f>IF($B39="","",IF(OR('②-1職員名簿'!AF39="○",'②-1職員名簿'!AF39="●"),IF($E39="正規職員","正",IF($E39="契約上の就業時間を記載","","実績を入力")),"-"))</f>
        <v/>
      </c>
      <c r="J39" s="9" t="str">
        <f>IF($B39="","",IF(OR('②-1職員名簿'!AG39="○",'②-1職員名簿'!AG39="●"),IF($E39="正規職員","正",IF($E39="契約上の就業時間を記載","","実績を入力")),"-"))</f>
        <v/>
      </c>
      <c r="K39" s="9" t="str">
        <f>IF($B39="","",IF(OR('②-1職員名簿'!AH39="○",'②-1職員名簿'!AH39="●"),IF($E39="正規職員","正",IF($E39="契約上の就業時間を記載","","実績を入力")),"-"))</f>
        <v/>
      </c>
      <c r="L39" s="9" t="str">
        <f>IF($B39="","",IF(OR('②-1職員名簿'!AI39="○",'②-1職員名簿'!AI39="●"),IF($E39="正規職員","正",IF($E39="契約上の就業時間を記載","","実績を入力")),"-"))</f>
        <v/>
      </c>
      <c r="M39" s="9" t="str">
        <f>IF($B39="","",IF(OR('②-1職員名簿'!AJ39="○",'②-1職員名簿'!AJ39="●"),IF($E39="正規職員","正",IF($E39="契約上の就業時間を記載","","実績を入力")),"-"))</f>
        <v/>
      </c>
      <c r="N39" s="9" t="str">
        <f>IF($B39="","",IF(OR('②-1職員名簿'!AK39="○",'②-1職員名簿'!AK39="●"),IF($E39="正規職員","正",IF($E39="契約上の就業時間を記載","","実績を入力")),"-"))</f>
        <v/>
      </c>
      <c r="O39" s="9" t="str">
        <f>IF($B39="","",IF(OR('②-1職員名簿'!AL39="○",'②-1職員名簿'!AL39="●"),IF($E39="正規職員","正",IF($E39="契約上の就業時間を記載","","実績を入力")),"-"))</f>
        <v/>
      </c>
      <c r="P39" s="9" t="str">
        <f>IF($B39="","",IF(OR('②-1職員名簿'!AM39="○",'②-1職員名簿'!AM39="●"),IF($E39="正規職員","正",IF($E39="契約上の就業時間を記載","","実績を入力")),"-"))</f>
        <v/>
      </c>
      <c r="Q39" s="9" t="str">
        <f>IF($B39="","",IF(OR('②-1職員名簿'!AN39="○",'②-1職員名簿'!AN39="●"),IF($E39="正規職員","正",IF($E39="契約上の就業時間を記載","","見込を入力")),"-"))</f>
        <v/>
      </c>
      <c r="R39" s="88" t="str">
        <f>IF($B39="","",IF(OR('②-1職員名簿'!AC39="○",'②-1職員名簿'!AC39="●"),IF($E39="正規職員","正",IF($E39="契約上の就業時間を記載","",IF($E39&gt;=F$5,"常",F39))),"-"))</f>
        <v/>
      </c>
      <c r="S39" s="88" t="str">
        <f>IF($B39="","",IF(OR('②-1職員名簿'!AD39="○",'②-1職員名簿'!AD39="●"),IF($E39="正規職員","正",IF($E39="契約上の就業時間を記載","",IF($E39&gt;=G$5,"常",G39))),"-"))</f>
        <v/>
      </c>
      <c r="T39" s="88" t="str">
        <f>IF($B39="","",IF(OR('②-1職員名簿'!AE39="○",'②-1職員名簿'!AE39="●"),IF($E39="正規職員","正",IF($E39="契約上の就業時間を記載","",IF($E39&gt;=H$5,"常",H39))),"-"))</f>
        <v/>
      </c>
      <c r="U39" s="88" t="str">
        <f>IF($B39="","",IF(OR('②-1職員名簿'!AF39="○",'②-1職員名簿'!AF39="●"),IF($E39="正規職員","正",IF($E39="契約上の就業時間を記載","",IF($E39&gt;=I$5,"常",I39))),"-"))</f>
        <v/>
      </c>
      <c r="V39" s="88" t="str">
        <f>IF($B39="","",IF(OR('②-1職員名簿'!AG39="○",'②-1職員名簿'!AG39="●"),IF($E39="正規職員","正",IF($E39="契約上の就業時間を記載","",IF($E39&gt;=J$5,"常",J39))),"-"))</f>
        <v/>
      </c>
      <c r="W39" s="88" t="str">
        <f>IF($B39="","",IF(OR('②-1職員名簿'!AH39="○",'②-1職員名簿'!AH39="●"),IF($E39="正規職員","正",IF($E39="契約上の就業時間を記載","",IF($E39&gt;=K$5,"常",K39))),"-"))</f>
        <v/>
      </c>
      <c r="X39" s="88" t="str">
        <f>IF($B39="","",IF(OR('②-1職員名簿'!AI39="○",'②-1職員名簿'!AI39="●"),IF($E39="正規職員","正",IF($E39="契約上の就業時間を記載","",IF($E39&gt;=L$5,"常",L39))),"-"))</f>
        <v/>
      </c>
      <c r="Y39" s="88" t="str">
        <f>IF($B39="","",IF(OR('②-1職員名簿'!AJ39="○",'②-1職員名簿'!AJ39="●"),IF($E39="正規職員","正",IF($E39="契約上の就業時間を記載","",IF($E39&gt;=M$5,"常",M39))),"-"))</f>
        <v/>
      </c>
      <c r="Z39" s="88" t="str">
        <f>IF($B39="","",IF(OR('②-1職員名簿'!AK39="○",'②-1職員名簿'!AK39="●"),IF($E39="正規職員","正",IF($E39="契約上の就業時間を記載","",IF($E39&gt;=N$5,"常",N39))),"-"))</f>
        <v/>
      </c>
      <c r="AA39" s="88" t="str">
        <f>IF($B39="","",IF(OR('②-1職員名簿'!AL39="○",'②-1職員名簿'!AL39="●"),IF($E39="正規職員","正",IF($E39="契約上の就業時間を記載","",IF($E39&gt;=O$5,"常",O39))),"-"))</f>
        <v/>
      </c>
      <c r="AB39" s="88" t="str">
        <f>IF($B39="","",IF(OR('②-1職員名簿'!AM39="○",'②-1職員名簿'!AM39="●"),IF($E39="正規職員","正",IF($E39="契約上の就業時間を記載","",IF($E39&gt;=P$5,"常",P39))),"-"))</f>
        <v/>
      </c>
      <c r="AC39" s="88" t="str">
        <f>IF($B39="","",IF(OR('②-1職員名簿'!AN39="○",'②-1職員名簿'!AN39="●"),IF($E39="正規職員","正",IF($E39="契約上の就業時間を記載","",IF($E39&gt;=Q$5,"常",Q39))),"-"))</f>
        <v/>
      </c>
      <c r="AE39" s="86" t="str">
        <f>IF('②-1職員名簿'!W39="","",'②-1職員名簿'!W39)</f>
        <v/>
      </c>
      <c r="AJ39" s="17" t="str">
        <f t="shared" si="12"/>
        <v>○</v>
      </c>
      <c r="AK39" s="17" t="str">
        <f t="shared" si="13"/>
        <v>○</v>
      </c>
      <c r="AL39" s="17" t="str">
        <f t="shared" si="14"/>
        <v>○</v>
      </c>
      <c r="AM39" s="17" t="str">
        <f t="shared" si="15"/>
        <v>○</v>
      </c>
      <c r="AN39" s="17" t="str">
        <f t="shared" si="16"/>
        <v>○</v>
      </c>
      <c r="AO39" s="17" t="str">
        <f t="shared" si="17"/>
        <v>○</v>
      </c>
      <c r="AP39" s="17" t="str">
        <f t="shared" si="18"/>
        <v>○</v>
      </c>
      <c r="AQ39" s="17" t="str">
        <f t="shared" si="19"/>
        <v>○</v>
      </c>
      <c r="AR39" s="17" t="str">
        <f t="shared" si="20"/>
        <v>○</v>
      </c>
      <c r="AS39" s="17" t="str">
        <f t="shared" si="21"/>
        <v>○</v>
      </c>
      <c r="AT39" s="17" t="str">
        <f t="shared" si="22"/>
        <v>○</v>
      </c>
      <c r="AU39" s="17" t="str">
        <f t="shared" si="23"/>
        <v>○</v>
      </c>
    </row>
    <row r="40" spans="1:47" s="90" customFormat="1" ht="23.15" customHeight="1">
      <c r="A40" s="87">
        <v>34</v>
      </c>
      <c r="B40" s="86" t="str">
        <f>IF('②-1職員名簿'!E40="","",'②-1職員名簿'!Y40)</f>
        <v/>
      </c>
      <c r="C40" s="88" t="str">
        <f>'②-1職員名簿'!BE40</f>
        <v/>
      </c>
      <c r="D40" s="117" t="str">
        <f>B40&amp;C40</f>
        <v/>
      </c>
      <c r="E40" s="18" t="str">
        <f>IF($B40="","",IF(AND('②-1職員名簿'!C40="正",'②-1職員名簿'!D40="常"),"正規職員","契約上の就業時間を記載"))</f>
        <v/>
      </c>
      <c r="F40" s="9" t="str">
        <f>IF($B40="","",IF(OR('②-1職員名簿'!AC40="○",'②-1職員名簿'!AC40="●"),IF($E40="正規職員","正",IF($E40="契約上の就業時間を記載","","見込を入力")),"-"))</f>
        <v/>
      </c>
      <c r="G40" s="9" t="str">
        <f>IF($B40="","",IF(OR('②-1職員名簿'!AD40="○",'②-1職員名簿'!AD40="●"),IF($E40="正規職員","正",IF($E40="契約上の就業時間を記載","","実績を入力")),"-"))</f>
        <v/>
      </c>
      <c r="H40" s="9" t="str">
        <f>IF($B40="","",IF(OR('②-1職員名簿'!AE40="○",'②-1職員名簿'!AE40="●"),IF($E40="正規職員","正",IF($E40="契約上の就業時間を記載","","実績を入力")),"-"))</f>
        <v/>
      </c>
      <c r="I40" s="9" t="str">
        <f>IF($B40="","",IF(OR('②-1職員名簿'!AF40="○",'②-1職員名簿'!AF40="●"),IF($E40="正規職員","正",IF($E40="契約上の就業時間を記載","","実績を入力")),"-"))</f>
        <v/>
      </c>
      <c r="J40" s="9" t="str">
        <f>IF($B40="","",IF(OR('②-1職員名簿'!AG40="○",'②-1職員名簿'!AG40="●"),IF($E40="正規職員","正",IF($E40="契約上の就業時間を記載","","実績を入力")),"-"))</f>
        <v/>
      </c>
      <c r="K40" s="9" t="str">
        <f>IF($B40="","",IF(OR('②-1職員名簿'!AH40="○",'②-1職員名簿'!AH40="●"),IF($E40="正規職員","正",IF($E40="契約上の就業時間を記載","","実績を入力")),"-"))</f>
        <v/>
      </c>
      <c r="L40" s="9" t="str">
        <f>IF($B40="","",IF(OR('②-1職員名簿'!AI40="○",'②-1職員名簿'!AI40="●"),IF($E40="正規職員","正",IF($E40="契約上の就業時間を記載","","実績を入力")),"-"))</f>
        <v/>
      </c>
      <c r="M40" s="9" t="str">
        <f>IF($B40="","",IF(OR('②-1職員名簿'!AJ40="○",'②-1職員名簿'!AJ40="●"),IF($E40="正規職員","正",IF($E40="契約上の就業時間を記載","","実績を入力")),"-"))</f>
        <v/>
      </c>
      <c r="N40" s="9" t="str">
        <f>IF($B40="","",IF(OR('②-1職員名簿'!AK40="○",'②-1職員名簿'!AK40="●"),IF($E40="正規職員","正",IF($E40="契約上の就業時間を記載","","実績を入力")),"-"))</f>
        <v/>
      </c>
      <c r="O40" s="9" t="str">
        <f>IF($B40="","",IF(OR('②-1職員名簿'!AL40="○",'②-1職員名簿'!AL40="●"),IF($E40="正規職員","正",IF($E40="契約上の就業時間を記載","","実績を入力")),"-"))</f>
        <v/>
      </c>
      <c r="P40" s="9" t="str">
        <f>IF($B40="","",IF(OR('②-1職員名簿'!AM40="○",'②-1職員名簿'!AM40="●"),IF($E40="正規職員","正",IF($E40="契約上の就業時間を記載","","実績を入力")),"-"))</f>
        <v/>
      </c>
      <c r="Q40" s="9" t="str">
        <f>IF($B40="","",IF(OR('②-1職員名簿'!AN40="○",'②-1職員名簿'!AN40="●"),IF($E40="正規職員","正",IF($E40="契約上の就業時間を記載","","見込を入力")),"-"))</f>
        <v/>
      </c>
      <c r="R40" s="88" t="str">
        <f>IF($B40="","",IF(OR('②-1職員名簿'!AC40="○",'②-1職員名簿'!AC40="●"),IF($E40="正規職員","正",IF($E40="契約上の就業時間を記載","",IF($E40&gt;=F$5,"常",F40))),"-"))</f>
        <v/>
      </c>
      <c r="S40" s="88" t="str">
        <f>IF($B40="","",IF(OR('②-1職員名簿'!AD40="○",'②-1職員名簿'!AD40="●"),IF($E40="正規職員","正",IF($E40="契約上の就業時間を記載","",IF($E40&gt;=G$5,"常",G40))),"-"))</f>
        <v/>
      </c>
      <c r="T40" s="88" t="str">
        <f>IF($B40="","",IF(OR('②-1職員名簿'!AE40="○",'②-1職員名簿'!AE40="●"),IF($E40="正規職員","正",IF($E40="契約上の就業時間を記載","",IF($E40&gt;=H$5,"常",H40))),"-"))</f>
        <v/>
      </c>
      <c r="U40" s="88" t="str">
        <f>IF($B40="","",IF(OR('②-1職員名簿'!AF40="○",'②-1職員名簿'!AF40="●"),IF($E40="正規職員","正",IF($E40="契約上の就業時間を記載","",IF($E40&gt;=I$5,"常",I40))),"-"))</f>
        <v/>
      </c>
      <c r="V40" s="88" t="str">
        <f>IF($B40="","",IF(OR('②-1職員名簿'!AG40="○",'②-1職員名簿'!AG40="●"),IF($E40="正規職員","正",IF($E40="契約上の就業時間を記載","",IF($E40&gt;=J$5,"常",J40))),"-"))</f>
        <v/>
      </c>
      <c r="W40" s="88" t="str">
        <f>IF($B40="","",IF(OR('②-1職員名簿'!AH40="○",'②-1職員名簿'!AH40="●"),IF($E40="正規職員","正",IF($E40="契約上の就業時間を記載","",IF($E40&gt;=K$5,"常",K40))),"-"))</f>
        <v/>
      </c>
      <c r="X40" s="88" t="str">
        <f>IF($B40="","",IF(OR('②-1職員名簿'!AI40="○",'②-1職員名簿'!AI40="●"),IF($E40="正規職員","正",IF($E40="契約上の就業時間を記載","",IF($E40&gt;=L$5,"常",L40))),"-"))</f>
        <v/>
      </c>
      <c r="Y40" s="88" t="str">
        <f>IF($B40="","",IF(OR('②-1職員名簿'!AJ40="○",'②-1職員名簿'!AJ40="●"),IF($E40="正規職員","正",IF($E40="契約上の就業時間を記載","",IF($E40&gt;=M$5,"常",M40))),"-"))</f>
        <v/>
      </c>
      <c r="Z40" s="88" t="str">
        <f>IF($B40="","",IF(OR('②-1職員名簿'!AK40="○",'②-1職員名簿'!AK40="●"),IF($E40="正規職員","正",IF($E40="契約上の就業時間を記載","",IF($E40&gt;=N$5,"常",N40))),"-"))</f>
        <v/>
      </c>
      <c r="AA40" s="88" t="str">
        <f>IF($B40="","",IF(OR('②-1職員名簿'!AL40="○",'②-1職員名簿'!AL40="●"),IF($E40="正規職員","正",IF($E40="契約上の就業時間を記載","",IF($E40&gt;=O$5,"常",O40))),"-"))</f>
        <v/>
      </c>
      <c r="AB40" s="88" t="str">
        <f>IF($B40="","",IF(OR('②-1職員名簿'!AM40="○",'②-1職員名簿'!AM40="●"),IF($E40="正規職員","正",IF($E40="契約上の就業時間を記載","",IF($E40&gt;=P$5,"常",P40))),"-"))</f>
        <v/>
      </c>
      <c r="AC40" s="88" t="str">
        <f>IF($B40="","",IF(OR('②-1職員名簿'!AN40="○",'②-1職員名簿'!AN40="●"),IF($E40="正規職員","正",IF($E40="契約上の就業時間を記載","",IF($E40&gt;=Q$5,"常",Q40))),"-"))</f>
        <v/>
      </c>
      <c r="AE40" s="86" t="str">
        <f>IF('②-1職員名簿'!W40="","",'②-1職員名簿'!W40)</f>
        <v/>
      </c>
      <c r="AJ40" s="17" t="str">
        <f t="shared" si="12"/>
        <v>○</v>
      </c>
      <c r="AK40" s="17" t="str">
        <f t="shared" si="13"/>
        <v>○</v>
      </c>
      <c r="AL40" s="17" t="str">
        <f t="shared" si="14"/>
        <v>○</v>
      </c>
      <c r="AM40" s="17" t="str">
        <f t="shared" si="15"/>
        <v>○</v>
      </c>
      <c r="AN40" s="17" t="str">
        <f t="shared" si="16"/>
        <v>○</v>
      </c>
      <c r="AO40" s="17" t="str">
        <f t="shared" si="17"/>
        <v>○</v>
      </c>
      <c r="AP40" s="17" t="str">
        <f t="shared" si="18"/>
        <v>○</v>
      </c>
      <c r="AQ40" s="17" t="str">
        <f t="shared" si="19"/>
        <v>○</v>
      </c>
      <c r="AR40" s="17" t="str">
        <f t="shared" si="20"/>
        <v>○</v>
      </c>
      <c r="AS40" s="17" t="str">
        <f t="shared" si="21"/>
        <v>○</v>
      </c>
      <c r="AT40" s="17" t="str">
        <f t="shared" si="22"/>
        <v>○</v>
      </c>
      <c r="AU40" s="17" t="str">
        <f t="shared" si="23"/>
        <v>○</v>
      </c>
    </row>
    <row r="41" spans="1:47" s="90" customFormat="1" ht="23.15" customHeight="1">
      <c r="A41" s="87">
        <v>35</v>
      </c>
      <c r="B41" s="86" t="str">
        <f>IF('②-1職員名簿'!E41="","",'②-1職員名簿'!Y41)</f>
        <v/>
      </c>
      <c r="C41" s="88" t="str">
        <f>'②-1職員名簿'!BE41</f>
        <v/>
      </c>
      <c r="D41" s="117" t="str">
        <f t="shared" si="9"/>
        <v/>
      </c>
      <c r="E41" s="18" t="str">
        <f>IF($B41="","",IF(AND('②-1職員名簿'!C41="正",'②-1職員名簿'!D41="常"),"正規職員","契約上の就業時間を記載"))</f>
        <v/>
      </c>
      <c r="F41" s="9" t="str">
        <f>IF($B41="","",IF(OR('②-1職員名簿'!AC41="○",'②-1職員名簿'!AC41="●"),IF($E41="正規職員","正",IF($E41="契約上の就業時間を記載","","見込を入力")),"-"))</f>
        <v/>
      </c>
      <c r="G41" s="9" t="str">
        <f>IF($B41="","",IF(OR('②-1職員名簿'!AD41="○",'②-1職員名簿'!AD41="●"),IF($E41="正規職員","正",IF($E41="契約上の就業時間を記載","","実績を入力")),"-"))</f>
        <v/>
      </c>
      <c r="H41" s="9" t="str">
        <f>IF($B41="","",IF(OR('②-1職員名簿'!AE41="○",'②-1職員名簿'!AE41="●"),IF($E41="正規職員","正",IF($E41="契約上の就業時間を記載","","実績を入力")),"-"))</f>
        <v/>
      </c>
      <c r="I41" s="9" t="str">
        <f>IF($B41="","",IF(OR('②-1職員名簿'!AF41="○",'②-1職員名簿'!AF41="●"),IF($E41="正規職員","正",IF($E41="契約上の就業時間を記載","","実績を入力")),"-"))</f>
        <v/>
      </c>
      <c r="J41" s="9" t="str">
        <f>IF($B41="","",IF(OR('②-1職員名簿'!AG41="○",'②-1職員名簿'!AG41="●"),IF($E41="正規職員","正",IF($E41="契約上の就業時間を記載","","実績を入力")),"-"))</f>
        <v/>
      </c>
      <c r="K41" s="9" t="str">
        <f>IF($B41="","",IF(OR('②-1職員名簿'!AH41="○",'②-1職員名簿'!AH41="●"),IF($E41="正規職員","正",IF($E41="契約上の就業時間を記載","","実績を入力")),"-"))</f>
        <v/>
      </c>
      <c r="L41" s="9" t="str">
        <f>IF($B41="","",IF(OR('②-1職員名簿'!AI41="○",'②-1職員名簿'!AI41="●"),IF($E41="正規職員","正",IF($E41="契約上の就業時間を記載","","実績を入力")),"-"))</f>
        <v/>
      </c>
      <c r="M41" s="9" t="str">
        <f>IF($B41="","",IF(OR('②-1職員名簿'!AJ41="○",'②-1職員名簿'!AJ41="●"),IF($E41="正規職員","正",IF($E41="契約上の就業時間を記載","","実績を入力")),"-"))</f>
        <v/>
      </c>
      <c r="N41" s="9" t="str">
        <f>IF($B41="","",IF(OR('②-1職員名簿'!AK41="○",'②-1職員名簿'!AK41="●"),IF($E41="正規職員","正",IF($E41="契約上の就業時間を記載","","実績を入力")),"-"))</f>
        <v/>
      </c>
      <c r="O41" s="9" t="str">
        <f>IF($B41="","",IF(OR('②-1職員名簿'!AL41="○",'②-1職員名簿'!AL41="●"),IF($E41="正規職員","正",IF($E41="契約上の就業時間を記載","","実績を入力")),"-"))</f>
        <v/>
      </c>
      <c r="P41" s="9" t="str">
        <f>IF($B41="","",IF(OR('②-1職員名簿'!AM41="○",'②-1職員名簿'!AM41="●"),IF($E41="正規職員","正",IF($E41="契約上の就業時間を記載","","実績を入力")),"-"))</f>
        <v/>
      </c>
      <c r="Q41" s="9" t="str">
        <f>IF($B41="","",IF(OR('②-1職員名簿'!AN41="○",'②-1職員名簿'!AN41="●"),IF($E41="正規職員","正",IF($E41="契約上の就業時間を記載","","見込を入力")),"-"))</f>
        <v/>
      </c>
      <c r="R41" s="88" t="str">
        <f>IF($B41="","",IF(OR('②-1職員名簿'!AC41="○",'②-1職員名簿'!AC41="●"),IF($E41="正規職員","正",IF($E41="契約上の就業時間を記載","",IF($E41&gt;=F$5,"常",F41))),"-"))</f>
        <v/>
      </c>
      <c r="S41" s="88" t="str">
        <f>IF($B41="","",IF(OR('②-1職員名簿'!AD41="○",'②-1職員名簿'!AD41="●"),IF($E41="正規職員","正",IF($E41="契約上の就業時間を記載","",IF($E41&gt;=G$5,"常",G41))),"-"))</f>
        <v/>
      </c>
      <c r="T41" s="88" t="str">
        <f>IF($B41="","",IF(OR('②-1職員名簿'!AE41="○",'②-1職員名簿'!AE41="●"),IF($E41="正規職員","正",IF($E41="契約上の就業時間を記載","",IF($E41&gt;=H$5,"常",H41))),"-"))</f>
        <v/>
      </c>
      <c r="U41" s="88" t="str">
        <f>IF($B41="","",IF(OR('②-1職員名簿'!AF41="○",'②-1職員名簿'!AF41="●"),IF($E41="正規職員","正",IF($E41="契約上の就業時間を記載","",IF($E41&gt;=I$5,"常",I41))),"-"))</f>
        <v/>
      </c>
      <c r="V41" s="88" t="str">
        <f>IF($B41="","",IF(OR('②-1職員名簿'!AG41="○",'②-1職員名簿'!AG41="●"),IF($E41="正規職員","正",IF($E41="契約上の就業時間を記載","",IF($E41&gt;=J$5,"常",J41))),"-"))</f>
        <v/>
      </c>
      <c r="W41" s="88" t="str">
        <f>IF($B41="","",IF(OR('②-1職員名簿'!AH41="○",'②-1職員名簿'!AH41="●"),IF($E41="正規職員","正",IF($E41="契約上の就業時間を記載","",IF($E41&gt;=K$5,"常",K41))),"-"))</f>
        <v/>
      </c>
      <c r="X41" s="88" t="str">
        <f>IF($B41="","",IF(OR('②-1職員名簿'!AI41="○",'②-1職員名簿'!AI41="●"),IF($E41="正規職員","正",IF($E41="契約上の就業時間を記載","",IF($E41&gt;=L$5,"常",L41))),"-"))</f>
        <v/>
      </c>
      <c r="Y41" s="88" t="str">
        <f>IF($B41="","",IF(OR('②-1職員名簿'!AJ41="○",'②-1職員名簿'!AJ41="●"),IF($E41="正規職員","正",IF($E41="契約上の就業時間を記載","",IF($E41&gt;=M$5,"常",M41))),"-"))</f>
        <v/>
      </c>
      <c r="Z41" s="88" t="str">
        <f>IF($B41="","",IF(OR('②-1職員名簿'!AK41="○",'②-1職員名簿'!AK41="●"),IF($E41="正規職員","正",IF($E41="契約上の就業時間を記載","",IF($E41&gt;=N$5,"常",N41))),"-"))</f>
        <v/>
      </c>
      <c r="AA41" s="88" t="str">
        <f>IF($B41="","",IF(OR('②-1職員名簿'!AL41="○",'②-1職員名簿'!AL41="●"),IF($E41="正規職員","正",IF($E41="契約上の就業時間を記載","",IF($E41&gt;=O$5,"常",O41))),"-"))</f>
        <v/>
      </c>
      <c r="AB41" s="88" t="str">
        <f>IF($B41="","",IF(OR('②-1職員名簿'!AM41="○",'②-1職員名簿'!AM41="●"),IF($E41="正規職員","正",IF($E41="契約上の就業時間を記載","",IF($E41&gt;=P$5,"常",P41))),"-"))</f>
        <v/>
      </c>
      <c r="AC41" s="88" t="str">
        <f>IF($B41="","",IF(OR('②-1職員名簿'!AN41="○",'②-1職員名簿'!AN41="●"),IF($E41="正規職員","正",IF($E41="契約上の就業時間を記載","",IF($E41&gt;=Q$5,"常",Q41))),"-"))</f>
        <v/>
      </c>
      <c r="AE41" s="86" t="str">
        <f>IF('②-1職員名簿'!W41="","",'②-1職員名簿'!W41)</f>
        <v/>
      </c>
      <c r="AJ41" s="17" t="str">
        <f t="shared" si="12"/>
        <v>○</v>
      </c>
      <c r="AK41" s="17" t="str">
        <f t="shared" si="13"/>
        <v>○</v>
      </c>
      <c r="AL41" s="17" t="str">
        <f t="shared" si="14"/>
        <v>○</v>
      </c>
      <c r="AM41" s="17" t="str">
        <f t="shared" si="15"/>
        <v>○</v>
      </c>
      <c r="AN41" s="17" t="str">
        <f t="shared" si="16"/>
        <v>○</v>
      </c>
      <c r="AO41" s="17" t="str">
        <f t="shared" si="17"/>
        <v>○</v>
      </c>
      <c r="AP41" s="17" t="str">
        <f t="shared" si="18"/>
        <v>○</v>
      </c>
      <c r="AQ41" s="17" t="str">
        <f t="shared" si="19"/>
        <v>○</v>
      </c>
      <c r="AR41" s="17" t="str">
        <f t="shared" si="20"/>
        <v>○</v>
      </c>
      <c r="AS41" s="17" t="str">
        <f t="shared" si="21"/>
        <v>○</v>
      </c>
      <c r="AT41" s="17" t="str">
        <f t="shared" si="22"/>
        <v>○</v>
      </c>
      <c r="AU41" s="17" t="str">
        <f t="shared" si="23"/>
        <v>○</v>
      </c>
    </row>
    <row r="42" spans="1:47" s="90" customFormat="1" ht="23.15" customHeight="1">
      <c r="A42" s="87">
        <v>36</v>
      </c>
      <c r="B42" s="86" t="str">
        <f>IF('②-1職員名簿'!E42="","",'②-1職員名簿'!Y42)</f>
        <v/>
      </c>
      <c r="C42" s="88" t="str">
        <f>'②-1職員名簿'!BE42</f>
        <v/>
      </c>
      <c r="D42" s="117" t="str">
        <f t="shared" si="9"/>
        <v/>
      </c>
      <c r="E42" s="18" t="str">
        <f>IF($B42="","",IF(AND('②-1職員名簿'!C42="正",'②-1職員名簿'!D42="常"),"正規職員","契約上の就業時間を記載"))</f>
        <v/>
      </c>
      <c r="F42" s="9" t="str">
        <f>IF($B42="","",IF(OR('②-1職員名簿'!AC42="○",'②-1職員名簿'!AC42="●"),IF($E42="正規職員","正",IF($E42="契約上の就業時間を記載","","見込を入力")),"-"))</f>
        <v/>
      </c>
      <c r="G42" s="9" t="str">
        <f>IF($B42="","",IF(OR('②-1職員名簿'!AD42="○",'②-1職員名簿'!AD42="●"),IF($E42="正規職員","正",IF($E42="契約上の就業時間を記載","","実績を入力")),"-"))</f>
        <v/>
      </c>
      <c r="H42" s="9" t="str">
        <f>IF($B42="","",IF(OR('②-1職員名簿'!AE42="○",'②-1職員名簿'!AE42="●"),IF($E42="正規職員","正",IF($E42="契約上の就業時間を記載","","実績を入力")),"-"))</f>
        <v/>
      </c>
      <c r="I42" s="9" t="str">
        <f>IF($B42="","",IF(OR('②-1職員名簿'!AF42="○",'②-1職員名簿'!AF42="●"),IF($E42="正規職員","正",IF($E42="契約上の就業時間を記載","","実績を入力")),"-"))</f>
        <v/>
      </c>
      <c r="J42" s="9" t="str">
        <f>IF($B42="","",IF(OR('②-1職員名簿'!AG42="○",'②-1職員名簿'!AG42="●"),IF($E42="正規職員","正",IF($E42="契約上の就業時間を記載","","実績を入力")),"-"))</f>
        <v/>
      </c>
      <c r="K42" s="9" t="str">
        <f>IF($B42="","",IF(OR('②-1職員名簿'!AH42="○",'②-1職員名簿'!AH42="●"),IF($E42="正規職員","正",IF($E42="契約上の就業時間を記載","","実績を入力")),"-"))</f>
        <v/>
      </c>
      <c r="L42" s="9" t="str">
        <f>IF($B42="","",IF(OR('②-1職員名簿'!AI42="○",'②-1職員名簿'!AI42="●"),IF($E42="正規職員","正",IF($E42="契約上の就業時間を記載","","実績を入力")),"-"))</f>
        <v/>
      </c>
      <c r="M42" s="9" t="str">
        <f>IF($B42="","",IF(OR('②-1職員名簿'!AJ42="○",'②-1職員名簿'!AJ42="●"),IF($E42="正規職員","正",IF($E42="契約上の就業時間を記載","","実績を入力")),"-"))</f>
        <v/>
      </c>
      <c r="N42" s="9" t="str">
        <f>IF($B42="","",IF(OR('②-1職員名簿'!AK42="○",'②-1職員名簿'!AK42="●"),IF($E42="正規職員","正",IF($E42="契約上の就業時間を記載","","実績を入力")),"-"))</f>
        <v/>
      </c>
      <c r="O42" s="9" t="str">
        <f>IF($B42="","",IF(OR('②-1職員名簿'!AL42="○",'②-1職員名簿'!AL42="●"),IF($E42="正規職員","正",IF($E42="契約上の就業時間を記載","","実績を入力")),"-"))</f>
        <v/>
      </c>
      <c r="P42" s="9" t="str">
        <f>IF($B42="","",IF(OR('②-1職員名簿'!AM42="○",'②-1職員名簿'!AM42="●"),IF($E42="正規職員","正",IF($E42="契約上の就業時間を記載","","実績を入力")),"-"))</f>
        <v/>
      </c>
      <c r="Q42" s="9" t="str">
        <f>IF($B42="","",IF(OR('②-1職員名簿'!AN42="○",'②-1職員名簿'!AN42="●"),IF($E42="正規職員","正",IF($E42="契約上の就業時間を記載","","見込を入力")),"-"))</f>
        <v/>
      </c>
      <c r="R42" s="88" t="str">
        <f>IF($B42="","",IF(OR('②-1職員名簿'!AC42="○",'②-1職員名簿'!AC42="●"),IF($E42="正規職員","正",IF($E42="契約上の就業時間を記載","",IF($E42&gt;=F$5,"常",F42))),"-"))</f>
        <v/>
      </c>
      <c r="S42" s="88" t="str">
        <f>IF($B42="","",IF(OR('②-1職員名簿'!AD42="○",'②-1職員名簿'!AD42="●"),IF($E42="正規職員","正",IF($E42="契約上の就業時間を記載","",IF($E42&gt;=G$5,"常",G42))),"-"))</f>
        <v/>
      </c>
      <c r="T42" s="88" t="str">
        <f>IF($B42="","",IF(OR('②-1職員名簿'!AE42="○",'②-1職員名簿'!AE42="●"),IF($E42="正規職員","正",IF($E42="契約上の就業時間を記載","",IF($E42&gt;=H$5,"常",H42))),"-"))</f>
        <v/>
      </c>
      <c r="U42" s="88" t="str">
        <f>IF($B42="","",IF(OR('②-1職員名簿'!AF42="○",'②-1職員名簿'!AF42="●"),IF($E42="正規職員","正",IF($E42="契約上の就業時間を記載","",IF($E42&gt;=I$5,"常",I42))),"-"))</f>
        <v/>
      </c>
      <c r="V42" s="88" t="str">
        <f>IF($B42="","",IF(OR('②-1職員名簿'!AG42="○",'②-1職員名簿'!AG42="●"),IF($E42="正規職員","正",IF($E42="契約上の就業時間を記載","",IF($E42&gt;=J$5,"常",J42))),"-"))</f>
        <v/>
      </c>
      <c r="W42" s="88" t="str">
        <f>IF($B42="","",IF(OR('②-1職員名簿'!AH42="○",'②-1職員名簿'!AH42="●"),IF($E42="正規職員","正",IF($E42="契約上の就業時間を記載","",IF($E42&gt;=K$5,"常",K42))),"-"))</f>
        <v/>
      </c>
      <c r="X42" s="88" t="str">
        <f>IF($B42="","",IF(OR('②-1職員名簿'!AI42="○",'②-1職員名簿'!AI42="●"),IF($E42="正規職員","正",IF($E42="契約上の就業時間を記載","",IF($E42&gt;=L$5,"常",L42))),"-"))</f>
        <v/>
      </c>
      <c r="Y42" s="88" t="str">
        <f>IF($B42="","",IF(OR('②-1職員名簿'!AJ42="○",'②-1職員名簿'!AJ42="●"),IF($E42="正規職員","正",IF($E42="契約上の就業時間を記載","",IF($E42&gt;=M$5,"常",M42))),"-"))</f>
        <v/>
      </c>
      <c r="Z42" s="88" t="str">
        <f>IF($B42="","",IF(OR('②-1職員名簿'!AK42="○",'②-1職員名簿'!AK42="●"),IF($E42="正規職員","正",IF($E42="契約上の就業時間を記載","",IF($E42&gt;=N$5,"常",N42))),"-"))</f>
        <v/>
      </c>
      <c r="AA42" s="88" t="str">
        <f>IF($B42="","",IF(OR('②-1職員名簿'!AL42="○",'②-1職員名簿'!AL42="●"),IF($E42="正規職員","正",IF($E42="契約上の就業時間を記載","",IF($E42&gt;=O$5,"常",O42))),"-"))</f>
        <v/>
      </c>
      <c r="AB42" s="88" t="str">
        <f>IF($B42="","",IF(OR('②-1職員名簿'!AM42="○",'②-1職員名簿'!AM42="●"),IF($E42="正規職員","正",IF($E42="契約上の就業時間を記載","",IF($E42&gt;=P$5,"常",P42))),"-"))</f>
        <v/>
      </c>
      <c r="AC42" s="88" t="str">
        <f>IF($B42="","",IF(OR('②-1職員名簿'!AN42="○",'②-1職員名簿'!AN42="●"),IF($E42="正規職員","正",IF($E42="契約上の就業時間を記載","",IF($E42&gt;=Q$5,"常",Q42))),"-"))</f>
        <v/>
      </c>
      <c r="AE42" s="86" t="str">
        <f>IF('②-1職員名簿'!W42="","",'②-1職員名簿'!W42)</f>
        <v/>
      </c>
      <c r="AJ42" s="17" t="str">
        <f t="shared" si="12"/>
        <v>○</v>
      </c>
      <c r="AK42" s="17" t="str">
        <f t="shared" si="13"/>
        <v>○</v>
      </c>
      <c r="AL42" s="17" t="str">
        <f t="shared" si="14"/>
        <v>○</v>
      </c>
      <c r="AM42" s="17" t="str">
        <f t="shared" si="15"/>
        <v>○</v>
      </c>
      <c r="AN42" s="17" t="str">
        <f t="shared" si="16"/>
        <v>○</v>
      </c>
      <c r="AO42" s="17" t="str">
        <f t="shared" si="17"/>
        <v>○</v>
      </c>
      <c r="AP42" s="17" t="str">
        <f t="shared" si="18"/>
        <v>○</v>
      </c>
      <c r="AQ42" s="17" t="str">
        <f t="shared" si="19"/>
        <v>○</v>
      </c>
      <c r="AR42" s="17" t="str">
        <f t="shared" si="20"/>
        <v>○</v>
      </c>
      <c r="AS42" s="17" t="str">
        <f t="shared" si="21"/>
        <v>○</v>
      </c>
      <c r="AT42" s="17" t="str">
        <f t="shared" si="22"/>
        <v>○</v>
      </c>
      <c r="AU42" s="17" t="str">
        <f t="shared" si="23"/>
        <v>○</v>
      </c>
    </row>
    <row r="43" spans="1:47" s="90" customFormat="1" ht="23.15" customHeight="1">
      <c r="A43" s="87">
        <v>37</v>
      </c>
      <c r="B43" s="86" t="str">
        <f>IF('②-1職員名簿'!E43="","",'②-1職員名簿'!Y43)</f>
        <v/>
      </c>
      <c r="C43" s="88" t="str">
        <f>'②-1職員名簿'!BE43</f>
        <v/>
      </c>
      <c r="D43" s="117" t="str">
        <f t="shared" si="9"/>
        <v/>
      </c>
      <c r="E43" s="18" t="str">
        <f>IF($B43="","",IF(AND('②-1職員名簿'!C43="正",'②-1職員名簿'!D43="常"),"正規職員","契約上の就業時間を記載"))</f>
        <v/>
      </c>
      <c r="F43" s="9" t="str">
        <f>IF($B43="","",IF(OR('②-1職員名簿'!AC43="○",'②-1職員名簿'!AC43="●"),IF($E43="正規職員","正",IF($E43="契約上の就業時間を記載","","見込を入力")),"-"))</f>
        <v/>
      </c>
      <c r="G43" s="9" t="str">
        <f>IF($B43="","",IF(OR('②-1職員名簿'!AD43="○",'②-1職員名簿'!AD43="●"),IF($E43="正規職員","正",IF($E43="契約上の就業時間を記載","","実績を入力")),"-"))</f>
        <v/>
      </c>
      <c r="H43" s="9" t="str">
        <f>IF($B43="","",IF(OR('②-1職員名簿'!AE43="○",'②-1職員名簿'!AE43="●"),IF($E43="正規職員","正",IF($E43="契約上の就業時間を記載","","実績を入力")),"-"))</f>
        <v/>
      </c>
      <c r="I43" s="9" t="str">
        <f>IF($B43="","",IF(OR('②-1職員名簿'!AF43="○",'②-1職員名簿'!AF43="●"),IF($E43="正規職員","正",IF($E43="契約上の就業時間を記載","","実績を入力")),"-"))</f>
        <v/>
      </c>
      <c r="J43" s="9" t="str">
        <f>IF($B43="","",IF(OR('②-1職員名簿'!AG43="○",'②-1職員名簿'!AG43="●"),IF($E43="正規職員","正",IF($E43="契約上の就業時間を記載","","実績を入力")),"-"))</f>
        <v/>
      </c>
      <c r="K43" s="9" t="str">
        <f>IF($B43="","",IF(OR('②-1職員名簿'!AH43="○",'②-1職員名簿'!AH43="●"),IF($E43="正規職員","正",IF($E43="契約上の就業時間を記載","","実績を入力")),"-"))</f>
        <v/>
      </c>
      <c r="L43" s="9" t="str">
        <f>IF($B43="","",IF(OR('②-1職員名簿'!AI43="○",'②-1職員名簿'!AI43="●"),IF($E43="正規職員","正",IF($E43="契約上の就業時間を記載","","実績を入力")),"-"))</f>
        <v/>
      </c>
      <c r="M43" s="9" t="str">
        <f>IF($B43="","",IF(OR('②-1職員名簿'!AJ43="○",'②-1職員名簿'!AJ43="●"),IF($E43="正規職員","正",IF($E43="契約上の就業時間を記載","","実績を入力")),"-"))</f>
        <v/>
      </c>
      <c r="N43" s="9" t="str">
        <f>IF($B43="","",IF(OR('②-1職員名簿'!AK43="○",'②-1職員名簿'!AK43="●"),IF($E43="正規職員","正",IF($E43="契約上の就業時間を記載","","実績を入力")),"-"))</f>
        <v/>
      </c>
      <c r="O43" s="9" t="str">
        <f>IF($B43="","",IF(OR('②-1職員名簿'!AL43="○",'②-1職員名簿'!AL43="●"),IF($E43="正規職員","正",IF($E43="契約上の就業時間を記載","","実績を入力")),"-"))</f>
        <v/>
      </c>
      <c r="P43" s="9" t="str">
        <f>IF($B43="","",IF(OR('②-1職員名簿'!AM43="○",'②-1職員名簿'!AM43="●"),IF($E43="正規職員","正",IF($E43="契約上の就業時間を記載","","実績を入力")),"-"))</f>
        <v/>
      </c>
      <c r="Q43" s="9" t="str">
        <f>IF($B43="","",IF(OR('②-1職員名簿'!AN43="○",'②-1職員名簿'!AN43="●"),IF($E43="正規職員","正",IF($E43="契約上の就業時間を記載","","見込を入力")),"-"))</f>
        <v/>
      </c>
      <c r="R43" s="88" t="str">
        <f>IF($B43="","",IF(OR('②-1職員名簿'!AC43="○",'②-1職員名簿'!AC43="●"),IF($E43="正規職員","正",IF($E43="契約上の就業時間を記載","",IF($E43&gt;=F$5,"常",F43))),"-"))</f>
        <v/>
      </c>
      <c r="S43" s="88" t="str">
        <f>IF($B43="","",IF(OR('②-1職員名簿'!AD43="○",'②-1職員名簿'!AD43="●"),IF($E43="正規職員","正",IF($E43="契約上の就業時間を記載","",IF($E43&gt;=G$5,"常",G43))),"-"))</f>
        <v/>
      </c>
      <c r="T43" s="88" t="str">
        <f>IF($B43="","",IF(OR('②-1職員名簿'!AE43="○",'②-1職員名簿'!AE43="●"),IF($E43="正規職員","正",IF($E43="契約上の就業時間を記載","",IF($E43&gt;=H$5,"常",H43))),"-"))</f>
        <v/>
      </c>
      <c r="U43" s="88" t="str">
        <f>IF($B43="","",IF(OR('②-1職員名簿'!AF43="○",'②-1職員名簿'!AF43="●"),IF($E43="正規職員","正",IF($E43="契約上の就業時間を記載","",IF($E43&gt;=I$5,"常",I43))),"-"))</f>
        <v/>
      </c>
      <c r="V43" s="88" t="str">
        <f>IF($B43="","",IF(OR('②-1職員名簿'!AG43="○",'②-1職員名簿'!AG43="●"),IF($E43="正規職員","正",IF($E43="契約上の就業時間を記載","",IF($E43&gt;=J$5,"常",J43))),"-"))</f>
        <v/>
      </c>
      <c r="W43" s="88" t="str">
        <f>IF($B43="","",IF(OR('②-1職員名簿'!AH43="○",'②-1職員名簿'!AH43="●"),IF($E43="正規職員","正",IF($E43="契約上の就業時間を記載","",IF($E43&gt;=K$5,"常",K43))),"-"))</f>
        <v/>
      </c>
      <c r="X43" s="88" t="str">
        <f>IF($B43="","",IF(OR('②-1職員名簿'!AI43="○",'②-1職員名簿'!AI43="●"),IF($E43="正規職員","正",IF($E43="契約上の就業時間を記載","",IF($E43&gt;=L$5,"常",L43))),"-"))</f>
        <v/>
      </c>
      <c r="Y43" s="88" t="str">
        <f>IF($B43="","",IF(OR('②-1職員名簿'!AJ43="○",'②-1職員名簿'!AJ43="●"),IF($E43="正規職員","正",IF($E43="契約上の就業時間を記載","",IF($E43&gt;=M$5,"常",M43))),"-"))</f>
        <v/>
      </c>
      <c r="Z43" s="88" t="str">
        <f>IF($B43="","",IF(OR('②-1職員名簿'!AK43="○",'②-1職員名簿'!AK43="●"),IF($E43="正規職員","正",IF($E43="契約上の就業時間を記載","",IF($E43&gt;=N$5,"常",N43))),"-"))</f>
        <v/>
      </c>
      <c r="AA43" s="88" t="str">
        <f>IF($B43="","",IF(OR('②-1職員名簿'!AL43="○",'②-1職員名簿'!AL43="●"),IF($E43="正規職員","正",IF($E43="契約上の就業時間を記載","",IF($E43&gt;=O$5,"常",O43))),"-"))</f>
        <v/>
      </c>
      <c r="AB43" s="88" t="str">
        <f>IF($B43="","",IF(OR('②-1職員名簿'!AM43="○",'②-1職員名簿'!AM43="●"),IF($E43="正規職員","正",IF($E43="契約上の就業時間を記載","",IF($E43&gt;=P$5,"常",P43))),"-"))</f>
        <v/>
      </c>
      <c r="AC43" s="88" t="str">
        <f>IF($B43="","",IF(OR('②-1職員名簿'!AN43="○",'②-1職員名簿'!AN43="●"),IF($E43="正規職員","正",IF($E43="契約上の就業時間を記載","",IF($E43&gt;=Q$5,"常",Q43))),"-"))</f>
        <v/>
      </c>
      <c r="AE43" s="86" t="str">
        <f>IF('②-1職員名簿'!W43="","",'②-1職員名簿'!W43)</f>
        <v/>
      </c>
      <c r="AJ43" s="17" t="str">
        <f t="shared" si="12"/>
        <v>○</v>
      </c>
      <c r="AK43" s="17" t="str">
        <f t="shared" si="13"/>
        <v>○</v>
      </c>
      <c r="AL43" s="17" t="str">
        <f t="shared" si="14"/>
        <v>○</v>
      </c>
      <c r="AM43" s="17" t="str">
        <f t="shared" si="15"/>
        <v>○</v>
      </c>
      <c r="AN43" s="17" t="str">
        <f t="shared" si="16"/>
        <v>○</v>
      </c>
      <c r="AO43" s="17" t="str">
        <f t="shared" si="17"/>
        <v>○</v>
      </c>
      <c r="AP43" s="17" t="str">
        <f t="shared" si="18"/>
        <v>○</v>
      </c>
      <c r="AQ43" s="17" t="str">
        <f t="shared" si="19"/>
        <v>○</v>
      </c>
      <c r="AR43" s="17" t="str">
        <f t="shared" si="20"/>
        <v>○</v>
      </c>
      <c r="AS43" s="17" t="str">
        <f t="shared" si="21"/>
        <v>○</v>
      </c>
      <c r="AT43" s="17" t="str">
        <f t="shared" si="22"/>
        <v>○</v>
      </c>
      <c r="AU43" s="17" t="str">
        <f t="shared" si="23"/>
        <v>○</v>
      </c>
    </row>
    <row r="44" spans="1:47" s="90" customFormat="1" ht="23.15" customHeight="1">
      <c r="A44" s="87">
        <v>38</v>
      </c>
      <c r="B44" s="86" t="str">
        <f>IF('②-1職員名簿'!E44="","",'②-1職員名簿'!Y44)</f>
        <v/>
      </c>
      <c r="C44" s="88" t="str">
        <f>'②-1職員名簿'!BE44</f>
        <v/>
      </c>
      <c r="D44" s="117" t="str">
        <f t="shared" si="9"/>
        <v/>
      </c>
      <c r="E44" s="18" t="str">
        <f>IF($B44="","",IF(AND('②-1職員名簿'!C44="正",'②-1職員名簿'!D44="常"),"正規職員","契約上の就業時間を記載"))</f>
        <v/>
      </c>
      <c r="F44" s="9" t="str">
        <f>IF($B44="","",IF(OR('②-1職員名簿'!AC44="○",'②-1職員名簿'!AC44="●"),IF($E44="正規職員","正",IF($E44="契約上の就業時間を記載","","見込を入力")),"-"))</f>
        <v/>
      </c>
      <c r="G44" s="9" t="str">
        <f>IF($B44="","",IF(OR('②-1職員名簿'!AD44="○",'②-1職員名簿'!AD44="●"),IF($E44="正規職員","正",IF($E44="契約上の就業時間を記載","","実績を入力")),"-"))</f>
        <v/>
      </c>
      <c r="H44" s="9" t="str">
        <f>IF($B44="","",IF(OR('②-1職員名簿'!AE44="○",'②-1職員名簿'!AE44="●"),IF($E44="正規職員","正",IF($E44="契約上の就業時間を記載","","実績を入力")),"-"))</f>
        <v/>
      </c>
      <c r="I44" s="9" t="str">
        <f>IF($B44="","",IF(OR('②-1職員名簿'!AF44="○",'②-1職員名簿'!AF44="●"),IF($E44="正規職員","正",IF($E44="契約上の就業時間を記載","","実績を入力")),"-"))</f>
        <v/>
      </c>
      <c r="J44" s="9" t="str">
        <f>IF($B44="","",IF(OR('②-1職員名簿'!AG44="○",'②-1職員名簿'!AG44="●"),IF($E44="正規職員","正",IF($E44="契約上の就業時間を記載","","実績を入力")),"-"))</f>
        <v/>
      </c>
      <c r="K44" s="9" t="str">
        <f>IF($B44="","",IF(OR('②-1職員名簿'!AH44="○",'②-1職員名簿'!AH44="●"),IF($E44="正規職員","正",IF($E44="契約上の就業時間を記載","","実績を入力")),"-"))</f>
        <v/>
      </c>
      <c r="L44" s="9" t="str">
        <f>IF($B44="","",IF(OR('②-1職員名簿'!AI44="○",'②-1職員名簿'!AI44="●"),IF($E44="正規職員","正",IF($E44="契約上の就業時間を記載","","実績を入力")),"-"))</f>
        <v/>
      </c>
      <c r="M44" s="9" t="str">
        <f>IF($B44="","",IF(OR('②-1職員名簿'!AJ44="○",'②-1職員名簿'!AJ44="●"),IF($E44="正規職員","正",IF($E44="契約上の就業時間を記載","","実績を入力")),"-"))</f>
        <v/>
      </c>
      <c r="N44" s="9" t="str">
        <f>IF($B44="","",IF(OR('②-1職員名簿'!AK44="○",'②-1職員名簿'!AK44="●"),IF($E44="正規職員","正",IF($E44="契約上の就業時間を記載","","実績を入力")),"-"))</f>
        <v/>
      </c>
      <c r="O44" s="9" t="str">
        <f>IF($B44="","",IF(OR('②-1職員名簿'!AL44="○",'②-1職員名簿'!AL44="●"),IF($E44="正規職員","正",IF($E44="契約上の就業時間を記載","","実績を入力")),"-"))</f>
        <v/>
      </c>
      <c r="P44" s="9" t="str">
        <f>IF($B44="","",IF(OR('②-1職員名簿'!AM44="○",'②-1職員名簿'!AM44="●"),IF($E44="正規職員","正",IF($E44="契約上の就業時間を記載","","実績を入力")),"-"))</f>
        <v/>
      </c>
      <c r="Q44" s="9" t="str">
        <f>IF($B44="","",IF(OR('②-1職員名簿'!AN44="○",'②-1職員名簿'!AN44="●"),IF($E44="正規職員","正",IF($E44="契約上の就業時間を記載","","見込を入力")),"-"))</f>
        <v/>
      </c>
      <c r="R44" s="88" t="str">
        <f>IF($B44="","",IF(OR('②-1職員名簿'!AC44="○",'②-1職員名簿'!AC44="●"),IF($E44="正規職員","正",IF($E44="契約上の就業時間を記載","",IF($E44&gt;=F$5,"常",F44))),"-"))</f>
        <v/>
      </c>
      <c r="S44" s="88" t="str">
        <f>IF($B44="","",IF(OR('②-1職員名簿'!AD44="○",'②-1職員名簿'!AD44="●"),IF($E44="正規職員","正",IF($E44="契約上の就業時間を記載","",IF($E44&gt;=G$5,"常",G44))),"-"))</f>
        <v/>
      </c>
      <c r="T44" s="88" t="str">
        <f>IF($B44="","",IF(OR('②-1職員名簿'!AE44="○",'②-1職員名簿'!AE44="●"),IF($E44="正規職員","正",IF($E44="契約上の就業時間を記載","",IF($E44&gt;=H$5,"常",H44))),"-"))</f>
        <v/>
      </c>
      <c r="U44" s="88" t="str">
        <f>IF($B44="","",IF(OR('②-1職員名簿'!AF44="○",'②-1職員名簿'!AF44="●"),IF($E44="正規職員","正",IF($E44="契約上の就業時間を記載","",IF($E44&gt;=I$5,"常",I44))),"-"))</f>
        <v/>
      </c>
      <c r="V44" s="88" t="str">
        <f>IF($B44="","",IF(OR('②-1職員名簿'!AG44="○",'②-1職員名簿'!AG44="●"),IF($E44="正規職員","正",IF($E44="契約上の就業時間を記載","",IF($E44&gt;=J$5,"常",J44))),"-"))</f>
        <v/>
      </c>
      <c r="W44" s="88" t="str">
        <f>IF($B44="","",IF(OR('②-1職員名簿'!AH44="○",'②-1職員名簿'!AH44="●"),IF($E44="正規職員","正",IF($E44="契約上の就業時間を記載","",IF($E44&gt;=K$5,"常",K44))),"-"))</f>
        <v/>
      </c>
      <c r="X44" s="88" t="str">
        <f>IF($B44="","",IF(OR('②-1職員名簿'!AI44="○",'②-1職員名簿'!AI44="●"),IF($E44="正規職員","正",IF($E44="契約上の就業時間を記載","",IF($E44&gt;=L$5,"常",L44))),"-"))</f>
        <v/>
      </c>
      <c r="Y44" s="88" t="str">
        <f>IF($B44="","",IF(OR('②-1職員名簿'!AJ44="○",'②-1職員名簿'!AJ44="●"),IF($E44="正規職員","正",IF($E44="契約上の就業時間を記載","",IF($E44&gt;=M$5,"常",M44))),"-"))</f>
        <v/>
      </c>
      <c r="Z44" s="88" t="str">
        <f>IF($B44="","",IF(OR('②-1職員名簿'!AK44="○",'②-1職員名簿'!AK44="●"),IF($E44="正規職員","正",IF($E44="契約上の就業時間を記載","",IF($E44&gt;=N$5,"常",N44))),"-"))</f>
        <v/>
      </c>
      <c r="AA44" s="88" t="str">
        <f>IF($B44="","",IF(OR('②-1職員名簿'!AL44="○",'②-1職員名簿'!AL44="●"),IF($E44="正規職員","正",IF($E44="契約上の就業時間を記載","",IF($E44&gt;=O$5,"常",O44))),"-"))</f>
        <v/>
      </c>
      <c r="AB44" s="88" t="str">
        <f>IF($B44="","",IF(OR('②-1職員名簿'!AM44="○",'②-1職員名簿'!AM44="●"),IF($E44="正規職員","正",IF($E44="契約上の就業時間を記載","",IF($E44&gt;=P$5,"常",P44))),"-"))</f>
        <v/>
      </c>
      <c r="AC44" s="88" t="str">
        <f>IF($B44="","",IF(OR('②-1職員名簿'!AN44="○",'②-1職員名簿'!AN44="●"),IF($E44="正規職員","正",IF($E44="契約上の就業時間を記載","",IF($E44&gt;=Q$5,"常",Q44))),"-"))</f>
        <v/>
      </c>
      <c r="AE44" s="86" t="str">
        <f>IF('②-1職員名簿'!W44="","",'②-1職員名簿'!W44)</f>
        <v/>
      </c>
      <c r="AJ44" s="17" t="str">
        <f t="shared" si="12"/>
        <v>○</v>
      </c>
      <c r="AK44" s="17" t="str">
        <f t="shared" si="13"/>
        <v>○</v>
      </c>
      <c r="AL44" s="17" t="str">
        <f t="shared" si="14"/>
        <v>○</v>
      </c>
      <c r="AM44" s="17" t="str">
        <f t="shared" si="15"/>
        <v>○</v>
      </c>
      <c r="AN44" s="17" t="str">
        <f t="shared" si="16"/>
        <v>○</v>
      </c>
      <c r="AO44" s="17" t="str">
        <f t="shared" si="17"/>
        <v>○</v>
      </c>
      <c r="AP44" s="17" t="str">
        <f t="shared" si="18"/>
        <v>○</v>
      </c>
      <c r="AQ44" s="17" t="str">
        <f t="shared" si="19"/>
        <v>○</v>
      </c>
      <c r="AR44" s="17" t="str">
        <f t="shared" si="20"/>
        <v>○</v>
      </c>
      <c r="AS44" s="17" t="str">
        <f t="shared" si="21"/>
        <v>○</v>
      </c>
      <c r="AT44" s="17" t="str">
        <f t="shared" si="22"/>
        <v>○</v>
      </c>
      <c r="AU44" s="17" t="str">
        <f t="shared" si="23"/>
        <v>○</v>
      </c>
    </row>
    <row r="45" spans="1:47" s="90" customFormat="1" ht="23.15" customHeight="1">
      <c r="A45" s="87">
        <v>39</v>
      </c>
      <c r="B45" s="86" t="str">
        <f>IF('②-1職員名簿'!E45="","",'②-1職員名簿'!Y45)</f>
        <v/>
      </c>
      <c r="C45" s="88" t="str">
        <f>'②-1職員名簿'!BE45</f>
        <v/>
      </c>
      <c r="D45" s="117" t="str">
        <f t="shared" si="9"/>
        <v/>
      </c>
      <c r="E45" s="18" t="str">
        <f>IF($B45="","",IF(AND('②-1職員名簿'!C45="正",'②-1職員名簿'!D45="常"),"正規職員","契約上の就業時間を記載"))</f>
        <v/>
      </c>
      <c r="F45" s="9" t="str">
        <f>IF($B45="","",IF(OR('②-1職員名簿'!AC45="○",'②-1職員名簿'!AC45="●"),IF($E45="正規職員","正",IF($E45="契約上の就業時間を記載","","見込を入力")),"-"))</f>
        <v/>
      </c>
      <c r="G45" s="9" t="str">
        <f>IF($B45="","",IF(OR('②-1職員名簿'!AD45="○",'②-1職員名簿'!AD45="●"),IF($E45="正規職員","正",IF($E45="契約上の就業時間を記載","","実績を入力")),"-"))</f>
        <v/>
      </c>
      <c r="H45" s="9" t="str">
        <f>IF($B45="","",IF(OR('②-1職員名簿'!AE45="○",'②-1職員名簿'!AE45="●"),IF($E45="正規職員","正",IF($E45="契約上の就業時間を記載","","実績を入力")),"-"))</f>
        <v/>
      </c>
      <c r="I45" s="9" t="str">
        <f>IF($B45="","",IF(OR('②-1職員名簿'!AF45="○",'②-1職員名簿'!AF45="●"),IF($E45="正規職員","正",IF($E45="契約上の就業時間を記載","","実績を入力")),"-"))</f>
        <v/>
      </c>
      <c r="J45" s="9" t="str">
        <f>IF($B45="","",IF(OR('②-1職員名簿'!AG45="○",'②-1職員名簿'!AG45="●"),IF($E45="正規職員","正",IF($E45="契約上の就業時間を記載","","実績を入力")),"-"))</f>
        <v/>
      </c>
      <c r="K45" s="9" t="str">
        <f>IF($B45="","",IF(OR('②-1職員名簿'!AH45="○",'②-1職員名簿'!AH45="●"),IF($E45="正規職員","正",IF($E45="契約上の就業時間を記載","","実績を入力")),"-"))</f>
        <v/>
      </c>
      <c r="L45" s="9" t="str">
        <f>IF($B45="","",IF(OR('②-1職員名簿'!AI45="○",'②-1職員名簿'!AI45="●"),IF($E45="正規職員","正",IF($E45="契約上の就業時間を記載","","実績を入力")),"-"))</f>
        <v/>
      </c>
      <c r="M45" s="9" t="str">
        <f>IF($B45="","",IF(OR('②-1職員名簿'!AJ45="○",'②-1職員名簿'!AJ45="●"),IF($E45="正規職員","正",IF($E45="契約上の就業時間を記載","","実績を入力")),"-"))</f>
        <v/>
      </c>
      <c r="N45" s="9" t="str">
        <f>IF($B45="","",IF(OR('②-1職員名簿'!AK45="○",'②-1職員名簿'!AK45="●"),IF($E45="正規職員","正",IF($E45="契約上の就業時間を記載","","実績を入力")),"-"))</f>
        <v/>
      </c>
      <c r="O45" s="9" t="str">
        <f>IF($B45="","",IF(OR('②-1職員名簿'!AL45="○",'②-1職員名簿'!AL45="●"),IF($E45="正規職員","正",IF($E45="契約上の就業時間を記載","","実績を入力")),"-"))</f>
        <v/>
      </c>
      <c r="P45" s="9" t="str">
        <f>IF($B45="","",IF(OR('②-1職員名簿'!AM45="○",'②-1職員名簿'!AM45="●"),IF($E45="正規職員","正",IF($E45="契約上の就業時間を記載","","実績を入力")),"-"))</f>
        <v/>
      </c>
      <c r="Q45" s="9" t="str">
        <f>IF($B45="","",IF(OR('②-1職員名簿'!AN45="○",'②-1職員名簿'!AN45="●"),IF($E45="正規職員","正",IF($E45="契約上の就業時間を記載","","見込を入力")),"-"))</f>
        <v/>
      </c>
      <c r="R45" s="88" t="str">
        <f>IF($B45="","",IF(OR('②-1職員名簿'!AC45="○",'②-1職員名簿'!AC45="●"),IF($E45="正規職員","正",IF($E45="契約上の就業時間を記載","",IF($E45&gt;=F$5,"常",F45))),"-"))</f>
        <v/>
      </c>
      <c r="S45" s="88" t="str">
        <f>IF($B45="","",IF(OR('②-1職員名簿'!AD45="○",'②-1職員名簿'!AD45="●"),IF($E45="正規職員","正",IF($E45="契約上の就業時間を記載","",IF($E45&gt;=G$5,"常",G45))),"-"))</f>
        <v/>
      </c>
      <c r="T45" s="88" t="str">
        <f>IF($B45="","",IF(OR('②-1職員名簿'!AE45="○",'②-1職員名簿'!AE45="●"),IF($E45="正規職員","正",IF($E45="契約上の就業時間を記載","",IF($E45&gt;=H$5,"常",H45))),"-"))</f>
        <v/>
      </c>
      <c r="U45" s="88" t="str">
        <f>IF($B45="","",IF(OR('②-1職員名簿'!AF45="○",'②-1職員名簿'!AF45="●"),IF($E45="正規職員","正",IF($E45="契約上の就業時間を記載","",IF($E45&gt;=I$5,"常",I45))),"-"))</f>
        <v/>
      </c>
      <c r="V45" s="88" t="str">
        <f>IF($B45="","",IF(OR('②-1職員名簿'!AG45="○",'②-1職員名簿'!AG45="●"),IF($E45="正規職員","正",IF($E45="契約上の就業時間を記載","",IF($E45&gt;=J$5,"常",J45))),"-"))</f>
        <v/>
      </c>
      <c r="W45" s="88" t="str">
        <f>IF($B45="","",IF(OR('②-1職員名簿'!AH45="○",'②-1職員名簿'!AH45="●"),IF($E45="正規職員","正",IF($E45="契約上の就業時間を記載","",IF($E45&gt;=K$5,"常",K45))),"-"))</f>
        <v/>
      </c>
      <c r="X45" s="88" t="str">
        <f>IF($B45="","",IF(OR('②-1職員名簿'!AI45="○",'②-1職員名簿'!AI45="●"),IF($E45="正規職員","正",IF($E45="契約上の就業時間を記載","",IF($E45&gt;=L$5,"常",L45))),"-"))</f>
        <v/>
      </c>
      <c r="Y45" s="88" t="str">
        <f>IF($B45="","",IF(OR('②-1職員名簿'!AJ45="○",'②-1職員名簿'!AJ45="●"),IF($E45="正規職員","正",IF($E45="契約上の就業時間を記載","",IF($E45&gt;=M$5,"常",M45))),"-"))</f>
        <v/>
      </c>
      <c r="Z45" s="88" t="str">
        <f>IF($B45="","",IF(OR('②-1職員名簿'!AK45="○",'②-1職員名簿'!AK45="●"),IF($E45="正規職員","正",IF($E45="契約上の就業時間を記載","",IF($E45&gt;=N$5,"常",N45))),"-"))</f>
        <v/>
      </c>
      <c r="AA45" s="88" t="str">
        <f>IF($B45="","",IF(OR('②-1職員名簿'!AL45="○",'②-1職員名簿'!AL45="●"),IF($E45="正規職員","正",IF($E45="契約上の就業時間を記載","",IF($E45&gt;=O$5,"常",O45))),"-"))</f>
        <v/>
      </c>
      <c r="AB45" s="88" t="str">
        <f>IF($B45="","",IF(OR('②-1職員名簿'!AM45="○",'②-1職員名簿'!AM45="●"),IF($E45="正規職員","正",IF($E45="契約上の就業時間を記載","",IF($E45&gt;=P$5,"常",P45))),"-"))</f>
        <v/>
      </c>
      <c r="AC45" s="88" t="str">
        <f>IF($B45="","",IF(OR('②-1職員名簿'!AN45="○",'②-1職員名簿'!AN45="●"),IF($E45="正規職員","正",IF($E45="契約上の就業時間を記載","",IF($E45&gt;=Q$5,"常",Q45))),"-"))</f>
        <v/>
      </c>
      <c r="AE45" s="86" t="str">
        <f>IF('②-1職員名簿'!W45="","",'②-1職員名簿'!W45)</f>
        <v/>
      </c>
      <c r="AJ45" s="17" t="str">
        <f t="shared" si="12"/>
        <v>○</v>
      </c>
      <c r="AK45" s="17" t="str">
        <f t="shared" si="13"/>
        <v>○</v>
      </c>
      <c r="AL45" s="17" t="str">
        <f t="shared" si="14"/>
        <v>○</v>
      </c>
      <c r="AM45" s="17" t="str">
        <f t="shared" si="15"/>
        <v>○</v>
      </c>
      <c r="AN45" s="17" t="str">
        <f t="shared" si="16"/>
        <v>○</v>
      </c>
      <c r="AO45" s="17" t="str">
        <f t="shared" si="17"/>
        <v>○</v>
      </c>
      <c r="AP45" s="17" t="str">
        <f t="shared" si="18"/>
        <v>○</v>
      </c>
      <c r="AQ45" s="17" t="str">
        <f t="shared" si="19"/>
        <v>○</v>
      </c>
      <c r="AR45" s="17" t="str">
        <f t="shared" si="20"/>
        <v>○</v>
      </c>
      <c r="AS45" s="17" t="str">
        <f t="shared" si="21"/>
        <v>○</v>
      </c>
      <c r="AT45" s="17" t="str">
        <f t="shared" si="22"/>
        <v>○</v>
      </c>
      <c r="AU45" s="17" t="str">
        <f t="shared" si="23"/>
        <v>○</v>
      </c>
    </row>
    <row r="46" spans="1:47" s="90" customFormat="1" ht="23.15" customHeight="1">
      <c r="A46" s="87">
        <v>40</v>
      </c>
      <c r="B46" s="86" t="str">
        <f>IF('②-1職員名簿'!E46="","",'②-1職員名簿'!Y46)</f>
        <v/>
      </c>
      <c r="C46" s="88" t="str">
        <f>'②-1職員名簿'!BE46</f>
        <v/>
      </c>
      <c r="D46" s="117" t="str">
        <f t="shared" si="9"/>
        <v/>
      </c>
      <c r="E46" s="18" t="str">
        <f>IF($B46="","",IF(AND('②-1職員名簿'!C46="正",'②-1職員名簿'!D46="常"),"正規職員","契約上の就業時間を記載"))</f>
        <v/>
      </c>
      <c r="F46" s="9" t="str">
        <f>IF($B46="","",IF(OR('②-1職員名簿'!AC46="○",'②-1職員名簿'!AC46="●"),IF($E46="正規職員","正",IF($E46="契約上の就業時間を記載","","見込を入力")),"-"))</f>
        <v/>
      </c>
      <c r="G46" s="9" t="str">
        <f>IF($B46="","",IF(OR('②-1職員名簿'!AD46="○",'②-1職員名簿'!AD46="●"),IF($E46="正規職員","正",IF($E46="契約上の就業時間を記載","","実績を入力")),"-"))</f>
        <v/>
      </c>
      <c r="H46" s="9" t="str">
        <f>IF($B46="","",IF(OR('②-1職員名簿'!AE46="○",'②-1職員名簿'!AE46="●"),IF($E46="正規職員","正",IF($E46="契約上の就業時間を記載","","実績を入力")),"-"))</f>
        <v/>
      </c>
      <c r="I46" s="9" t="str">
        <f>IF($B46="","",IF(OR('②-1職員名簿'!AF46="○",'②-1職員名簿'!AF46="●"),IF($E46="正規職員","正",IF($E46="契約上の就業時間を記載","","実績を入力")),"-"))</f>
        <v/>
      </c>
      <c r="J46" s="9" t="str">
        <f>IF($B46="","",IF(OR('②-1職員名簿'!AG46="○",'②-1職員名簿'!AG46="●"),IF($E46="正規職員","正",IF($E46="契約上の就業時間を記載","","実績を入力")),"-"))</f>
        <v/>
      </c>
      <c r="K46" s="9" t="str">
        <f>IF($B46="","",IF(OR('②-1職員名簿'!AH46="○",'②-1職員名簿'!AH46="●"),IF($E46="正規職員","正",IF($E46="契約上の就業時間を記載","","実績を入力")),"-"))</f>
        <v/>
      </c>
      <c r="L46" s="9" t="str">
        <f>IF($B46="","",IF(OR('②-1職員名簿'!AI46="○",'②-1職員名簿'!AI46="●"),IF($E46="正規職員","正",IF($E46="契約上の就業時間を記載","","実績を入力")),"-"))</f>
        <v/>
      </c>
      <c r="M46" s="9" t="str">
        <f>IF($B46="","",IF(OR('②-1職員名簿'!AJ46="○",'②-1職員名簿'!AJ46="●"),IF($E46="正規職員","正",IF($E46="契約上の就業時間を記載","","実績を入力")),"-"))</f>
        <v/>
      </c>
      <c r="N46" s="9" t="str">
        <f>IF($B46="","",IF(OR('②-1職員名簿'!AK46="○",'②-1職員名簿'!AK46="●"),IF($E46="正規職員","正",IF($E46="契約上の就業時間を記載","","実績を入力")),"-"))</f>
        <v/>
      </c>
      <c r="O46" s="9" t="str">
        <f>IF($B46="","",IF(OR('②-1職員名簿'!AL46="○",'②-1職員名簿'!AL46="●"),IF($E46="正規職員","正",IF($E46="契約上の就業時間を記載","","実績を入力")),"-"))</f>
        <v/>
      </c>
      <c r="P46" s="9" t="str">
        <f>IF($B46="","",IF(OR('②-1職員名簿'!AM46="○",'②-1職員名簿'!AM46="●"),IF($E46="正規職員","正",IF($E46="契約上の就業時間を記載","","実績を入力")),"-"))</f>
        <v/>
      </c>
      <c r="Q46" s="9" t="str">
        <f>IF($B46="","",IF(OR('②-1職員名簿'!AN46="○",'②-1職員名簿'!AN46="●"),IF($E46="正規職員","正",IF($E46="契約上の就業時間を記載","","見込を入力")),"-"))</f>
        <v/>
      </c>
      <c r="R46" s="88" t="str">
        <f>IF($B46="","",IF(OR('②-1職員名簿'!AC46="○",'②-1職員名簿'!AC46="●"),IF($E46="正規職員","正",IF($E46="契約上の就業時間を記載","",IF($E46&gt;=F$5,"常",F46))),"-"))</f>
        <v/>
      </c>
      <c r="S46" s="88" t="str">
        <f>IF($B46="","",IF(OR('②-1職員名簿'!AD46="○",'②-1職員名簿'!AD46="●"),IF($E46="正規職員","正",IF($E46="契約上の就業時間を記載","",IF($E46&gt;=G$5,"常",G46))),"-"))</f>
        <v/>
      </c>
      <c r="T46" s="88" t="str">
        <f>IF($B46="","",IF(OR('②-1職員名簿'!AE46="○",'②-1職員名簿'!AE46="●"),IF($E46="正規職員","正",IF($E46="契約上の就業時間を記載","",IF($E46&gt;=H$5,"常",H46))),"-"))</f>
        <v/>
      </c>
      <c r="U46" s="88" t="str">
        <f>IF($B46="","",IF(OR('②-1職員名簿'!AF46="○",'②-1職員名簿'!AF46="●"),IF($E46="正規職員","正",IF($E46="契約上の就業時間を記載","",IF($E46&gt;=I$5,"常",I46))),"-"))</f>
        <v/>
      </c>
      <c r="V46" s="88" t="str">
        <f>IF($B46="","",IF(OR('②-1職員名簿'!AG46="○",'②-1職員名簿'!AG46="●"),IF($E46="正規職員","正",IF($E46="契約上の就業時間を記載","",IF($E46&gt;=J$5,"常",J46))),"-"))</f>
        <v/>
      </c>
      <c r="W46" s="88" t="str">
        <f>IF($B46="","",IF(OR('②-1職員名簿'!AH46="○",'②-1職員名簿'!AH46="●"),IF($E46="正規職員","正",IF($E46="契約上の就業時間を記載","",IF($E46&gt;=K$5,"常",K46))),"-"))</f>
        <v/>
      </c>
      <c r="X46" s="88" t="str">
        <f>IF($B46="","",IF(OR('②-1職員名簿'!AI46="○",'②-1職員名簿'!AI46="●"),IF($E46="正規職員","正",IF($E46="契約上の就業時間を記載","",IF($E46&gt;=L$5,"常",L46))),"-"))</f>
        <v/>
      </c>
      <c r="Y46" s="88" t="str">
        <f>IF($B46="","",IF(OR('②-1職員名簿'!AJ46="○",'②-1職員名簿'!AJ46="●"),IF($E46="正規職員","正",IF($E46="契約上の就業時間を記載","",IF($E46&gt;=M$5,"常",M46))),"-"))</f>
        <v/>
      </c>
      <c r="Z46" s="88" t="str">
        <f>IF($B46="","",IF(OR('②-1職員名簿'!AK46="○",'②-1職員名簿'!AK46="●"),IF($E46="正規職員","正",IF($E46="契約上の就業時間を記載","",IF($E46&gt;=N$5,"常",N46))),"-"))</f>
        <v/>
      </c>
      <c r="AA46" s="88" t="str">
        <f>IF($B46="","",IF(OR('②-1職員名簿'!AL46="○",'②-1職員名簿'!AL46="●"),IF($E46="正規職員","正",IF($E46="契約上の就業時間を記載","",IF($E46&gt;=O$5,"常",O46))),"-"))</f>
        <v/>
      </c>
      <c r="AB46" s="88" t="str">
        <f>IF($B46="","",IF(OR('②-1職員名簿'!AM46="○",'②-1職員名簿'!AM46="●"),IF($E46="正規職員","正",IF($E46="契約上の就業時間を記載","",IF($E46&gt;=P$5,"常",P46))),"-"))</f>
        <v/>
      </c>
      <c r="AC46" s="88" t="str">
        <f>IF($B46="","",IF(OR('②-1職員名簿'!AN46="○",'②-1職員名簿'!AN46="●"),IF($E46="正規職員","正",IF($E46="契約上の就業時間を記載","",IF($E46&gt;=Q$5,"常",Q46))),"-"))</f>
        <v/>
      </c>
      <c r="AE46" s="86" t="str">
        <f>IF('②-1職員名簿'!W46="","",'②-1職員名簿'!W46)</f>
        <v/>
      </c>
      <c r="AJ46" s="17" t="str">
        <f t="shared" si="12"/>
        <v>○</v>
      </c>
      <c r="AK46" s="17" t="str">
        <f t="shared" si="13"/>
        <v>○</v>
      </c>
      <c r="AL46" s="17" t="str">
        <f t="shared" si="14"/>
        <v>○</v>
      </c>
      <c r="AM46" s="17" t="str">
        <f t="shared" si="15"/>
        <v>○</v>
      </c>
      <c r="AN46" s="17" t="str">
        <f t="shared" si="16"/>
        <v>○</v>
      </c>
      <c r="AO46" s="17" t="str">
        <f t="shared" si="17"/>
        <v>○</v>
      </c>
      <c r="AP46" s="17" t="str">
        <f t="shared" si="18"/>
        <v>○</v>
      </c>
      <c r="AQ46" s="17" t="str">
        <f t="shared" si="19"/>
        <v>○</v>
      </c>
      <c r="AR46" s="17" t="str">
        <f t="shared" si="20"/>
        <v>○</v>
      </c>
      <c r="AS46" s="17" t="str">
        <f t="shared" si="21"/>
        <v>○</v>
      </c>
      <c r="AT46" s="17" t="str">
        <f t="shared" si="22"/>
        <v>○</v>
      </c>
      <c r="AU46" s="17" t="str">
        <f t="shared" si="23"/>
        <v>○</v>
      </c>
    </row>
    <row r="47" spans="1:47" s="90" customFormat="1" ht="23.15" customHeight="1">
      <c r="A47" s="87">
        <v>41</v>
      </c>
      <c r="B47" s="86" t="str">
        <f>IF('②-1職員名簿'!E47="","",'②-1職員名簿'!Y47)</f>
        <v/>
      </c>
      <c r="C47" s="88" t="str">
        <f>'②-1職員名簿'!BE47</f>
        <v/>
      </c>
      <c r="D47" s="117" t="str">
        <f t="shared" si="9"/>
        <v/>
      </c>
      <c r="E47" s="18" t="str">
        <f>IF($B47="","",IF(AND('②-1職員名簿'!C47="正",'②-1職員名簿'!D47="常"),"正規職員","契約上の就業時間を記載"))</f>
        <v/>
      </c>
      <c r="F47" s="9" t="str">
        <f>IF($B47="","",IF(OR('②-1職員名簿'!AC47="○",'②-1職員名簿'!AC47="●"),IF($E47="正規職員","正",IF($E47="契約上の就業時間を記載","","見込を入力")),"-"))</f>
        <v/>
      </c>
      <c r="G47" s="9" t="str">
        <f>IF($B47="","",IF(OR('②-1職員名簿'!AD47="○",'②-1職員名簿'!AD47="●"),IF($E47="正規職員","正",IF($E47="契約上の就業時間を記載","","実績を入力")),"-"))</f>
        <v/>
      </c>
      <c r="H47" s="9" t="str">
        <f>IF($B47="","",IF(OR('②-1職員名簿'!AE47="○",'②-1職員名簿'!AE47="●"),IF($E47="正規職員","正",IF($E47="契約上の就業時間を記載","","実績を入力")),"-"))</f>
        <v/>
      </c>
      <c r="I47" s="9" t="str">
        <f>IF($B47="","",IF(OR('②-1職員名簿'!AF47="○",'②-1職員名簿'!AF47="●"),IF($E47="正規職員","正",IF($E47="契約上の就業時間を記載","","実績を入力")),"-"))</f>
        <v/>
      </c>
      <c r="J47" s="9" t="str">
        <f>IF($B47="","",IF(OR('②-1職員名簿'!AG47="○",'②-1職員名簿'!AG47="●"),IF($E47="正規職員","正",IF($E47="契約上の就業時間を記載","","実績を入力")),"-"))</f>
        <v/>
      </c>
      <c r="K47" s="9" t="str">
        <f>IF($B47="","",IF(OR('②-1職員名簿'!AH47="○",'②-1職員名簿'!AH47="●"),IF($E47="正規職員","正",IF($E47="契約上の就業時間を記載","","実績を入力")),"-"))</f>
        <v/>
      </c>
      <c r="L47" s="9" t="str">
        <f>IF($B47="","",IF(OR('②-1職員名簿'!AI47="○",'②-1職員名簿'!AI47="●"),IF($E47="正規職員","正",IF($E47="契約上の就業時間を記載","","実績を入力")),"-"))</f>
        <v/>
      </c>
      <c r="M47" s="9" t="str">
        <f>IF($B47="","",IF(OR('②-1職員名簿'!AJ47="○",'②-1職員名簿'!AJ47="●"),IF($E47="正規職員","正",IF($E47="契約上の就業時間を記載","","実績を入力")),"-"))</f>
        <v/>
      </c>
      <c r="N47" s="9" t="str">
        <f>IF($B47="","",IF(OR('②-1職員名簿'!AK47="○",'②-1職員名簿'!AK47="●"),IF($E47="正規職員","正",IF($E47="契約上の就業時間を記載","","実績を入力")),"-"))</f>
        <v/>
      </c>
      <c r="O47" s="9" t="str">
        <f>IF($B47="","",IF(OR('②-1職員名簿'!AL47="○",'②-1職員名簿'!AL47="●"),IF($E47="正規職員","正",IF($E47="契約上の就業時間を記載","","実績を入力")),"-"))</f>
        <v/>
      </c>
      <c r="P47" s="9" t="str">
        <f>IF($B47="","",IF(OR('②-1職員名簿'!AM47="○",'②-1職員名簿'!AM47="●"),IF($E47="正規職員","正",IF($E47="契約上の就業時間を記載","","実績を入力")),"-"))</f>
        <v/>
      </c>
      <c r="Q47" s="9" t="str">
        <f>IF($B47="","",IF(OR('②-1職員名簿'!AN47="○",'②-1職員名簿'!AN47="●"),IF($E47="正規職員","正",IF($E47="契約上の就業時間を記載","","見込を入力")),"-"))</f>
        <v/>
      </c>
      <c r="R47" s="88" t="str">
        <f>IF($B47="","",IF(OR('②-1職員名簿'!AC47="○",'②-1職員名簿'!AC47="●"),IF($E47="正規職員","正",IF($E47="契約上の就業時間を記載","",IF($E47&gt;=F$5,"常",F47))),"-"))</f>
        <v/>
      </c>
      <c r="S47" s="88" t="str">
        <f>IF($B47="","",IF(OR('②-1職員名簿'!AD47="○",'②-1職員名簿'!AD47="●"),IF($E47="正規職員","正",IF($E47="契約上の就業時間を記載","",IF($E47&gt;=G$5,"常",G47))),"-"))</f>
        <v/>
      </c>
      <c r="T47" s="88" t="str">
        <f>IF($B47="","",IF(OR('②-1職員名簿'!AE47="○",'②-1職員名簿'!AE47="●"),IF($E47="正規職員","正",IF($E47="契約上の就業時間を記載","",IF($E47&gt;=H$5,"常",H47))),"-"))</f>
        <v/>
      </c>
      <c r="U47" s="88" t="str">
        <f>IF($B47="","",IF(OR('②-1職員名簿'!AF47="○",'②-1職員名簿'!AF47="●"),IF($E47="正規職員","正",IF($E47="契約上の就業時間を記載","",IF($E47&gt;=I$5,"常",I47))),"-"))</f>
        <v/>
      </c>
      <c r="V47" s="88" t="str">
        <f>IF($B47="","",IF(OR('②-1職員名簿'!AG47="○",'②-1職員名簿'!AG47="●"),IF($E47="正規職員","正",IF($E47="契約上の就業時間を記載","",IF($E47&gt;=J$5,"常",J47))),"-"))</f>
        <v/>
      </c>
      <c r="W47" s="88" t="str">
        <f>IF($B47="","",IF(OR('②-1職員名簿'!AH47="○",'②-1職員名簿'!AH47="●"),IF($E47="正規職員","正",IF($E47="契約上の就業時間を記載","",IF($E47&gt;=K$5,"常",K47))),"-"))</f>
        <v/>
      </c>
      <c r="X47" s="88" t="str">
        <f>IF($B47="","",IF(OR('②-1職員名簿'!AI47="○",'②-1職員名簿'!AI47="●"),IF($E47="正規職員","正",IF($E47="契約上の就業時間を記載","",IF($E47&gt;=L$5,"常",L47))),"-"))</f>
        <v/>
      </c>
      <c r="Y47" s="88" t="str">
        <f>IF($B47="","",IF(OR('②-1職員名簿'!AJ47="○",'②-1職員名簿'!AJ47="●"),IF($E47="正規職員","正",IF($E47="契約上の就業時間を記載","",IF($E47&gt;=M$5,"常",M47))),"-"))</f>
        <v/>
      </c>
      <c r="Z47" s="88" t="str">
        <f>IF($B47="","",IF(OR('②-1職員名簿'!AK47="○",'②-1職員名簿'!AK47="●"),IF($E47="正規職員","正",IF($E47="契約上の就業時間を記載","",IF($E47&gt;=N$5,"常",N47))),"-"))</f>
        <v/>
      </c>
      <c r="AA47" s="88" t="str">
        <f>IF($B47="","",IF(OR('②-1職員名簿'!AL47="○",'②-1職員名簿'!AL47="●"),IF($E47="正規職員","正",IF($E47="契約上の就業時間を記載","",IF($E47&gt;=O$5,"常",O47))),"-"))</f>
        <v/>
      </c>
      <c r="AB47" s="88" t="str">
        <f>IF($B47="","",IF(OR('②-1職員名簿'!AM47="○",'②-1職員名簿'!AM47="●"),IF($E47="正規職員","正",IF($E47="契約上の就業時間を記載","",IF($E47&gt;=P$5,"常",P47))),"-"))</f>
        <v/>
      </c>
      <c r="AC47" s="88" t="str">
        <f>IF($B47="","",IF(OR('②-1職員名簿'!AN47="○",'②-1職員名簿'!AN47="●"),IF($E47="正規職員","正",IF($E47="契約上の就業時間を記載","",IF($E47&gt;=Q$5,"常",Q47))),"-"))</f>
        <v/>
      </c>
      <c r="AE47" s="86" t="str">
        <f>IF('②-1職員名簿'!W47="","",'②-1職員名簿'!W47)</f>
        <v/>
      </c>
      <c r="AJ47" s="17" t="str">
        <f t="shared" si="12"/>
        <v>○</v>
      </c>
      <c r="AK47" s="17" t="str">
        <f t="shared" si="13"/>
        <v>○</v>
      </c>
      <c r="AL47" s="17" t="str">
        <f t="shared" si="14"/>
        <v>○</v>
      </c>
      <c r="AM47" s="17" t="str">
        <f t="shared" si="15"/>
        <v>○</v>
      </c>
      <c r="AN47" s="17" t="str">
        <f t="shared" si="16"/>
        <v>○</v>
      </c>
      <c r="AO47" s="17" t="str">
        <f t="shared" si="17"/>
        <v>○</v>
      </c>
      <c r="AP47" s="17" t="str">
        <f t="shared" si="18"/>
        <v>○</v>
      </c>
      <c r="AQ47" s="17" t="str">
        <f t="shared" si="19"/>
        <v>○</v>
      </c>
      <c r="AR47" s="17" t="str">
        <f t="shared" si="20"/>
        <v>○</v>
      </c>
      <c r="AS47" s="17" t="str">
        <f t="shared" si="21"/>
        <v>○</v>
      </c>
      <c r="AT47" s="17" t="str">
        <f t="shared" si="22"/>
        <v>○</v>
      </c>
      <c r="AU47" s="17" t="str">
        <f t="shared" si="23"/>
        <v>○</v>
      </c>
    </row>
    <row r="48" spans="1:47" s="90" customFormat="1" ht="23.15" customHeight="1">
      <c r="A48" s="87">
        <v>42</v>
      </c>
      <c r="B48" s="86" t="str">
        <f>IF('②-1職員名簿'!E48="","",'②-1職員名簿'!Y48)</f>
        <v/>
      </c>
      <c r="C48" s="88" t="str">
        <f>'②-1職員名簿'!BE48</f>
        <v/>
      </c>
      <c r="D48" s="117" t="str">
        <f t="shared" si="9"/>
        <v/>
      </c>
      <c r="E48" s="18" t="str">
        <f>IF($B48="","",IF(AND('②-1職員名簿'!C48="正",'②-1職員名簿'!D48="常"),"正規職員","契約上の就業時間を記載"))</f>
        <v/>
      </c>
      <c r="F48" s="9" t="str">
        <f>IF($B48="","",IF(OR('②-1職員名簿'!AC48="○",'②-1職員名簿'!AC48="●"),IF($E48="正規職員","正",IF($E48="契約上の就業時間を記載","","見込を入力")),"-"))</f>
        <v/>
      </c>
      <c r="G48" s="9" t="str">
        <f>IF($B48="","",IF(OR('②-1職員名簿'!AD48="○",'②-1職員名簿'!AD48="●"),IF($E48="正規職員","正",IF($E48="契約上の就業時間を記載","","実績を入力")),"-"))</f>
        <v/>
      </c>
      <c r="H48" s="9" t="str">
        <f>IF($B48="","",IF(OR('②-1職員名簿'!AE48="○",'②-1職員名簿'!AE48="●"),IF($E48="正規職員","正",IF($E48="契約上の就業時間を記載","","実績を入力")),"-"))</f>
        <v/>
      </c>
      <c r="I48" s="9" t="str">
        <f>IF($B48="","",IF(OR('②-1職員名簿'!AF48="○",'②-1職員名簿'!AF48="●"),IF($E48="正規職員","正",IF($E48="契約上の就業時間を記載","","実績を入力")),"-"))</f>
        <v/>
      </c>
      <c r="J48" s="9" t="str">
        <f>IF($B48="","",IF(OR('②-1職員名簿'!AG48="○",'②-1職員名簿'!AG48="●"),IF($E48="正規職員","正",IF($E48="契約上の就業時間を記載","","実績を入力")),"-"))</f>
        <v/>
      </c>
      <c r="K48" s="9" t="str">
        <f>IF($B48="","",IF(OR('②-1職員名簿'!AH48="○",'②-1職員名簿'!AH48="●"),IF($E48="正規職員","正",IF($E48="契約上の就業時間を記載","","実績を入力")),"-"))</f>
        <v/>
      </c>
      <c r="L48" s="9" t="str">
        <f>IF($B48="","",IF(OR('②-1職員名簿'!AI48="○",'②-1職員名簿'!AI48="●"),IF($E48="正規職員","正",IF($E48="契約上の就業時間を記載","","実績を入力")),"-"))</f>
        <v/>
      </c>
      <c r="M48" s="9" t="str">
        <f>IF($B48="","",IF(OR('②-1職員名簿'!AJ48="○",'②-1職員名簿'!AJ48="●"),IF($E48="正規職員","正",IF($E48="契約上の就業時間を記載","","実績を入力")),"-"))</f>
        <v/>
      </c>
      <c r="N48" s="9" t="str">
        <f>IF($B48="","",IF(OR('②-1職員名簿'!AK48="○",'②-1職員名簿'!AK48="●"),IF($E48="正規職員","正",IF($E48="契約上の就業時間を記載","","実績を入力")),"-"))</f>
        <v/>
      </c>
      <c r="O48" s="9" t="str">
        <f>IF($B48="","",IF(OR('②-1職員名簿'!AL48="○",'②-1職員名簿'!AL48="●"),IF($E48="正規職員","正",IF($E48="契約上の就業時間を記載","","実績を入力")),"-"))</f>
        <v/>
      </c>
      <c r="P48" s="9" t="str">
        <f>IF($B48="","",IF(OR('②-1職員名簿'!AM48="○",'②-1職員名簿'!AM48="●"),IF($E48="正規職員","正",IF($E48="契約上の就業時間を記載","","実績を入力")),"-"))</f>
        <v/>
      </c>
      <c r="Q48" s="9" t="str">
        <f>IF($B48="","",IF(OR('②-1職員名簿'!AN48="○",'②-1職員名簿'!AN48="●"),IF($E48="正規職員","正",IF($E48="契約上の就業時間を記載","","見込を入力")),"-"))</f>
        <v/>
      </c>
      <c r="R48" s="88" t="str">
        <f>IF($B48="","",IF(OR('②-1職員名簿'!AC48="○",'②-1職員名簿'!AC48="●"),IF($E48="正規職員","正",IF($E48="契約上の就業時間を記載","",IF($E48&gt;=F$5,"常",F48))),"-"))</f>
        <v/>
      </c>
      <c r="S48" s="88" t="str">
        <f>IF($B48="","",IF(OR('②-1職員名簿'!AD48="○",'②-1職員名簿'!AD48="●"),IF($E48="正規職員","正",IF($E48="契約上の就業時間を記載","",IF($E48&gt;=G$5,"常",G48))),"-"))</f>
        <v/>
      </c>
      <c r="T48" s="88" t="str">
        <f>IF($B48="","",IF(OR('②-1職員名簿'!AE48="○",'②-1職員名簿'!AE48="●"),IF($E48="正規職員","正",IF($E48="契約上の就業時間を記載","",IF($E48&gt;=H$5,"常",H48))),"-"))</f>
        <v/>
      </c>
      <c r="U48" s="88" t="str">
        <f>IF($B48="","",IF(OR('②-1職員名簿'!AF48="○",'②-1職員名簿'!AF48="●"),IF($E48="正規職員","正",IF($E48="契約上の就業時間を記載","",IF($E48&gt;=I$5,"常",I48))),"-"))</f>
        <v/>
      </c>
      <c r="V48" s="88" t="str">
        <f>IF($B48="","",IF(OR('②-1職員名簿'!AG48="○",'②-1職員名簿'!AG48="●"),IF($E48="正規職員","正",IF($E48="契約上の就業時間を記載","",IF($E48&gt;=J$5,"常",J48))),"-"))</f>
        <v/>
      </c>
      <c r="W48" s="88" t="str">
        <f>IF($B48="","",IF(OR('②-1職員名簿'!AH48="○",'②-1職員名簿'!AH48="●"),IF($E48="正規職員","正",IF($E48="契約上の就業時間を記載","",IF($E48&gt;=K$5,"常",K48))),"-"))</f>
        <v/>
      </c>
      <c r="X48" s="88" t="str">
        <f>IF($B48="","",IF(OR('②-1職員名簿'!AI48="○",'②-1職員名簿'!AI48="●"),IF($E48="正規職員","正",IF($E48="契約上の就業時間を記載","",IF($E48&gt;=L$5,"常",L48))),"-"))</f>
        <v/>
      </c>
      <c r="Y48" s="88" t="str">
        <f>IF($B48="","",IF(OR('②-1職員名簿'!AJ48="○",'②-1職員名簿'!AJ48="●"),IF($E48="正規職員","正",IF($E48="契約上の就業時間を記載","",IF($E48&gt;=M$5,"常",M48))),"-"))</f>
        <v/>
      </c>
      <c r="Z48" s="88" t="str">
        <f>IF($B48="","",IF(OR('②-1職員名簿'!AK48="○",'②-1職員名簿'!AK48="●"),IF($E48="正規職員","正",IF($E48="契約上の就業時間を記載","",IF($E48&gt;=N$5,"常",N48))),"-"))</f>
        <v/>
      </c>
      <c r="AA48" s="88" t="str">
        <f>IF($B48="","",IF(OR('②-1職員名簿'!AL48="○",'②-1職員名簿'!AL48="●"),IF($E48="正規職員","正",IF($E48="契約上の就業時間を記載","",IF($E48&gt;=O$5,"常",O48))),"-"))</f>
        <v/>
      </c>
      <c r="AB48" s="88" t="str">
        <f>IF($B48="","",IF(OR('②-1職員名簿'!AM48="○",'②-1職員名簿'!AM48="●"),IF($E48="正規職員","正",IF($E48="契約上の就業時間を記載","",IF($E48&gt;=P$5,"常",P48))),"-"))</f>
        <v/>
      </c>
      <c r="AC48" s="88" t="str">
        <f>IF($B48="","",IF(OR('②-1職員名簿'!AN48="○",'②-1職員名簿'!AN48="●"),IF($E48="正規職員","正",IF($E48="契約上の就業時間を記載","",IF($E48&gt;=Q$5,"常",Q48))),"-"))</f>
        <v/>
      </c>
      <c r="AE48" s="86" t="str">
        <f>IF('②-1職員名簿'!W48="","",'②-1職員名簿'!W48)</f>
        <v/>
      </c>
      <c r="AJ48" s="17" t="str">
        <f t="shared" si="12"/>
        <v>○</v>
      </c>
      <c r="AK48" s="17" t="str">
        <f t="shared" si="13"/>
        <v>○</v>
      </c>
      <c r="AL48" s="17" t="str">
        <f t="shared" si="14"/>
        <v>○</v>
      </c>
      <c r="AM48" s="17" t="str">
        <f t="shared" si="15"/>
        <v>○</v>
      </c>
      <c r="AN48" s="17" t="str">
        <f t="shared" si="16"/>
        <v>○</v>
      </c>
      <c r="AO48" s="17" t="str">
        <f t="shared" si="17"/>
        <v>○</v>
      </c>
      <c r="AP48" s="17" t="str">
        <f t="shared" si="18"/>
        <v>○</v>
      </c>
      <c r="AQ48" s="17" t="str">
        <f t="shared" si="19"/>
        <v>○</v>
      </c>
      <c r="AR48" s="17" t="str">
        <f t="shared" si="20"/>
        <v>○</v>
      </c>
      <c r="AS48" s="17" t="str">
        <f t="shared" si="21"/>
        <v>○</v>
      </c>
      <c r="AT48" s="17" t="str">
        <f t="shared" si="22"/>
        <v>○</v>
      </c>
      <c r="AU48" s="17" t="str">
        <f t="shared" si="23"/>
        <v>○</v>
      </c>
    </row>
    <row r="49" spans="1:47" s="90" customFormat="1" ht="23.15" customHeight="1">
      <c r="A49" s="87">
        <v>43</v>
      </c>
      <c r="B49" s="86" t="str">
        <f>IF('②-1職員名簿'!E49="","",'②-1職員名簿'!Y49)</f>
        <v/>
      </c>
      <c r="C49" s="88" t="str">
        <f>'②-1職員名簿'!BE49</f>
        <v/>
      </c>
      <c r="D49" s="117" t="str">
        <f t="shared" si="9"/>
        <v/>
      </c>
      <c r="E49" s="18" t="str">
        <f>IF($B49="","",IF(AND('②-1職員名簿'!C49="正",'②-1職員名簿'!D49="常"),"正規職員","契約上の就業時間を記載"))</f>
        <v/>
      </c>
      <c r="F49" s="9" t="str">
        <f>IF($B49="","",IF(OR('②-1職員名簿'!AC49="○",'②-1職員名簿'!AC49="●"),IF($E49="正規職員","正",IF($E49="契約上の就業時間を記載","","見込を入力")),"-"))</f>
        <v/>
      </c>
      <c r="G49" s="9" t="str">
        <f>IF($B49="","",IF(OR('②-1職員名簿'!AD49="○",'②-1職員名簿'!AD49="●"),IF($E49="正規職員","正",IF($E49="契約上の就業時間を記載","","実績を入力")),"-"))</f>
        <v/>
      </c>
      <c r="H49" s="9" t="str">
        <f>IF($B49="","",IF(OR('②-1職員名簿'!AE49="○",'②-1職員名簿'!AE49="●"),IF($E49="正規職員","正",IF($E49="契約上の就業時間を記載","","実績を入力")),"-"))</f>
        <v/>
      </c>
      <c r="I49" s="9" t="str">
        <f>IF($B49="","",IF(OR('②-1職員名簿'!AF49="○",'②-1職員名簿'!AF49="●"),IF($E49="正規職員","正",IF($E49="契約上の就業時間を記載","","実績を入力")),"-"))</f>
        <v/>
      </c>
      <c r="J49" s="9" t="str">
        <f>IF($B49="","",IF(OR('②-1職員名簿'!AG49="○",'②-1職員名簿'!AG49="●"),IF($E49="正規職員","正",IF($E49="契約上の就業時間を記載","","実績を入力")),"-"))</f>
        <v/>
      </c>
      <c r="K49" s="9" t="str">
        <f>IF($B49="","",IF(OR('②-1職員名簿'!AH49="○",'②-1職員名簿'!AH49="●"),IF($E49="正規職員","正",IF($E49="契約上の就業時間を記載","","実績を入力")),"-"))</f>
        <v/>
      </c>
      <c r="L49" s="9" t="str">
        <f>IF($B49="","",IF(OR('②-1職員名簿'!AI49="○",'②-1職員名簿'!AI49="●"),IF($E49="正規職員","正",IF($E49="契約上の就業時間を記載","","実績を入力")),"-"))</f>
        <v/>
      </c>
      <c r="M49" s="9" t="str">
        <f>IF($B49="","",IF(OR('②-1職員名簿'!AJ49="○",'②-1職員名簿'!AJ49="●"),IF($E49="正規職員","正",IF($E49="契約上の就業時間を記載","","実績を入力")),"-"))</f>
        <v/>
      </c>
      <c r="N49" s="9" t="str">
        <f>IF($B49="","",IF(OR('②-1職員名簿'!AK49="○",'②-1職員名簿'!AK49="●"),IF($E49="正規職員","正",IF($E49="契約上の就業時間を記載","","実績を入力")),"-"))</f>
        <v/>
      </c>
      <c r="O49" s="9" t="str">
        <f>IF($B49="","",IF(OR('②-1職員名簿'!AL49="○",'②-1職員名簿'!AL49="●"),IF($E49="正規職員","正",IF($E49="契約上の就業時間を記載","","実績を入力")),"-"))</f>
        <v/>
      </c>
      <c r="P49" s="9" t="str">
        <f>IF($B49="","",IF(OR('②-1職員名簿'!AM49="○",'②-1職員名簿'!AM49="●"),IF($E49="正規職員","正",IF($E49="契約上の就業時間を記載","","実績を入力")),"-"))</f>
        <v/>
      </c>
      <c r="Q49" s="9" t="str">
        <f>IF($B49="","",IF(OR('②-1職員名簿'!AN49="○",'②-1職員名簿'!AN49="●"),IF($E49="正規職員","正",IF($E49="契約上の就業時間を記載","","見込を入力")),"-"))</f>
        <v/>
      </c>
      <c r="R49" s="88" t="str">
        <f>IF($B49="","",IF(OR('②-1職員名簿'!AC49="○",'②-1職員名簿'!AC49="●"),IF($E49="正規職員","正",IF($E49="契約上の就業時間を記載","",IF($E49&gt;=F$5,"常",F49))),"-"))</f>
        <v/>
      </c>
      <c r="S49" s="88" t="str">
        <f>IF($B49="","",IF(OR('②-1職員名簿'!AD49="○",'②-1職員名簿'!AD49="●"),IF($E49="正規職員","正",IF($E49="契約上の就業時間を記載","",IF($E49&gt;=G$5,"常",G49))),"-"))</f>
        <v/>
      </c>
      <c r="T49" s="88" t="str">
        <f>IF($B49="","",IF(OR('②-1職員名簿'!AE49="○",'②-1職員名簿'!AE49="●"),IF($E49="正規職員","正",IF($E49="契約上の就業時間を記載","",IF($E49&gt;=H$5,"常",H49))),"-"))</f>
        <v/>
      </c>
      <c r="U49" s="88" t="str">
        <f>IF($B49="","",IF(OR('②-1職員名簿'!AF49="○",'②-1職員名簿'!AF49="●"),IF($E49="正規職員","正",IF($E49="契約上の就業時間を記載","",IF($E49&gt;=I$5,"常",I49))),"-"))</f>
        <v/>
      </c>
      <c r="V49" s="88" t="str">
        <f>IF($B49="","",IF(OR('②-1職員名簿'!AG49="○",'②-1職員名簿'!AG49="●"),IF($E49="正規職員","正",IF($E49="契約上の就業時間を記載","",IF($E49&gt;=J$5,"常",J49))),"-"))</f>
        <v/>
      </c>
      <c r="W49" s="88" t="str">
        <f>IF($B49="","",IF(OR('②-1職員名簿'!AH49="○",'②-1職員名簿'!AH49="●"),IF($E49="正規職員","正",IF($E49="契約上の就業時間を記載","",IF($E49&gt;=K$5,"常",K49))),"-"))</f>
        <v/>
      </c>
      <c r="X49" s="88" t="str">
        <f>IF($B49="","",IF(OR('②-1職員名簿'!AI49="○",'②-1職員名簿'!AI49="●"),IF($E49="正規職員","正",IF($E49="契約上の就業時間を記載","",IF($E49&gt;=L$5,"常",L49))),"-"))</f>
        <v/>
      </c>
      <c r="Y49" s="88" t="str">
        <f>IF($B49="","",IF(OR('②-1職員名簿'!AJ49="○",'②-1職員名簿'!AJ49="●"),IF($E49="正規職員","正",IF($E49="契約上の就業時間を記載","",IF($E49&gt;=M$5,"常",M49))),"-"))</f>
        <v/>
      </c>
      <c r="Z49" s="88" t="str">
        <f>IF($B49="","",IF(OR('②-1職員名簿'!AK49="○",'②-1職員名簿'!AK49="●"),IF($E49="正規職員","正",IF($E49="契約上の就業時間を記載","",IF($E49&gt;=N$5,"常",N49))),"-"))</f>
        <v/>
      </c>
      <c r="AA49" s="88" t="str">
        <f>IF($B49="","",IF(OR('②-1職員名簿'!AL49="○",'②-1職員名簿'!AL49="●"),IF($E49="正規職員","正",IF($E49="契約上の就業時間を記載","",IF($E49&gt;=O$5,"常",O49))),"-"))</f>
        <v/>
      </c>
      <c r="AB49" s="88" t="str">
        <f>IF($B49="","",IF(OR('②-1職員名簿'!AM49="○",'②-1職員名簿'!AM49="●"),IF($E49="正規職員","正",IF($E49="契約上の就業時間を記載","",IF($E49&gt;=P$5,"常",P49))),"-"))</f>
        <v/>
      </c>
      <c r="AC49" s="88" t="str">
        <f>IF($B49="","",IF(OR('②-1職員名簿'!AN49="○",'②-1職員名簿'!AN49="●"),IF($E49="正規職員","正",IF($E49="契約上の就業時間を記載","",IF($E49&gt;=Q$5,"常",Q49))),"-"))</f>
        <v/>
      </c>
      <c r="AE49" s="86" t="str">
        <f>IF('②-1職員名簿'!W49="","",'②-1職員名簿'!W49)</f>
        <v/>
      </c>
      <c r="AJ49" s="17" t="str">
        <f t="shared" si="12"/>
        <v>○</v>
      </c>
      <c r="AK49" s="17" t="str">
        <f t="shared" si="13"/>
        <v>○</v>
      </c>
      <c r="AL49" s="17" t="str">
        <f t="shared" si="14"/>
        <v>○</v>
      </c>
      <c r="AM49" s="17" t="str">
        <f t="shared" si="15"/>
        <v>○</v>
      </c>
      <c r="AN49" s="17" t="str">
        <f t="shared" si="16"/>
        <v>○</v>
      </c>
      <c r="AO49" s="17" t="str">
        <f t="shared" si="17"/>
        <v>○</v>
      </c>
      <c r="AP49" s="17" t="str">
        <f t="shared" si="18"/>
        <v>○</v>
      </c>
      <c r="AQ49" s="17" t="str">
        <f t="shared" si="19"/>
        <v>○</v>
      </c>
      <c r="AR49" s="17" t="str">
        <f t="shared" si="20"/>
        <v>○</v>
      </c>
      <c r="AS49" s="17" t="str">
        <f t="shared" si="21"/>
        <v>○</v>
      </c>
      <c r="AT49" s="17" t="str">
        <f t="shared" si="22"/>
        <v>○</v>
      </c>
      <c r="AU49" s="17" t="str">
        <f t="shared" si="23"/>
        <v>○</v>
      </c>
    </row>
    <row r="50" spans="1:47" s="90" customFormat="1" ht="23.15" customHeight="1">
      <c r="A50" s="87">
        <v>44</v>
      </c>
      <c r="B50" s="86" t="str">
        <f>IF('②-1職員名簿'!E50="","",'②-1職員名簿'!Y50)</f>
        <v/>
      </c>
      <c r="C50" s="88" t="str">
        <f>'②-1職員名簿'!BE50</f>
        <v/>
      </c>
      <c r="D50" s="117" t="str">
        <f t="shared" si="9"/>
        <v/>
      </c>
      <c r="E50" s="18" t="str">
        <f>IF($B50="","",IF(AND('②-1職員名簿'!C50="正",'②-1職員名簿'!D50="常"),"正規職員","契約上の就業時間を記載"))</f>
        <v/>
      </c>
      <c r="F50" s="9" t="str">
        <f>IF($B50="","",IF(OR('②-1職員名簿'!AC50="○",'②-1職員名簿'!AC50="●"),IF($E50="正規職員","正",IF($E50="契約上の就業時間を記載","","見込を入力")),"-"))</f>
        <v/>
      </c>
      <c r="G50" s="9" t="str">
        <f>IF($B50="","",IF(OR('②-1職員名簿'!AD50="○",'②-1職員名簿'!AD50="●"),IF($E50="正規職員","正",IF($E50="契約上の就業時間を記載","","実績を入力")),"-"))</f>
        <v/>
      </c>
      <c r="H50" s="9" t="str">
        <f>IF($B50="","",IF(OR('②-1職員名簿'!AE50="○",'②-1職員名簿'!AE50="●"),IF($E50="正規職員","正",IF($E50="契約上の就業時間を記載","","実績を入力")),"-"))</f>
        <v/>
      </c>
      <c r="I50" s="9" t="str">
        <f>IF($B50="","",IF(OR('②-1職員名簿'!AF50="○",'②-1職員名簿'!AF50="●"),IF($E50="正規職員","正",IF($E50="契約上の就業時間を記載","","実績を入力")),"-"))</f>
        <v/>
      </c>
      <c r="J50" s="9" t="str">
        <f>IF($B50="","",IF(OR('②-1職員名簿'!AG50="○",'②-1職員名簿'!AG50="●"),IF($E50="正規職員","正",IF($E50="契約上の就業時間を記載","","実績を入力")),"-"))</f>
        <v/>
      </c>
      <c r="K50" s="9" t="str">
        <f>IF($B50="","",IF(OR('②-1職員名簿'!AH50="○",'②-1職員名簿'!AH50="●"),IF($E50="正規職員","正",IF($E50="契約上の就業時間を記載","","実績を入力")),"-"))</f>
        <v/>
      </c>
      <c r="L50" s="9" t="str">
        <f>IF($B50="","",IF(OR('②-1職員名簿'!AI50="○",'②-1職員名簿'!AI50="●"),IF($E50="正規職員","正",IF($E50="契約上の就業時間を記載","","実績を入力")),"-"))</f>
        <v/>
      </c>
      <c r="M50" s="9" t="str">
        <f>IF($B50="","",IF(OR('②-1職員名簿'!AJ50="○",'②-1職員名簿'!AJ50="●"),IF($E50="正規職員","正",IF($E50="契約上の就業時間を記載","","実績を入力")),"-"))</f>
        <v/>
      </c>
      <c r="N50" s="9" t="str">
        <f>IF($B50="","",IF(OR('②-1職員名簿'!AK50="○",'②-1職員名簿'!AK50="●"),IF($E50="正規職員","正",IF($E50="契約上の就業時間を記載","","実績を入力")),"-"))</f>
        <v/>
      </c>
      <c r="O50" s="9" t="str">
        <f>IF($B50="","",IF(OR('②-1職員名簿'!AL50="○",'②-1職員名簿'!AL50="●"),IF($E50="正規職員","正",IF($E50="契約上の就業時間を記載","","実績を入力")),"-"))</f>
        <v/>
      </c>
      <c r="P50" s="9" t="str">
        <f>IF($B50="","",IF(OR('②-1職員名簿'!AM50="○",'②-1職員名簿'!AM50="●"),IF($E50="正規職員","正",IF($E50="契約上の就業時間を記載","","実績を入力")),"-"))</f>
        <v/>
      </c>
      <c r="Q50" s="9" t="str">
        <f>IF($B50="","",IF(OR('②-1職員名簿'!AN50="○",'②-1職員名簿'!AN50="●"),IF($E50="正規職員","正",IF($E50="契約上の就業時間を記載","","見込を入力")),"-"))</f>
        <v/>
      </c>
      <c r="R50" s="88" t="str">
        <f>IF($B50="","",IF(OR('②-1職員名簿'!AC50="○",'②-1職員名簿'!AC50="●"),IF($E50="正規職員","正",IF($E50="契約上の就業時間を記載","",IF($E50&gt;=F$5,"常",F50))),"-"))</f>
        <v/>
      </c>
      <c r="S50" s="88" t="str">
        <f>IF($B50="","",IF(OR('②-1職員名簿'!AD50="○",'②-1職員名簿'!AD50="●"),IF($E50="正規職員","正",IF($E50="契約上の就業時間を記載","",IF($E50&gt;=G$5,"常",G50))),"-"))</f>
        <v/>
      </c>
      <c r="T50" s="88" t="str">
        <f>IF($B50="","",IF(OR('②-1職員名簿'!AE50="○",'②-1職員名簿'!AE50="●"),IF($E50="正規職員","正",IF($E50="契約上の就業時間を記載","",IF($E50&gt;=H$5,"常",H50))),"-"))</f>
        <v/>
      </c>
      <c r="U50" s="88" t="str">
        <f>IF($B50="","",IF(OR('②-1職員名簿'!AF50="○",'②-1職員名簿'!AF50="●"),IF($E50="正規職員","正",IF($E50="契約上の就業時間を記載","",IF($E50&gt;=I$5,"常",I50))),"-"))</f>
        <v/>
      </c>
      <c r="V50" s="88" t="str">
        <f>IF($B50="","",IF(OR('②-1職員名簿'!AG50="○",'②-1職員名簿'!AG50="●"),IF($E50="正規職員","正",IF($E50="契約上の就業時間を記載","",IF($E50&gt;=J$5,"常",J50))),"-"))</f>
        <v/>
      </c>
      <c r="W50" s="88" t="str">
        <f>IF($B50="","",IF(OR('②-1職員名簿'!AH50="○",'②-1職員名簿'!AH50="●"),IF($E50="正規職員","正",IF($E50="契約上の就業時間を記載","",IF($E50&gt;=K$5,"常",K50))),"-"))</f>
        <v/>
      </c>
      <c r="X50" s="88" t="str">
        <f>IF($B50="","",IF(OR('②-1職員名簿'!AI50="○",'②-1職員名簿'!AI50="●"),IF($E50="正規職員","正",IF($E50="契約上の就業時間を記載","",IF($E50&gt;=L$5,"常",L50))),"-"))</f>
        <v/>
      </c>
      <c r="Y50" s="88" t="str">
        <f>IF($B50="","",IF(OR('②-1職員名簿'!AJ50="○",'②-1職員名簿'!AJ50="●"),IF($E50="正規職員","正",IF($E50="契約上の就業時間を記載","",IF($E50&gt;=M$5,"常",M50))),"-"))</f>
        <v/>
      </c>
      <c r="Z50" s="88" t="str">
        <f>IF($B50="","",IF(OR('②-1職員名簿'!AK50="○",'②-1職員名簿'!AK50="●"),IF($E50="正規職員","正",IF($E50="契約上の就業時間を記載","",IF($E50&gt;=N$5,"常",N50))),"-"))</f>
        <v/>
      </c>
      <c r="AA50" s="88" t="str">
        <f>IF($B50="","",IF(OR('②-1職員名簿'!AL50="○",'②-1職員名簿'!AL50="●"),IF($E50="正規職員","正",IF($E50="契約上の就業時間を記載","",IF($E50&gt;=O$5,"常",O50))),"-"))</f>
        <v/>
      </c>
      <c r="AB50" s="88" t="str">
        <f>IF($B50="","",IF(OR('②-1職員名簿'!AM50="○",'②-1職員名簿'!AM50="●"),IF($E50="正規職員","正",IF($E50="契約上の就業時間を記載","",IF($E50&gt;=P$5,"常",P50))),"-"))</f>
        <v/>
      </c>
      <c r="AC50" s="88" t="str">
        <f>IF($B50="","",IF(OR('②-1職員名簿'!AN50="○",'②-1職員名簿'!AN50="●"),IF($E50="正規職員","正",IF($E50="契約上の就業時間を記載","",IF($E50&gt;=Q$5,"常",Q50))),"-"))</f>
        <v/>
      </c>
      <c r="AE50" s="86" t="str">
        <f>IF('②-1職員名簿'!W50="","",'②-1職員名簿'!W50)</f>
        <v/>
      </c>
      <c r="AJ50" s="17" t="str">
        <f t="shared" si="12"/>
        <v>○</v>
      </c>
      <c r="AK50" s="17" t="str">
        <f t="shared" si="13"/>
        <v>○</v>
      </c>
      <c r="AL50" s="17" t="str">
        <f t="shared" si="14"/>
        <v>○</v>
      </c>
      <c r="AM50" s="17" t="str">
        <f t="shared" si="15"/>
        <v>○</v>
      </c>
      <c r="AN50" s="17" t="str">
        <f t="shared" si="16"/>
        <v>○</v>
      </c>
      <c r="AO50" s="17" t="str">
        <f t="shared" si="17"/>
        <v>○</v>
      </c>
      <c r="AP50" s="17" t="str">
        <f t="shared" si="18"/>
        <v>○</v>
      </c>
      <c r="AQ50" s="17" t="str">
        <f t="shared" si="19"/>
        <v>○</v>
      </c>
      <c r="AR50" s="17" t="str">
        <f t="shared" si="20"/>
        <v>○</v>
      </c>
      <c r="AS50" s="17" t="str">
        <f t="shared" si="21"/>
        <v>○</v>
      </c>
      <c r="AT50" s="17" t="str">
        <f t="shared" si="22"/>
        <v>○</v>
      </c>
      <c r="AU50" s="17" t="str">
        <f t="shared" si="23"/>
        <v>○</v>
      </c>
    </row>
    <row r="51" spans="1:47" s="90" customFormat="1" ht="23.15" customHeight="1">
      <c r="A51" s="87">
        <v>45</v>
      </c>
      <c r="B51" s="86" t="str">
        <f>IF('②-1職員名簿'!E51="","",'②-1職員名簿'!Y51)</f>
        <v/>
      </c>
      <c r="C51" s="88" t="str">
        <f>'②-1職員名簿'!BE51</f>
        <v/>
      </c>
      <c r="D51" s="117" t="str">
        <f t="shared" si="9"/>
        <v/>
      </c>
      <c r="E51" s="18" t="str">
        <f>IF($B51="","",IF(AND('②-1職員名簿'!C51="正",'②-1職員名簿'!D51="常"),"正規職員","契約上の就業時間を記載"))</f>
        <v/>
      </c>
      <c r="F51" s="9" t="str">
        <f>IF($B51="","",IF(OR('②-1職員名簿'!AC51="○",'②-1職員名簿'!AC51="●"),IF($E51="正規職員","正",IF($E51="契約上の就業時間を記載","","見込を入力")),"-"))</f>
        <v/>
      </c>
      <c r="G51" s="9" t="str">
        <f>IF($B51="","",IF(OR('②-1職員名簿'!AD51="○",'②-1職員名簿'!AD51="●"),IF($E51="正規職員","正",IF($E51="契約上の就業時間を記載","","実績を入力")),"-"))</f>
        <v/>
      </c>
      <c r="H51" s="9" t="str">
        <f>IF($B51="","",IF(OR('②-1職員名簿'!AE51="○",'②-1職員名簿'!AE51="●"),IF($E51="正規職員","正",IF($E51="契約上の就業時間を記載","","実績を入力")),"-"))</f>
        <v/>
      </c>
      <c r="I51" s="9" t="str">
        <f>IF($B51="","",IF(OR('②-1職員名簿'!AF51="○",'②-1職員名簿'!AF51="●"),IF($E51="正規職員","正",IF($E51="契約上の就業時間を記載","","実績を入力")),"-"))</f>
        <v/>
      </c>
      <c r="J51" s="9" t="str">
        <f>IF($B51="","",IF(OR('②-1職員名簿'!AG51="○",'②-1職員名簿'!AG51="●"),IF($E51="正規職員","正",IF($E51="契約上の就業時間を記載","","実績を入力")),"-"))</f>
        <v/>
      </c>
      <c r="K51" s="9" t="str">
        <f>IF($B51="","",IF(OR('②-1職員名簿'!AH51="○",'②-1職員名簿'!AH51="●"),IF($E51="正規職員","正",IF($E51="契約上の就業時間を記載","","実績を入力")),"-"))</f>
        <v/>
      </c>
      <c r="L51" s="9" t="str">
        <f>IF($B51="","",IF(OR('②-1職員名簿'!AI51="○",'②-1職員名簿'!AI51="●"),IF($E51="正規職員","正",IF($E51="契約上の就業時間を記載","","実績を入力")),"-"))</f>
        <v/>
      </c>
      <c r="M51" s="9" t="str">
        <f>IF($B51="","",IF(OR('②-1職員名簿'!AJ51="○",'②-1職員名簿'!AJ51="●"),IF($E51="正規職員","正",IF($E51="契約上の就業時間を記載","","実績を入力")),"-"))</f>
        <v/>
      </c>
      <c r="N51" s="9" t="str">
        <f>IF($B51="","",IF(OR('②-1職員名簿'!AK51="○",'②-1職員名簿'!AK51="●"),IF($E51="正規職員","正",IF($E51="契約上の就業時間を記載","","実績を入力")),"-"))</f>
        <v/>
      </c>
      <c r="O51" s="9" t="str">
        <f>IF($B51="","",IF(OR('②-1職員名簿'!AL51="○",'②-1職員名簿'!AL51="●"),IF($E51="正規職員","正",IF($E51="契約上の就業時間を記載","","実績を入力")),"-"))</f>
        <v/>
      </c>
      <c r="P51" s="9" t="str">
        <f>IF($B51="","",IF(OR('②-1職員名簿'!AM51="○",'②-1職員名簿'!AM51="●"),IF($E51="正規職員","正",IF($E51="契約上の就業時間を記載","","実績を入力")),"-"))</f>
        <v/>
      </c>
      <c r="Q51" s="9" t="str">
        <f>IF($B51="","",IF(OR('②-1職員名簿'!AN51="○",'②-1職員名簿'!AN51="●"),IF($E51="正規職員","正",IF($E51="契約上の就業時間を記載","","見込を入力")),"-"))</f>
        <v/>
      </c>
      <c r="R51" s="88" t="str">
        <f>IF($B51="","",IF(OR('②-1職員名簿'!AC51="○",'②-1職員名簿'!AC51="●"),IF($E51="正規職員","正",IF($E51="契約上の就業時間を記載","",IF($E51&gt;=F$5,"常",F51))),"-"))</f>
        <v/>
      </c>
      <c r="S51" s="88" t="str">
        <f>IF($B51="","",IF(OR('②-1職員名簿'!AD51="○",'②-1職員名簿'!AD51="●"),IF($E51="正規職員","正",IF($E51="契約上の就業時間を記載","",IF($E51&gt;=G$5,"常",G51))),"-"))</f>
        <v/>
      </c>
      <c r="T51" s="88" t="str">
        <f>IF($B51="","",IF(OR('②-1職員名簿'!AE51="○",'②-1職員名簿'!AE51="●"),IF($E51="正規職員","正",IF($E51="契約上の就業時間を記載","",IF($E51&gt;=H$5,"常",H51))),"-"))</f>
        <v/>
      </c>
      <c r="U51" s="88" t="str">
        <f>IF($B51="","",IF(OR('②-1職員名簿'!AF51="○",'②-1職員名簿'!AF51="●"),IF($E51="正規職員","正",IF($E51="契約上の就業時間を記載","",IF($E51&gt;=I$5,"常",I51))),"-"))</f>
        <v/>
      </c>
      <c r="V51" s="88" t="str">
        <f>IF($B51="","",IF(OR('②-1職員名簿'!AG51="○",'②-1職員名簿'!AG51="●"),IF($E51="正規職員","正",IF($E51="契約上の就業時間を記載","",IF($E51&gt;=J$5,"常",J51))),"-"))</f>
        <v/>
      </c>
      <c r="W51" s="88" t="str">
        <f>IF($B51="","",IF(OR('②-1職員名簿'!AH51="○",'②-1職員名簿'!AH51="●"),IF($E51="正規職員","正",IF($E51="契約上の就業時間を記載","",IF($E51&gt;=K$5,"常",K51))),"-"))</f>
        <v/>
      </c>
      <c r="X51" s="88" t="str">
        <f>IF($B51="","",IF(OR('②-1職員名簿'!AI51="○",'②-1職員名簿'!AI51="●"),IF($E51="正規職員","正",IF($E51="契約上の就業時間を記載","",IF($E51&gt;=L$5,"常",L51))),"-"))</f>
        <v/>
      </c>
      <c r="Y51" s="88" t="str">
        <f>IF($B51="","",IF(OR('②-1職員名簿'!AJ51="○",'②-1職員名簿'!AJ51="●"),IF($E51="正規職員","正",IF($E51="契約上の就業時間を記載","",IF($E51&gt;=M$5,"常",M51))),"-"))</f>
        <v/>
      </c>
      <c r="Z51" s="88" t="str">
        <f>IF($B51="","",IF(OR('②-1職員名簿'!AK51="○",'②-1職員名簿'!AK51="●"),IF($E51="正規職員","正",IF($E51="契約上の就業時間を記載","",IF($E51&gt;=N$5,"常",N51))),"-"))</f>
        <v/>
      </c>
      <c r="AA51" s="88" t="str">
        <f>IF($B51="","",IF(OR('②-1職員名簿'!AL51="○",'②-1職員名簿'!AL51="●"),IF($E51="正規職員","正",IF($E51="契約上の就業時間を記載","",IF($E51&gt;=O$5,"常",O51))),"-"))</f>
        <v/>
      </c>
      <c r="AB51" s="88" t="str">
        <f>IF($B51="","",IF(OR('②-1職員名簿'!AM51="○",'②-1職員名簿'!AM51="●"),IF($E51="正規職員","正",IF($E51="契約上の就業時間を記載","",IF($E51&gt;=P$5,"常",P51))),"-"))</f>
        <v/>
      </c>
      <c r="AC51" s="88" t="str">
        <f>IF($B51="","",IF(OR('②-1職員名簿'!AN51="○",'②-1職員名簿'!AN51="●"),IF($E51="正規職員","正",IF($E51="契約上の就業時間を記載","",IF($E51&gt;=Q$5,"常",Q51))),"-"))</f>
        <v/>
      </c>
      <c r="AE51" s="86" t="str">
        <f>IF('②-1職員名簿'!W51="","",'②-1職員名簿'!W51)</f>
        <v/>
      </c>
      <c r="AJ51" s="17" t="str">
        <f t="shared" si="12"/>
        <v>○</v>
      </c>
      <c r="AK51" s="17" t="str">
        <f t="shared" si="13"/>
        <v>○</v>
      </c>
      <c r="AL51" s="17" t="str">
        <f t="shared" si="14"/>
        <v>○</v>
      </c>
      <c r="AM51" s="17" t="str">
        <f t="shared" si="15"/>
        <v>○</v>
      </c>
      <c r="AN51" s="17" t="str">
        <f t="shared" si="16"/>
        <v>○</v>
      </c>
      <c r="AO51" s="17" t="str">
        <f t="shared" si="17"/>
        <v>○</v>
      </c>
      <c r="AP51" s="17" t="str">
        <f t="shared" si="18"/>
        <v>○</v>
      </c>
      <c r="AQ51" s="17" t="str">
        <f t="shared" si="19"/>
        <v>○</v>
      </c>
      <c r="AR51" s="17" t="str">
        <f t="shared" si="20"/>
        <v>○</v>
      </c>
      <c r="AS51" s="17" t="str">
        <f t="shared" si="21"/>
        <v>○</v>
      </c>
      <c r="AT51" s="17" t="str">
        <f t="shared" si="22"/>
        <v>○</v>
      </c>
      <c r="AU51" s="17" t="str">
        <f t="shared" si="23"/>
        <v>○</v>
      </c>
    </row>
    <row r="52" spans="1:47" s="90" customFormat="1" ht="23.15" customHeight="1">
      <c r="A52" s="87">
        <v>46</v>
      </c>
      <c r="B52" s="86" t="str">
        <f>IF('②-1職員名簿'!E52="","",'②-1職員名簿'!Y52)</f>
        <v/>
      </c>
      <c r="C52" s="88" t="str">
        <f>'②-1職員名簿'!BE52</f>
        <v/>
      </c>
      <c r="D52" s="117" t="str">
        <f t="shared" si="9"/>
        <v/>
      </c>
      <c r="E52" s="18" t="str">
        <f>IF($B52="","",IF(AND('②-1職員名簿'!C52="正",'②-1職員名簿'!D52="常"),"正規職員","契約上の就業時間を記載"))</f>
        <v/>
      </c>
      <c r="F52" s="9" t="str">
        <f>IF($B52="","",IF(OR('②-1職員名簿'!AC52="○",'②-1職員名簿'!AC52="●"),IF($E52="正規職員","正",IF($E52="契約上の就業時間を記載","","見込を入力")),"-"))</f>
        <v/>
      </c>
      <c r="G52" s="9" t="str">
        <f>IF($B52="","",IF(OR('②-1職員名簿'!AD52="○",'②-1職員名簿'!AD52="●"),IF($E52="正規職員","正",IF($E52="契約上の就業時間を記載","","実績を入力")),"-"))</f>
        <v/>
      </c>
      <c r="H52" s="9" t="str">
        <f>IF($B52="","",IF(OR('②-1職員名簿'!AE52="○",'②-1職員名簿'!AE52="●"),IF($E52="正規職員","正",IF($E52="契約上の就業時間を記載","","実績を入力")),"-"))</f>
        <v/>
      </c>
      <c r="I52" s="9" t="str">
        <f>IF($B52="","",IF(OR('②-1職員名簿'!AF52="○",'②-1職員名簿'!AF52="●"),IF($E52="正規職員","正",IF($E52="契約上の就業時間を記載","","実績を入力")),"-"))</f>
        <v/>
      </c>
      <c r="J52" s="9" t="str">
        <f>IF($B52="","",IF(OR('②-1職員名簿'!AG52="○",'②-1職員名簿'!AG52="●"),IF($E52="正規職員","正",IF($E52="契約上の就業時間を記載","","実績を入力")),"-"))</f>
        <v/>
      </c>
      <c r="K52" s="9" t="str">
        <f>IF($B52="","",IF(OR('②-1職員名簿'!AH52="○",'②-1職員名簿'!AH52="●"),IF($E52="正規職員","正",IF($E52="契約上の就業時間を記載","","実績を入力")),"-"))</f>
        <v/>
      </c>
      <c r="L52" s="9" t="str">
        <f>IF($B52="","",IF(OR('②-1職員名簿'!AI52="○",'②-1職員名簿'!AI52="●"),IF($E52="正規職員","正",IF($E52="契約上の就業時間を記載","","実績を入力")),"-"))</f>
        <v/>
      </c>
      <c r="M52" s="9" t="str">
        <f>IF($B52="","",IF(OR('②-1職員名簿'!AJ52="○",'②-1職員名簿'!AJ52="●"),IF($E52="正規職員","正",IF($E52="契約上の就業時間を記載","","実績を入力")),"-"))</f>
        <v/>
      </c>
      <c r="N52" s="9" t="str">
        <f>IF($B52="","",IF(OR('②-1職員名簿'!AK52="○",'②-1職員名簿'!AK52="●"),IF($E52="正規職員","正",IF($E52="契約上の就業時間を記載","","実績を入力")),"-"))</f>
        <v/>
      </c>
      <c r="O52" s="9" t="str">
        <f>IF($B52="","",IF(OR('②-1職員名簿'!AL52="○",'②-1職員名簿'!AL52="●"),IF($E52="正規職員","正",IF($E52="契約上の就業時間を記載","","実績を入力")),"-"))</f>
        <v/>
      </c>
      <c r="P52" s="9" t="str">
        <f>IF($B52="","",IF(OR('②-1職員名簿'!AM52="○",'②-1職員名簿'!AM52="●"),IF($E52="正規職員","正",IF($E52="契約上の就業時間を記載","","実績を入力")),"-"))</f>
        <v/>
      </c>
      <c r="Q52" s="9" t="str">
        <f>IF($B52="","",IF(OR('②-1職員名簿'!AN52="○",'②-1職員名簿'!AN52="●"),IF($E52="正規職員","正",IF($E52="契約上の就業時間を記載","","見込を入力")),"-"))</f>
        <v/>
      </c>
      <c r="R52" s="88" t="str">
        <f>IF($B52="","",IF(OR('②-1職員名簿'!AC52="○",'②-1職員名簿'!AC52="●"),IF($E52="正規職員","正",IF($E52="契約上の就業時間を記載","",IF($E52&gt;=F$5,"常",F52))),"-"))</f>
        <v/>
      </c>
      <c r="S52" s="88" t="str">
        <f>IF($B52="","",IF(OR('②-1職員名簿'!AD52="○",'②-1職員名簿'!AD52="●"),IF($E52="正規職員","正",IF($E52="契約上の就業時間を記載","",IF($E52&gt;=G$5,"常",G52))),"-"))</f>
        <v/>
      </c>
      <c r="T52" s="88" t="str">
        <f>IF($B52="","",IF(OR('②-1職員名簿'!AE52="○",'②-1職員名簿'!AE52="●"),IF($E52="正規職員","正",IF($E52="契約上の就業時間を記載","",IF($E52&gt;=H$5,"常",H52))),"-"))</f>
        <v/>
      </c>
      <c r="U52" s="88" t="str">
        <f>IF($B52="","",IF(OR('②-1職員名簿'!AF52="○",'②-1職員名簿'!AF52="●"),IF($E52="正規職員","正",IF($E52="契約上の就業時間を記載","",IF($E52&gt;=I$5,"常",I52))),"-"))</f>
        <v/>
      </c>
      <c r="V52" s="88" t="str">
        <f>IF($B52="","",IF(OR('②-1職員名簿'!AG52="○",'②-1職員名簿'!AG52="●"),IF($E52="正規職員","正",IF($E52="契約上の就業時間を記載","",IF($E52&gt;=J$5,"常",J52))),"-"))</f>
        <v/>
      </c>
      <c r="W52" s="88" t="str">
        <f>IF($B52="","",IF(OR('②-1職員名簿'!AH52="○",'②-1職員名簿'!AH52="●"),IF($E52="正規職員","正",IF($E52="契約上の就業時間を記載","",IF($E52&gt;=K$5,"常",K52))),"-"))</f>
        <v/>
      </c>
      <c r="X52" s="88" t="str">
        <f>IF($B52="","",IF(OR('②-1職員名簿'!AI52="○",'②-1職員名簿'!AI52="●"),IF($E52="正規職員","正",IF($E52="契約上の就業時間を記載","",IF($E52&gt;=L$5,"常",L52))),"-"))</f>
        <v/>
      </c>
      <c r="Y52" s="88" t="str">
        <f>IF($B52="","",IF(OR('②-1職員名簿'!AJ52="○",'②-1職員名簿'!AJ52="●"),IF($E52="正規職員","正",IF($E52="契約上の就業時間を記載","",IF($E52&gt;=M$5,"常",M52))),"-"))</f>
        <v/>
      </c>
      <c r="Z52" s="88" t="str">
        <f>IF($B52="","",IF(OR('②-1職員名簿'!AK52="○",'②-1職員名簿'!AK52="●"),IF($E52="正規職員","正",IF($E52="契約上の就業時間を記載","",IF($E52&gt;=N$5,"常",N52))),"-"))</f>
        <v/>
      </c>
      <c r="AA52" s="88" t="str">
        <f>IF($B52="","",IF(OR('②-1職員名簿'!AL52="○",'②-1職員名簿'!AL52="●"),IF($E52="正規職員","正",IF($E52="契約上の就業時間を記載","",IF($E52&gt;=O$5,"常",O52))),"-"))</f>
        <v/>
      </c>
      <c r="AB52" s="88" t="str">
        <f>IF($B52="","",IF(OR('②-1職員名簿'!AM52="○",'②-1職員名簿'!AM52="●"),IF($E52="正規職員","正",IF($E52="契約上の就業時間を記載","",IF($E52&gt;=P$5,"常",P52))),"-"))</f>
        <v/>
      </c>
      <c r="AC52" s="88" t="str">
        <f>IF($B52="","",IF(OR('②-1職員名簿'!AN52="○",'②-1職員名簿'!AN52="●"),IF($E52="正規職員","正",IF($E52="契約上の就業時間を記載","",IF($E52&gt;=Q$5,"常",Q52))),"-"))</f>
        <v/>
      </c>
      <c r="AE52" s="86" t="str">
        <f>IF('②-1職員名簿'!W52="","",'②-1職員名簿'!W52)</f>
        <v/>
      </c>
      <c r="AJ52" s="17" t="str">
        <f t="shared" si="12"/>
        <v>○</v>
      </c>
      <c r="AK52" s="17" t="str">
        <f t="shared" si="13"/>
        <v>○</v>
      </c>
      <c r="AL52" s="17" t="str">
        <f t="shared" si="14"/>
        <v>○</v>
      </c>
      <c r="AM52" s="17" t="str">
        <f t="shared" si="15"/>
        <v>○</v>
      </c>
      <c r="AN52" s="17" t="str">
        <f t="shared" si="16"/>
        <v>○</v>
      </c>
      <c r="AO52" s="17" t="str">
        <f t="shared" si="17"/>
        <v>○</v>
      </c>
      <c r="AP52" s="17" t="str">
        <f t="shared" si="18"/>
        <v>○</v>
      </c>
      <c r="AQ52" s="17" t="str">
        <f t="shared" si="19"/>
        <v>○</v>
      </c>
      <c r="AR52" s="17" t="str">
        <f t="shared" si="20"/>
        <v>○</v>
      </c>
      <c r="AS52" s="17" t="str">
        <f t="shared" si="21"/>
        <v>○</v>
      </c>
      <c r="AT52" s="17" t="str">
        <f t="shared" si="22"/>
        <v>○</v>
      </c>
      <c r="AU52" s="17" t="str">
        <f t="shared" si="23"/>
        <v>○</v>
      </c>
    </row>
    <row r="53" spans="1:47" s="90" customFormat="1" ht="23.15" customHeight="1">
      <c r="A53" s="87">
        <v>47</v>
      </c>
      <c r="B53" s="86" t="str">
        <f>IF('②-1職員名簿'!E53="","",'②-1職員名簿'!Y53)</f>
        <v/>
      </c>
      <c r="C53" s="88" t="str">
        <f>'②-1職員名簿'!BE53</f>
        <v/>
      </c>
      <c r="D53" s="117" t="str">
        <f t="shared" si="9"/>
        <v/>
      </c>
      <c r="E53" s="18" t="str">
        <f>IF($B53="","",IF(AND('②-1職員名簿'!C53="正",'②-1職員名簿'!D53="常"),"正規職員","契約上の就業時間を記載"))</f>
        <v/>
      </c>
      <c r="F53" s="9" t="str">
        <f>IF($B53="","",IF(OR('②-1職員名簿'!AC53="○",'②-1職員名簿'!AC53="●"),IF($E53="正規職員","正",IF($E53="契約上の就業時間を記載","","見込を入力")),"-"))</f>
        <v/>
      </c>
      <c r="G53" s="9" t="str">
        <f>IF($B53="","",IF(OR('②-1職員名簿'!AD53="○",'②-1職員名簿'!AD53="●"),IF($E53="正規職員","正",IF($E53="契約上の就業時間を記載","","実績を入力")),"-"))</f>
        <v/>
      </c>
      <c r="H53" s="9" t="str">
        <f>IF($B53="","",IF(OR('②-1職員名簿'!AE53="○",'②-1職員名簿'!AE53="●"),IF($E53="正規職員","正",IF($E53="契約上の就業時間を記載","","実績を入力")),"-"))</f>
        <v/>
      </c>
      <c r="I53" s="9" t="str">
        <f>IF($B53="","",IF(OR('②-1職員名簿'!AF53="○",'②-1職員名簿'!AF53="●"),IF($E53="正規職員","正",IF($E53="契約上の就業時間を記載","","実績を入力")),"-"))</f>
        <v/>
      </c>
      <c r="J53" s="9" t="str">
        <f>IF($B53="","",IF(OR('②-1職員名簿'!AG53="○",'②-1職員名簿'!AG53="●"),IF($E53="正規職員","正",IF($E53="契約上の就業時間を記載","","実績を入力")),"-"))</f>
        <v/>
      </c>
      <c r="K53" s="9" t="str">
        <f>IF($B53="","",IF(OR('②-1職員名簿'!AH53="○",'②-1職員名簿'!AH53="●"),IF($E53="正規職員","正",IF($E53="契約上の就業時間を記載","","実績を入力")),"-"))</f>
        <v/>
      </c>
      <c r="L53" s="9" t="str">
        <f>IF($B53="","",IF(OR('②-1職員名簿'!AI53="○",'②-1職員名簿'!AI53="●"),IF($E53="正規職員","正",IF($E53="契約上の就業時間を記載","","実績を入力")),"-"))</f>
        <v/>
      </c>
      <c r="M53" s="9" t="str">
        <f>IF($B53="","",IF(OR('②-1職員名簿'!AJ53="○",'②-1職員名簿'!AJ53="●"),IF($E53="正規職員","正",IF($E53="契約上の就業時間を記載","","実績を入力")),"-"))</f>
        <v/>
      </c>
      <c r="N53" s="9" t="str">
        <f>IF($B53="","",IF(OR('②-1職員名簿'!AK53="○",'②-1職員名簿'!AK53="●"),IF($E53="正規職員","正",IF($E53="契約上の就業時間を記載","","実績を入力")),"-"))</f>
        <v/>
      </c>
      <c r="O53" s="9" t="str">
        <f>IF($B53="","",IF(OR('②-1職員名簿'!AL53="○",'②-1職員名簿'!AL53="●"),IF($E53="正規職員","正",IF($E53="契約上の就業時間を記載","","実績を入力")),"-"))</f>
        <v/>
      </c>
      <c r="P53" s="9" t="str">
        <f>IF($B53="","",IF(OR('②-1職員名簿'!AM53="○",'②-1職員名簿'!AM53="●"),IF($E53="正規職員","正",IF($E53="契約上の就業時間を記載","","実績を入力")),"-"))</f>
        <v/>
      </c>
      <c r="Q53" s="9" t="str">
        <f>IF($B53="","",IF(OR('②-1職員名簿'!AN53="○",'②-1職員名簿'!AN53="●"),IF($E53="正規職員","正",IF($E53="契約上の就業時間を記載","","見込を入力")),"-"))</f>
        <v/>
      </c>
      <c r="R53" s="88" t="str">
        <f>IF($B53="","",IF(OR('②-1職員名簿'!AC53="○",'②-1職員名簿'!AC53="●"),IF($E53="正規職員","正",IF($E53="契約上の就業時間を記載","",IF($E53&gt;=F$5,"常",F53))),"-"))</f>
        <v/>
      </c>
      <c r="S53" s="88" t="str">
        <f>IF($B53="","",IF(OR('②-1職員名簿'!AD53="○",'②-1職員名簿'!AD53="●"),IF($E53="正規職員","正",IF($E53="契約上の就業時間を記載","",IF($E53&gt;=G$5,"常",G53))),"-"))</f>
        <v/>
      </c>
      <c r="T53" s="88" t="str">
        <f>IF($B53="","",IF(OR('②-1職員名簿'!AE53="○",'②-1職員名簿'!AE53="●"),IF($E53="正規職員","正",IF($E53="契約上の就業時間を記載","",IF($E53&gt;=H$5,"常",H53))),"-"))</f>
        <v/>
      </c>
      <c r="U53" s="88" t="str">
        <f>IF($B53="","",IF(OR('②-1職員名簿'!AF53="○",'②-1職員名簿'!AF53="●"),IF($E53="正規職員","正",IF($E53="契約上の就業時間を記載","",IF($E53&gt;=I$5,"常",I53))),"-"))</f>
        <v/>
      </c>
      <c r="V53" s="88" t="str">
        <f>IF($B53="","",IF(OR('②-1職員名簿'!AG53="○",'②-1職員名簿'!AG53="●"),IF($E53="正規職員","正",IF($E53="契約上の就業時間を記載","",IF($E53&gt;=J$5,"常",J53))),"-"))</f>
        <v/>
      </c>
      <c r="W53" s="88" t="str">
        <f>IF($B53="","",IF(OR('②-1職員名簿'!AH53="○",'②-1職員名簿'!AH53="●"),IF($E53="正規職員","正",IF($E53="契約上の就業時間を記載","",IF($E53&gt;=K$5,"常",K53))),"-"))</f>
        <v/>
      </c>
      <c r="X53" s="88" t="str">
        <f>IF($B53="","",IF(OR('②-1職員名簿'!AI53="○",'②-1職員名簿'!AI53="●"),IF($E53="正規職員","正",IF($E53="契約上の就業時間を記載","",IF($E53&gt;=L$5,"常",L53))),"-"))</f>
        <v/>
      </c>
      <c r="Y53" s="88" t="str">
        <f>IF($B53="","",IF(OR('②-1職員名簿'!AJ53="○",'②-1職員名簿'!AJ53="●"),IF($E53="正規職員","正",IF($E53="契約上の就業時間を記載","",IF($E53&gt;=M$5,"常",M53))),"-"))</f>
        <v/>
      </c>
      <c r="Z53" s="88" t="str">
        <f>IF($B53="","",IF(OR('②-1職員名簿'!AK53="○",'②-1職員名簿'!AK53="●"),IF($E53="正規職員","正",IF($E53="契約上の就業時間を記載","",IF($E53&gt;=N$5,"常",N53))),"-"))</f>
        <v/>
      </c>
      <c r="AA53" s="88" t="str">
        <f>IF($B53="","",IF(OR('②-1職員名簿'!AL53="○",'②-1職員名簿'!AL53="●"),IF($E53="正規職員","正",IF($E53="契約上の就業時間を記載","",IF($E53&gt;=O$5,"常",O53))),"-"))</f>
        <v/>
      </c>
      <c r="AB53" s="88" t="str">
        <f>IF($B53="","",IF(OR('②-1職員名簿'!AM53="○",'②-1職員名簿'!AM53="●"),IF($E53="正規職員","正",IF($E53="契約上の就業時間を記載","",IF($E53&gt;=P$5,"常",P53))),"-"))</f>
        <v/>
      </c>
      <c r="AC53" s="88" t="str">
        <f>IF($B53="","",IF(OR('②-1職員名簿'!AN53="○",'②-1職員名簿'!AN53="●"),IF($E53="正規職員","正",IF($E53="契約上の就業時間を記載","",IF($E53&gt;=Q$5,"常",Q53))),"-"))</f>
        <v/>
      </c>
      <c r="AE53" s="86" t="str">
        <f>IF('②-1職員名簿'!W53="","",'②-1職員名簿'!W53)</f>
        <v/>
      </c>
      <c r="AJ53" s="17" t="str">
        <f t="shared" si="12"/>
        <v>○</v>
      </c>
      <c r="AK53" s="17" t="str">
        <f t="shared" si="13"/>
        <v>○</v>
      </c>
      <c r="AL53" s="17" t="str">
        <f t="shared" si="14"/>
        <v>○</v>
      </c>
      <c r="AM53" s="17" t="str">
        <f t="shared" si="15"/>
        <v>○</v>
      </c>
      <c r="AN53" s="17" t="str">
        <f t="shared" si="16"/>
        <v>○</v>
      </c>
      <c r="AO53" s="17" t="str">
        <f t="shared" si="17"/>
        <v>○</v>
      </c>
      <c r="AP53" s="17" t="str">
        <f t="shared" si="18"/>
        <v>○</v>
      </c>
      <c r="AQ53" s="17" t="str">
        <f t="shared" si="19"/>
        <v>○</v>
      </c>
      <c r="AR53" s="17" t="str">
        <f t="shared" si="20"/>
        <v>○</v>
      </c>
      <c r="AS53" s="17" t="str">
        <f t="shared" si="21"/>
        <v>○</v>
      </c>
      <c r="AT53" s="17" t="str">
        <f t="shared" si="22"/>
        <v>○</v>
      </c>
      <c r="AU53" s="17" t="str">
        <f t="shared" si="23"/>
        <v>○</v>
      </c>
    </row>
    <row r="54" spans="1:47" s="90" customFormat="1" ht="23.15" customHeight="1">
      <c r="A54" s="87">
        <v>48</v>
      </c>
      <c r="B54" s="86" t="str">
        <f>IF('②-1職員名簿'!E54="","",'②-1職員名簿'!Y54)</f>
        <v/>
      </c>
      <c r="C54" s="88" t="str">
        <f>'②-1職員名簿'!BE54</f>
        <v/>
      </c>
      <c r="D54" s="117" t="str">
        <f t="shared" si="9"/>
        <v/>
      </c>
      <c r="E54" s="18" t="str">
        <f>IF($B54="","",IF(AND('②-1職員名簿'!C54="正",'②-1職員名簿'!D54="常"),"正規職員","契約上の就業時間を記載"))</f>
        <v/>
      </c>
      <c r="F54" s="9" t="str">
        <f>IF($B54="","",IF(OR('②-1職員名簿'!AC54="○",'②-1職員名簿'!AC54="●"),IF($E54="正規職員","正",IF($E54="契約上の就業時間を記載","","見込を入力")),"-"))</f>
        <v/>
      </c>
      <c r="G54" s="9" t="str">
        <f>IF($B54="","",IF(OR('②-1職員名簿'!AD54="○",'②-1職員名簿'!AD54="●"),IF($E54="正規職員","正",IF($E54="契約上の就業時間を記載","","実績を入力")),"-"))</f>
        <v/>
      </c>
      <c r="H54" s="9" t="str">
        <f>IF($B54="","",IF(OR('②-1職員名簿'!AE54="○",'②-1職員名簿'!AE54="●"),IF($E54="正規職員","正",IF($E54="契約上の就業時間を記載","","実績を入力")),"-"))</f>
        <v/>
      </c>
      <c r="I54" s="9" t="str">
        <f>IF($B54="","",IF(OR('②-1職員名簿'!AF54="○",'②-1職員名簿'!AF54="●"),IF($E54="正規職員","正",IF($E54="契約上の就業時間を記載","","実績を入力")),"-"))</f>
        <v/>
      </c>
      <c r="J54" s="9" t="str">
        <f>IF($B54="","",IF(OR('②-1職員名簿'!AG54="○",'②-1職員名簿'!AG54="●"),IF($E54="正規職員","正",IF($E54="契約上の就業時間を記載","","実績を入力")),"-"))</f>
        <v/>
      </c>
      <c r="K54" s="9" t="str">
        <f>IF($B54="","",IF(OR('②-1職員名簿'!AH54="○",'②-1職員名簿'!AH54="●"),IF($E54="正規職員","正",IF($E54="契約上の就業時間を記載","","実績を入力")),"-"))</f>
        <v/>
      </c>
      <c r="L54" s="9" t="str">
        <f>IF($B54="","",IF(OR('②-1職員名簿'!AI54="○",'②-1職員名簿'!AI54="●"),IF($E54="正規職員","正",IF($E54="契約上の就業時間を記載","","実績を入力")),"-"))</f>
        <v/>
      </c>
      <c r="M54" s="9" t="str">
        <f>IF($B54="","",IF(OR('②-1職員名簿'!AJ54="○",'②-1職員名簿'!AJ54="●"),IF($E54="正規職員","正",IF($E54="契約上の就業時間を記載","","実績を入力")),"-"))</f>
        <v/>
      </c>
      <c r="N54" s="9" t="str">
        <f>IF($B54="","",IF(OR('②-1職員名簿'!AK54="○",'②-1職員名簿'!AK54="●"),IF($E54="正規職員","正",IF($E54="契約上の就業時間を記載","","実績を入力")),"-"))</f>
        <v/>
      </c>
      <c r="O54" s="9" t="str">
        <f>IF($B54="","",IF(OR('②-1職員名簿'!AL54="○",'②-1職員名簿'!AL54="●"),IF($E54="正規職員","正",IF($E54="契約上の就業時間を記載","","実績を入力")),"-"))</f>
        <v/>
      </c>
      <c r="P54" s="9" t="str">
        <f>IF($B54="","",IF(OR('②-1職員名簿'!AM54="○",'②-1職員名簿'!AM54="●"),IF($E54="正規職員","正",IF($E54="契約上の就業時間を記載","","実績を入力")),"-"))</f>
        <v/>
      </c>
      <c r="Q54" s="9" t="str">
        <f>IF($B54="","",IF(OR('②-1職員名簿'!AN54="○",'②-1職員名簿'!AN54="●"),IF($E54="正規職員","正",IF($E54="契約上の就業時間を記載","","見込を入力")),"-"))</f>
        <v/>
      </c>
      <c r="R54" s="88" t="str">
        <f>IF($B54="","",IF(OR('②-1職員名簿'!AC54="○",'②-1職員名簿'!AC54="●"),IF($E54="正規職員","正",IF($E54="契約上の就業時間を記載","",IF($E54&gt;=F$5,"常",F54))),"-"))</f>
        <v/>
      </c>
      <c r="S54" s="88" t="str">
        <f>IF($B54="","",IF(OR('②-1職員名簿'!AD54="○",'②-1職員名簿'!AD54="●"),IF($E54="正規職員","正",IF($E54="契約上の就業時間を記載","",IF($E54&gt;=G$5,"常",G54))),"-"))</f>
        <v/>
      </c>
      <c r="T54" s="88" t="str">
        <f>IF($B54="","",IF(OR('②-1職員名簿'!AE54="○",'②-1職員名簿'!AE54="●"),IF($E54="正規職員","正",IF($E54="契約上の就業時間を記載","",IF($E54&gt;=H$5,"常",H54))),"-"))</f>
        <v/>
      </c>
      <c r="U54" s="88" t="str">
        <f>IF($B54="","",IF(OR('②-1職員名簿'!AF54="○",'②-1職員名簿'!AF54="●"),IF($E54="正規職員","正",IF($E54="契約上の就業時間を記載","",IF($E54&gt;=I$5,"常",I54))),"-"))</f>
        <v/>
      </c>
      <c r="V54" s="88" t="str">
        <f>IF($B54="","",IF(OR('②-1職員名簿'!AG54="○",'②-1職員名簿'!AG54="●"),IF($E54="正規職員","正",IF($E54="契約上の就業時間を記載","",IF($E54&gt;=J$5,"常",J54))),"-"))</f>
        <v/>
      </c>
      <c r="W54" s="88" t="str">
        <f>IF($B54="","",IF(OR('②-1職員名簿'!AH54="○",'②-1職員名簿'!AH54="●"),IF($E54="正規職員","正",IF($E54="契約上の就業時間を記載","",IF($E54&gt;=K$5,"常",K54))),"-"))</f>
        <v/>
      </c>
      <c r="X54" s="88" t="str">
        <f>IF($B54="","",IF(OR('②-1職員名簿'!AI54="○",'②-1職員名簿'!AI54="●"),IF($E54="正規職員","正",IF($E54="契約上の就業時間を記載","",IF($E54&gt;=L$5,"常",L54))),"-"))</f>
        <v/>
      </c>
      <c r="Y54" s="88" t="str">
        <f>IF($B54="","",IF(OR('②-1職員名簿'!AJ54="○",'②-1職員名簿'!AJ54="●"),IF($E54="正規職員","正",IF($E54="契約上の就業時間を記載","",IF($E54&gt;=M$5,"常",M54))),"-"))</f>
        <v/>
      </c>
      <c r="Z54" s="88" t="str">
        <f>IF($B54="","",IF(OR('②-1職員名簿'!AK54="○",'②-1職員名簿'!AK54="●"),IF($E54="正規職員","正",IF($E54="契約上の就業時間を記載","",IF($E54&gt;=N$5,"常",N54))),"-"))</f>
        <v/>
      </c>
      <c r="AA54" s="88" t="str">
        <f>IF($B54="","",IF(OR('②-1職員名簿'!AL54="○",'②-1職員名簿'!AL54="●"),IF($E54="正規職員","正",IF($E54="契約上の就業時間を記載","",IF($E54&gt;=O$5,"常",O54))),"-"))</f>
        <v/>
      </c>
      <c r="AB54" s="88" t="str">
        <f>IF($B54="","",IF(OR('②-1職員名簿'!AM54="○",'②-1職員名簿'!AM54="●"),IF($E54="正規職員","正",IF($E54="契約上の就業時間を記載","",IF($E54&gt;=P$5,"常",P54))),"-"))</f>
        <v/>
      </c>
      <c r="AC54" s="88" t="str">
        <f>IF($B54="","",IF(OR('②-1職員名簿'!AN54="○",'②-1職員名簿'!AN54="●"),IF($E54="正規職員","正",IF($E54="契約上の就業時間を記載","",IF($E54&gt;=Q$5,"常",Q54))),"-"))</f>
        <v/>
      </c>
      <c r="AE54" s="86" t="str">
        <f>IF('②-1職員名簿'!W54="","",'②-1職員名簿'!W54)</f>
        <v/>
      </c>
      <c r="AJ54" s="17" t="str">
        <f t="shared" si="12"/>
        <v>○</v>
      </c>
      <c r="AK54" s="17" t="str">
        <f t="shared" si="13"/>
        <v>○</v>
      </c>
      <c r="AL54" s="17" t="str">
        <f t="shared" si="14"/>
        <v>○</v>
      </c>
      <c r="AM54" s="17" t="str">
        <f t="shared" si="15"/>
        <v>○</v>
      </c>
      <c r="AN54" s="17" t="str">
        <f t="shared" si="16"/>
        <v>○</v>
      </c>
      <c r="AO54" s="17" t="str">
        <f t="shared" si="17"/>
        <v>○</v>
      </c>
      <c r="AP54" s="17" t="str">
        <f t="shared" si="18"/>
        <v>○</v>
      </c>
      <c r="AQ54" s="17" t="str">
        <f t="shared" si="19"/>
        <v>○</v>
      </c>
      <c r="AR54" s="17" t="str">
        <f t="shared" si="20"/>
        <v>○</v>
      </c>
      <c r="AS54" s="17" t="str">
        <f t="shared" si="21"/>
        <v>○</v>
      </c>
      <c r="AT54" s="17" t="str">
        <f t="shared" si="22"/>
        <v>○</v>
      </c>
      <c r="AU54" s="17" t="str">
        <f t="shared" si="23"/>
        <v>○</v>
      </c>
    </row>
    <row r="55" spans="1:47" s="90" customFormat="1" ht="23.15" customHeight="1">
      <c r="A55" s="87">
        <v>49</v>
      </c>
      <c r="B55" s="86" t="str">
        <f>IF('②-1職員名簿'!E55="","",'②-1職員名簿'!Y55)</f>
        <v/>
      </c>
      <c r="C55" s="88" t="str">
        <f>'②-1職員名簿'!BE55</f>
        <v/>
      </c>
      <c r="D55" s="117" t="str">
        <f t="shared" si="9"/>
        <v/>
      </c>
      <c r="E55" s="18" t="str">
        <f>IF($B55="","",IF(AND('②-1職員名簿'!C55="正",'②-1職員名簿'!D55="常"),"正規職員","契約上の就業時間を記載"))</f>
        <v/>
      </c>
      <c r="F55" s="9" t="str">
        <f>IF($B55="","",IF(OR('②-1職員名簿'!AC55="○",'②-1職員名簿'!AC55="●"),IF($E55="正規職員","正",IF($E55="契約上の就業時間を記載","","見込を入力")),"-"))</f>
        <v/>
      </c>
      <c r="G55" s="9" t="str">
        <f>IF($B55="","",IF(OR('②-1職員名簿'!AD55="○",'②-1職員名簿'!AD55="●"),IF($E55="正規職員","正",IF($E55="契約上の就業時間を記載","","実績を入力")),"-"))</f>
        <v/>
      </c>
      <c r="H55" s="9" t="str">
        <f>IF($B55="","",IF(OR('②-1職員名簿'!AE55="○",'②-1職員名簿'!AE55="●"),IF($E55="正規職員","正",IF($E55="契約上の就業時間を記載","","実績を入力")),"-"))</f>
        <v/>
      </c>
      <c r="I55" s="9" t="str">
        <f>IF($B55="","",IF(OR('②-1職員名簿'!AF55="○",'②-1職員名簿'!AF55="●"),IF($E55="正規職員","正",IF($E55="契約上の就業時間を記載","","実績を入力")),"-"))</f>
        <v/>
      </c>
      <c r="J55" s="9" t="str">
        <f>IF($B55="","",IF(OR('②-1職員名簿'!AG55="○",'②-1職員名簿'!AG55="●"),IF($E55="正規職員","正",IF($E55="契約上の就業時間を記載","","実績を入力")),"-"))</f>
        <v/>
      </c>
      <c r="K55" s="9" t="str">
        <f>IF($B55="","",IF(OR('②-1職員名簿'!AH55="○",'②-1職員名簿'!AH55="●"),IF($E55="正規職員","正",IF($E55="契約上の就業時間を記載","","実績を入力")),"-"))</f>
        <v/>
      </c>
      <c r="L55" s="9" t="str">
        <f>IF($B55="","",IF(OR('②-1職員名簿'!AI55="○",'②-1職員名簿'!AI55="●"),IF($E55="正規職員","正",IF($E55="契約上の就業時間を記載","","実績を入力")),"-"))</f>
        <v/>
      </c>
      <c r="M55" s="9" t="str">
        <f>IF($B55="","",IF(OR('②-1職員名簿'!AJ55="○",'②-1職員名簿'!AJ55="●"),IF($E55="正規職員","正",IF($E55="契約上の就業時間を記載","","実績を入力")),"-"))</f>
        <v/>
      </c>
      <c r="N55" s="9" t="str">
        <f>IF($B55="","",IF(OR('②-1職員名簿'!AK55="○",'②-1職員名簿'!AK55="●"),IF($E55="正規職員","正",IF($E55="契約上の就業時間を記載","","実績を入力")),"-"))</f>
        <v/>
      </c>
      <c r="O55" s="9" t="str">
        <f>IF($B55="","",IF(OR('②-1職員名簿'!AL55="○",'②-1職員名簿'!AL55="●"),IF($E55="正規職員","正",IF($E55="契約上の就業時間を記載","","実績を入力")),"-"))</f>
        <v/>
      </c>
      <c r="P55" s="9" t="str">
        <f>IF($B55="","",IF(OR('②-1職員名簿'!AM55="○",'②-1職員名簿'!AM55="●"),IF($E55="正規職員","正",IF($E55="契約上の就業時間を記載","","実績を入力")),"-"))</f>
        <v/>
      </c>
      <c r="Q55" s="9" t="str">
        <f>IF($B55="","",IF(OR('②-1職員名簿'!AN55="○",'②-1職員名簿'!AN55="●"),IF($E55="正規職員","正",IF($E55="契約上の就業時間を記載","","見込を入力")),"-"))</f>
        <v/>
      </c>
      <c r="R55" s="88" t="str">
        <f>IF($B55="","",IF(OR('②-1職員名簿'!AC55="○",'②-1職員名簿'!AC55="●"),IF($E55="正規職員","正",IF($E55="契約上の就業時間を記載","",IF($E55&gt;=F$5,"常",F55))),"-"))</f>
        <v/>
      </c>
      <c r="S55" s="88" t="str">
        <f>IF($B55="","",IF(OR('②-1職員名簿'!AD55="○",'②-1職員名簿'!AD55="●"),IF($E55="正規職員","正",IF($E55="契約上の就業時間を記載","",IF($E55&gt;=G$5,"常",G55))),"-"))</f>
        <v/>
      </c>
      <c r="T55" s="88" t="str">
        <f>IF($B55="","",IF(OR('②-1職員名簿'!AE55="○",'②-1職員名簿'!AE55="●"),IF($E55="正規職員","正",IF($E55="契約上の就業時間を記載","",IF($E55&gt;=H$5,"常",H55))),"-"))</f>
        <v/>
      </c>
      <c r="U55" s="88" t="str">
        <f>IF($B55="","",IF(OR('②-1職員名簿'!AF55="○",'②-1職員名簿'!AF55="●"),IF($E55="正規職員","正",IF($E55="契約上の就業時間を記載","",IF($E55&gt;=I$5,"常",I55))),"-"))</f>
        <v/>
      </c>
      <c r="V55" s="88" t="str">
        <f>IF($B55="","",IF(OR('②-1職員名簿'!AG55="○",'②-1職員名簿'!AG55="●"),IF($E55="正規職員","正",IF($E55="契約上の就業時間を記載","",IF($E55&gt;=J$5,"常",J55))),"-"))</f>
        <v/>
      </c>
      <c r="W55" s="88" t="str">
        <f>IF($B55="","",IF(OR('②-1職員名簿'!AH55="○",'②-1職員名簿'!AH55="●"),IF($E55="正規職員","正",IF($E55="契約上の就業時間を記載","",IF($E55&gt;=K$5,"常",K55))),"-"))</f>
        <v/>
      </c>
      <c r="X55" s="88" t="str">
        <f>IF($B55="","",IF(OR('②-1職員名簿'!AI55="○",'②-1職員名簿'!AI55="●"),IF($E55="正規職員","正",IF($E55="契約上の就業時間を記載","",IF($E55&gt;=L$5,"常",L55))),"-"))</f>
        <v/>
      </c>
      <c r="Y55" s="88" t="str">
        <f>IF($B55="","",IF(OR('②-1職員名簿'!AJ55="○",'②-1職員名簿'!AJ55="●"),IF($E55="正規職員","正",IF($E55="契約上の就業時間を記載","",IF($E55&gt;=M$5,"常",M55))),"-"))</f>
        <v/>
      </c>
      <c r="Z55" s="88" t="str">
        <f>IF($B55="","",IF(OR('②-1職員名簿'!AK55="○",'②-1職員名簿'!AK55="●"),IF($E55="正規職員","正",IF($E55="契約上の就業時間を記載","",IF($E55&gt;=N$5,"常",N55))),"-"))</f>
        <v/>
      </c>
      <c r="AA55" s="88" t="str">
        <f>IF($B55="","",IF(OR('②-1職員名簿'!AL55="○",'②-1職員名簿'!AL55="●"),IF($E55="正規職員","正",IF($E55="契約上の就業時間を記載","",IF($E55&gt;=O$5,"常",O55))),"-"))</f>
        <v/>
      </c>
      <c r="AB55" s="88" t="str">
        <f>IF($B55="","",IF(OR('②-1職員名簿'!AM55="○",'②-1職員名簿'!AM55="●"),IF($E55="正規職員","正",IF($E55="契約上の就業時間を記載","",IF($E55&gt;=P$5,"常",P55))),"-"))</f>
        <v/>
      </c>
      <c r="AC55" s="88" t="str">
        <f>IF($B55="","",IF(OR('②-1職員名簿'!AN55="○",'②-1職員名簿'!AN55="●"),IF($E55="正規職員","正",IF($E55="契約上の就業時間を記載","",IF($E55&gt;=Q$5,"常",Q55))),"-"))</f>
        <v/>
      </c>
      <c r="AE55" s="86" t="str">
        <f>IF('②-1職員名簿'!W55="","",'②-1職員名簿'!W55)</f>
        <v/>
      </c>
      <c r="AJ55" s="17" t="str">
        <f t="shared" si="12"/>
        <v>○</v>
      </c>
      <c r="AK55" s="17" t="str">
        <f t="shared" si="13"/>
        <v>○</v>
      </c>
      <c r="AL55" s="17" t="str">
        <f t="shared" si="14"/>
        <v>○</v>
      </c>
      <c r="AM55" s="17" t="str">
        <f t="shared" si="15"/>
        <v>○</v>
      </c>
      <c r="AN55" s="17" t="str">
        <f t="shared" si="16"/>
        <v>○</v>
      </c>
      <c r="AO55" s="17" t="str">
        <f t="shared" si="17"/>
        <v>○</v>
      </c>
      <c r="AP55" s="17" t="str">
        <f t="shared" si="18"/>
        <v>○</v>
      </c>
      <c r="AQ55" s="17" t="str">
        <f t="shared" si="19"/>
        <v>○</v>
      </c>
      <c r="AR55" s="17" t="str">
        <f t="shared" si="20"/>
        <v>○</v>
      </c>
      <c r="AS55" s="17" t="str">
        <f t="shared" si="21"/>
        <v>○</v>
      </c>
      <c r="AT55" s="17" t="str">
        <f t="shared" si="22"/>
        <v>○</v>
      </c>
      <c r="AU55" s="17" t="str">
        <f t="shared" si="23"/>
        <v>○</v>
      </c>
    </row>
    <row r="56" spans="1:47" s="90" customFormat="1" ht="23.15" customHeight="1">
      <c r="A56" s="87">
        <v>50</v>
      </c>
      <c r="B56" s="86" t="str">
        <f>IF('②-1職員名簿'!E56="","",'②-1職員名簿'!Y56)</f>
        <v/>
      </c>
      <c r="C56" s="88" t="str">
        <f>'②-1職員名簿'!BE56</f>
        <v/>
      </c>
      <c r="D56" s="117" t="str">
        <f t="shared" si="9"/>
        <v/>
      </c>
      <c r="E56" s="18" t="str">
        <f>IF($B56="","",IF(AND('②-1職員名簿'!C56="正",'②-1職員名簿'!D56="常"),"正規職員","契約上の就業時間を記載"))</f>
        <v/>
      </c>
      <c r="F56" s="9" t="str">
        <f>IF($B56="","",IF(OR('②-1職員名簿'!AC56="○",'②-1職員名簿'!AC56="●"),IF($E56="正規職員","正",IF($E56="契約上の就業時間を記載","","見込を入力")),"-"))</f>
        <v/>
      </c>
      <c r="G56" s="9" t="str">
        <f>IF($B56="","",IF(OR('②-1職員名簿'!AD56="○",'②-1職員名簿'!AD56="●"),IF($E56="正規職員","正",IF($E56="契約上の就業時間を記載","","実績を入力")),"-"))</f>
        <v/>
      </c>
      <c r="H56" s="9" t="str">
        <f>IF($B56="","",IF(OR('②-1職員名簿'!AE56="○",'②-1職員名簿'!AE56="●"),IF($E56="正規職員","正",IF($E56="契約上の就業時間を記載","","実績を入力")),"-"))</f>
        <v/>
      </c>
      <c r="I56" s="9" t="str">
        <f>IF($B56="","",IF(OR('②-1職員名簿'!AF56="○",'②-1職員名簿'!AF56="●"),IF($E56="正規職員","正",IF($E56="契約上の就業時間を記載","","実績を入力")),"-"))</f>
        <v/>
      </c>
      <c r="J56" s="9" t="str">
        <f>IF($B56="","",IF(OR('②-1職員名簿'!AG56="○",'②-1職員名簿'!AG56="●"),IF($E56="正規職員","正",IF($E56="契約上の就業時間を記載","","実績を入力")),"-"))</f>
        <v/>
      </c>
      <c r="K56" s="9" t="str">
        <f>IF($B56="","",IF(OR('②-1職員名簿'!AH56="○",'②-1職員名簿'!AH56="●"),IF($E56="正規職員","正",IF($E56="契約上の就業時間を記載","","実績を入力")),"-"))</f>
        <v/>
      </c>
      <c r="L56" s="9" t="str">
        <f>IF($B56="","",IF(OR('②-1職員名簿'!AI56="○",'②-1職員名簿'!AI56="●"),IF($E56="正規職員","正",IF($E56="契約上の就業時間を記載","","実績を入力")),"-"))</f>
        <v/>
      </c>
      <c r="M56" s="9" t="str">
        <f>IF($B56="","",IF(OR('②-1職員名簿'!AJ56="○",'②-1職員名簿'!AJ56="●"),IF($E56="正規職員","正",IF($E56="契約上の就業時間を記載","","実績を入力")),"-"))</f>
        <v/>
      </c>
      <c r="N56" s="9" t="str">
        <f>IF($B56="","",IF(OR('②-1職員名簿'!AK56="○",'②-1職員名簿'!AK56="●"),IF($E56="正規職員","正",IF($E56="契約上の就業時間を記載","","実績を入力")),"-"))</f>
        <v/>
      </c>
      <c r="O56" s="9" t="str">
        <f>IF($B56="","",IF(OR('②-1職員名簿'!AL56="○",'②-1職員名簿'!AL56="●"),IF($E56="正規職員","正",IF($E56="契約上の就業時間を記載","","実績を入力")),"-"))</f>
        <v/>
      </c>
      <c r="P56" s="9" t="str">
        <f>IF($B56="","",IF(OR('②-1職員名簿'!AM56="○",'②-1職員名簿'!AM56="●"),IF($E56="正規職員","正",IF($E56="契約上の就業時間を記載","","実績を入力")),"-"))</f>
        <v/>
      </c>
      <c r="Q56" s="9" t="str">
        <f>IF($B56="","",IF(OR('②-1職員名簿'!AN56="○",'②-1職員名簿'!AN56="●"),IF($E56="正規職員","正",IF($E56="契約上の就業時間を記載","","見込を入力")),"-"))</f>
        <v/>
      </c>
      <c r="R56" s="88" t="str">
        <f>IF($B56="","",IF(OR('②-1職員名簿'!AC56="○",'②-1職員名簿'!AC56="●"),IF($E56="正規職員","正",IF($E56="契約上の就業時間を記載","",IF($E56&gt;=F$5,"常",F56))),"-"))</f>
        <v/>
      </c>
      <c r="S56" s="88" t="str">
        <f>IF($B56="","",IF(OR('②-1職員名簿'!AD56="○",'②-1職員名簿'!AD56="●"),IF($E56="正規職員","正",IF($E56="契約上の就業時間を記載","",IF($E56&gt;=G$5,"常",G56))),"-"))</f>
        <v/>
      </c>
      <c r="T56" s="88" t="str">
        <f>IF($B56="","",IF(OR('②-1職員名簿'!AE56="○",'②-1職員名簿'!AE56="●"),IF($E56="正規職員","正",IF($E56="契約上の就業時間を記載","",IF($E56&gt;=H$5,"常",H56))),"-"))</f>
        <v/>
      </c>
      <c r="U56" s="88" t="str">
        <f>IF($B56="","",IF(OR('②-1職員名簿'!AF56="○",'②-1職員名簿'!AF56="●"),IF($E56="正規職員","正",IF($E56="契約上の就業時間を記載","",IF($E56&gt;=I$5,"常",I56))),"-"))</f>
        <v/>
      </c>
      <c r="V56" s="88" t="str">
        <f>IF($B56="","",IF(OR('②-1職員名簿'!AG56="○",'②-1職員名簿'!AG56="●"),IF($E56="正規職員","正",IF($E56="契約上の就業時間を記載","",IF($E56&gt;=J$5,"常",J56))),"-"))</f>
        <v/>
      </c>
      <c r="W56" s="88" t="str">
        <f>IF($B56="","",IF(OR('②-1職員名簿'!AH56="○",'②-1職員名簿'!AH56="●"),IF($E56="正規職員","正",IF($E56="契約上の就業時間を記載","",IF($E56&gt;=K$5,"常",K56))),"-"))</f>
        <v/>
      </c>
      <c r="X56" s="88" t="str">
        <f>IF($B56="","",IF(OR('②-1職員名簿'!AI56="○",'②-1職員名簿'!AI56="●"),IF($E56="正規職員","正",IF($E56="契約上の就業時間を記載","",IF($E56&gt;=L$5,"常",L56))),"-"))</f>
        <v/>
      </c>
      <c r="Y56" s="88" t="str">
        <f>IF($B56="","",IF(OR('②-1職員名簿'!AJ56="○",'②-1職員名簿'!AJ56="●"),IF($E56="正規職員","正",IF($E56="契約上の就業時間を記載","",IF($E56&gt;=M$5,"常",M56))),"-"))</f>
        <v/>
      </c>
      <c r="Z56" s="88" t="str">
        <f>IF($B56="","",IF(OR('②-1職員名簿'!AK56="○",'②-1職員名簿'!AK56="●"),IF($E56="正規職員","正",IF($E56="契約上の就業時間を記載","",IF($E56&gt;=N$5,"常",N56))),"-"))</f>
        <v/>
      </c>
      <c r="AA56" s="88" t="str">
        <f>IF($B56="","",IF(OR('②-1職員名簿'!AL56="○",'②-1職員名簿'!AL56="●"),IF($E56="正規職員","正",IF($E56="契約上の就業時間を記載","",IF($E56&gt;=O$5,"常",O56))),"-"))</f>
        <v/>
      </c>
      <c r="AB56" s="88" t="str">
        <f>IF($B56="","",IF(OR('②-1職員名簿'!AM56="○",'②-1職員名簿'!AM56="●"),IF($E56="正規職員","正",IF($E56="契約上の就業時間を記載","",IF($E56&gt;=P$5,"常",P56))),"-"))</f>
        <v/>
      </c>
      <c r="AC56" s="88" t="str">
        <f>IF($B56="","",IF(OR('②-1職員名簿'!AN56="○",'②-1職員名簿'!AN56="●"),IF($E56="正規職員","正",IF($E56="契約上の就業時間を記載","",IF($E56&gt;=Q$5,"常",Q56))),"-"))</f>
        <v/>
      </c>
      <c r="AE56" s="86" t="str">
        <f>IF('②-1職員名簿'!W56="","",'②-1職員名簿'!W56)</f>
        <v/>
      </c>
      <c r="AJ56" s="17" t="str">
        <f t="shared" si="12"/>
        <v>○</v>
      </c>
      <c r="AK56" s="17" t="str">
        <f t="shared" si="13"/>
        <v>○</v>
      </c>
      <c r="AL56" s="17" t="str">
        <f t="shared" si="14"/>
        <v>○</v>
      </c>
      <c r="AM56" s="17" t="str">
        <f t="shared" si="15"/>
        <v>○</v>
      </c>
      <c r="AN56" s="17" t="str">
        <f t="shared" si="16"/>
        <v>○</v>
      </c>
      <c r="AO56" s="17" t="str">
        <f t="shared" si="17"/>
        <v>○</v>
      </c>
      <c r="AP56" s="17" t="str">
        <f t="shared" si="18"/>
        <v>○</v>
      </c>
      <c r="AQ56" s="17" t="str">
        <f t="shared" si="19"/>
        <v>○</v>
      </c>
      <c r="AR56" s="17" t="str">
        <f t="shared" si="20"/>
        <v>○</v>
      </c>
      <c r="AS56" s="17" t="str">
        <f t="shared" si="21"/>
        <v>○</v>
      </c>
      <c r="AT56" s="17" t="str">
        <f t="shared" si="22"/>
        <v>○</v>
      </c>
      <c r="AU56" s="17" t="str">
        <f t="shared" si="23"/>
        <v>○</v>
      </c>
    </row>
    <row r="57" spans="1:47" s="90" customFormat="1" ht="23.15" customHeight="1">
      <c r="A57" s="87">
        <v>51</v>
      </c>
      <c r="B57" s="86" t="str">
        <f>IF('②-1職員名簿'!E57="","",'②-1職員名簿'!Y57)</f>
        <v/>
      </c>
      <c r="C57" s="88" t="str">
        <f>'②-1職員名簿'!BE57</f>
        <v/>
      </c>
      <c r="D57" s="117" t="str">
        <f t="shared" si="9"/>
        <v/>
      </c>
      <c r="E57" s="18" t="str">
        <f>IF($B57="","",IF(AND('②-1職員名簿'!C57="正",'②-1職員名簿'!D57="常"),"正規職員","契約上の就業時間を記載"))</f>
        <v/>
      </c>
      <c r="F57" s="9" t="str">
        <f>IF($B57="","",IF(OR('②-1職員名簿'!AC57="○",'②-1職員名簿'!AC57="●"),IF($E57="正規職員","正",IF($E57="契約上の就業時間を記載","","見込を入力")),"-"))</f>
        <v/>
      </c>
      <c r="G57" s="9" t="str">
        <f>IF($B57="","",IF(OR('②-1職員名簿'!AD57="○",'②-1職員名簿'!AD57="●"),IF($E57="正規職員","正",IF($E57="契約上の就業時間を記載","","実績を入力")),"-"))</f>
        <v/>
      </c>
      <c r="H57" s="9" t="str">
        <f>IF($B57="","",IF(OR('②-1職員名簿'!AE57="○",'②-1職員名簿'!AE57="●"),IF($E57="正規職員","正",IF($E57="契約上の就業時間を記載","","実績を入力")),"-"))</f>
        <v/>
      </c>
      <c r="I57" s="9" t="str">
        <f>IF($B57="","",IF(OR('②-1職員名簿'!AF57="○",'②-1職員名簿'!AF57="●"),IF($E57="正規職員","正",IF($E57="契約上の就業時間を記載","","実績を入力")),"-"))</f>
        <v/>
      </c>
      <c r="J57" s="9" t="str">
        <f>IF($B57="","",IF(OR('②-1職員名簿'!AG57="○",'②-1職員名簿'!AG57="●"),IF($E57="正規職員","正",IF($E57="契約上の就業時間を記載","","実績を入力")),"-"))</f>
        <v/>
      </c>
      <c r="K57" s="9" t="str">
        <f>IF($B57="","",IF(OR('②-1職員名簿'!AH57="○",'②-1職員名簿'!AH57="●"),IF($E57="正規職員","正",IF($E57="契約上の就業時間を記載","","実績を入力")),"-"))</f>
        <v/>
      </c>
      <c r="L57" s="9" t="str">
        <f>IF($B57="","",IF(OR('②-1職員名簿'!AI57="○",'②-1職員名簿'!AI57="●"),IF($E57="正規職員","正",IF($E57="契約上の就業時間を記載","","実績を入力")),"-"))</f>
        <v/>
      </c>
      <c r="M57" s="9" t="str">
        <f>IF($B57="","",IF(OR('②-1職員名簿'!AJ57="○",'②-1職員名簿'!AJ57="●"),IF($E57="正規職員","正",IF($E57="契約上の就業時間を記載","","実績を入力")),"-"))</f>
        <v/>
      </c>
      <c r="N57" s="9" t="str">
        <f>IF($B57="","",IF(OR('②-1職員名簿'!AK57="○",'②-1職員名簿'!AK57="●"),IF($E57="正規職員","正",IF($E57="契約上の就業時間を記載","","実績を入力")),"-"))</f>
        <v/>
      </c>
      <c r="O57" s="9" t="str">
        <f>IF($B57="","",IF(OR('②-1職員名簿'!AL57="○",'②-1職員名簿'!AL57="●"),IF($E57="正規職員","正",IF($E57="契約上の就業時間を記載","","実績を入力")),"-"))</f>
        <v/>
      </c>
      <c r="P57" s="9" t="str">
        <f>IF($B57="","",IF(OR('②-1職員名簿'!AM57="○",'②-1職員名簿'!AM57="●"),IF($E57="正規職員","正",IF($E57="契約上の就業時間を記載","","実績を入力")),"-"))</f>
        <v/>
      </c>
      <c r="Q57" s="9" t="str">
        <f>IF($B57="","",IF(OR('②-1職員名簿'!AN57="○",'②-1職員名簿'!AN57="●"),IF($E57="正規職員","正",IF($E57="契約上の就業時間を記載","","見込を入力")),"-"))</f>
        <v/>
      </c>
      <c r="R57" s="88" t="str">
        <f>IF($B57="","",IF(OR('②-1職員名簿'!AC57="○",'②-1職員名簿'!AC57="●"),IF($E57="正規職員","正",IF($E57="契約上の就業時間を記載","",IF($E57&gt;=F$5,"常",F57))),"-"))</f>
        <v/>
      </c>
      <c r="S57" s="88" t="str">
        <f>IF($B57="","",IF(OR('②-1職員名簿'!AD57="○",'②-1職員名簿'!AD57="●"),IF($E57="正規職員","正",IF($E57="契約上の就業時間を記載","",IF($E57&gt;=G$5,"常",G57))),"-"))</f>
        <v/>
      </c>
      <c r="T57" s="88" t="str">
        <f>IF($B57="","",IF(OR('②-1職員名簿'!AE57="○",'②-1職員名簿'!AE57="●"),IF($E57="正規職員","正",IF($E57="契約上の就業時間を記載","",IF($E57&gt;=H$5,"常",H57))),"-"))</f>
        <v/>
      </c>
      <c r="U57" s="88" t="str">
        <f>IF($B57="","",IF(OR('②-1職員名簿'!AF57="○",'②-1職員名簿'!AF57="●"),IF($E57="正規職員","正",IF($E57="契約上の就業時間を記載","",IF($E57&gt;=I$5,"常",I57))),"-"))</f>
        <v/>
      </c>
      <c r="V57" s="88" t="str">
        <f>IF($B57="","",IF(OR('②-1職員名簿'!AG57="○",'②-1職員名簿'!AG57="●"),IF($E57="正規職員","正",IF($E57="契約上の就業時間を記載","",IF($E57&gt;=J$5,"常",J57))),"-"))</f>
        <v/>
      </c>
      <c r="W57" s="88" t="str">
        <f>IF($B57="","",IF(OR('②-1職員名簿'!AH57="○",'②-1職員名簿'!AH57="●"),IF($E57="正規職員","正",IF($E57="契約上の就業時間を記載","",IF($E57&gt;=K$5,"常",K57))),"-"))</f>
        <v/>
      </c>
      <c r="X57" s="88" t="str">
        <f>IF($B57="","",IF(OR('②-1職員名簿'!AI57="○",'②-1職員名簿'!AI57="●"),IF($E57="正規職員","正",IF($E57="契約上の就業時間を記載","",IF($E57&gt;=L$5,"常",L57))),"-"))</f>
        <v/>
      </c>
      <c r="Y57" s="88" t="str">
        <f>IF($B57="","",IF(OR('②-1職員名簿'!AJ57="○",'②-1職員名簿'!AJ57="●"),IF($E57="正規職員","正",IF($E57="契約上の就業時間を記載","",IF($E57&gt;=M$5,"常",M57))),"-"))</f>
        <v/>
      </c>
      <c r="Z57" s="88" t="str">
        <f>IF($B57="","",IF(OR('②-1職員名簿'!AK57="○",'②-1職員名簿'!AK57="●"),IF($E57="正規職員","正",IF($E57="契約上の就業時間を記載","",IF($E57&gt;=N$5,"常",N57))),"-"))</f>
        <v/>
      </c>
      <c r="AA57" s="88" t="str">
        <f>IF($B57="","",IF(OR('②-1職員名簿'!AL57="○",'②-1職員名簿'!AL57="●"),IF($E57="正規職員","正",IF($E57="契約上の就業時間を記載","",IF($E57&gt;=O$5,"常",O57))),"-"))</f>
        <v/>
      </c>
      <c r="AB57" s="88" t="str">
        <f>IF($B57="","",IF(OR('②-1職員名簿'!AM57="○",'②-1職員名簿'!AM57="●"),IF($E57="正規職員","正",IF($E57="契約上の就業時間を記載","",IF($E57&gt;=P$5,"常",P57))),"-"))</f>
        <v/>
      </c>
      <c r="AC57" s="88" t="str">
        <f>IF($B57="","",IF(OR('②-1職員名簿'!AN57="○",'②-1職員名簿'!AN57="●"),IF($E57="正規職員","正",IF($E57="契約上の就業時間を記載","",IF($E57&gt;=Q$5,"常",Q57))),"-"))</f>
        <v/>
      </c>
      <c r="AE57" s="86" t="str">
        <f>IF('②-1職員名簿'!W57="","",'②-1職員名簿'!W57)</f>
        <v/>
      </c>
      <c r="AJ57" s="17" t="str">
        <f t="shared" si="12"/>
        <v>○</v>
      </c>
      <c r="AK57" s="17" t="str">
        <f t="shared" si="13"/>
        <v>○</v>
      </c>
      <c r="AL57" s="17" t="str">
        <f t="shared" si="14"/>
        <v>○</v>
      </c>
      <c r="AM57" s="17" t="str">
        <f t="shared" si="15"/>
        <v>○</v>
      </c>
      <c r="AN57" s="17" t="str">
        <f t="shared" si="16"/>
        <v>○</v>
      </c>
      <c r="AO57" s="17" t="str">
        <f t="shared" si="17"/>
        <v>○</v>
      </c>
      <c r="AP57" s="17" t="str">
        <f t="shared" si="18"/>
        <v>○</v>
      </c>
      <c r="AQ57" s="17" t="str">
        <f t="shared" si="19"/>
        <v>○</v>
      </c>
      <c r="AR57" s="17" t="str">
        <f t="shared" si="20"/>
        <v>○</v>
      </c>
      <c r="AS57" s="17" t="str">
        <f t="shared" si="21"/>
        <v>○</v>
      </c>
      <c r="AT57" s="17" t="str">
        <f t="shared" si="22"/>
        <v>○</v>
      </c>
      <c r="AU57" s="17" t="str">
        <f t="shared" si="23"/>
        <v>○</v>
      </c>
    </row>
    <row r="58" spans="1:47" s="90" customFormat="1" ht="23.15" customHeight="1">
      <c r="A58" s="87">
        <v>52</v>
      </c>
      <c r="B58" s="86" t="str">
        <f>IF('②-1職員名簿'!E58="","",'②-1職員名簿'!Y58)</f>
        <v/>
      </c>
      <c r="C58" s="88" t="str">
        <f>'②-1職員名簿'!BE58</f>
        <v/>
      </c>
      <c r="D58" s="117" t="str">
        <f t="shared" si="9"/>
        <v/>
      </c>
      <c r="E58" s="18" t="str">
        <f>IF($B58="","",IF(AND('②-1職員名簿'!C58="正",'②-1職員名簿'!D58="常"),"正規職員","契約上の就業時間を記載"))</f>
        <v/>
      </c>
      <c r="F58" s="9" t="str">
        <f>IF($B58="","",IF(OR('②-1職員名簿'!AC58="○",'②-1職員名簿'!AC58="●"),IF($E58="正規職員","正",IF($E58="契約上の就業時間を記載","","見込を入力")),"-"))</f>
        <v/>
      </c>
      <c r="G58" s="9" t="str">
        <f>IF($B58="","",IF(OR('②-1職員名簿'!AD58="○",'②-1職員名簿'!AD58="●"),IF($E58="正規職員","正",IF($E58="契約上の就業時間を記載","","実績を入力")),"-"))</f>
        <v/>
      </c>
      <c r="H58" s="9" t="str">
        <f>IF($B58="","",IF(OR('②-1職員名簿'!AE58="○",'②-1職員名簿'!AE58="●"),IF($E58="正規職員","正",IF($E58="契約上の就業時間を記載","","実績を入力")),"-"))</f>
        <v/>
      </c>
      <c r="I58" s="9" t="str">
        <f>IF($B58="","",IF(OR('②-1職員名簿'!AF58="○",'②-1職員名簿'!AF58="●"),IF($E58="正規職員","正",IF($E58="契約上の就業時間を記載","","実績を入力")),"-"))</f>
        <v/>
      </c>
      <c r="J58" s="9" t="str">
        <f>IF($B58="","",IF(OR('②-1職員名簿'!AG58="○",'②-1職員名簿'!AG58="●"),IF($E58="正規職員","正",IF($E58="契約上の就業時間を記載","","実績を入力")),"-"))</f>
        <v/>
      </c>
      <c r="K58" s="9" t="str">
        <f>IF($B58="","",IF(OR('②-1職員名簿'!AH58="○",'②-1職員名簿'!AH58="●"),IF($E58="正規職員","正",IF($E58="契約上の就業時間を記載","","実績を入力")),"-"))</f>
        <v/>
      </c>
      <c r="L58" s="9" t="str">
        <f>IF($B58="","",IF(OR('②-1職員名簿'!AI58="○",'②-1職員名簿'!AI58="●"),IF($E58="正規職員","正",IF($E58="契約上の就業時間を記載","","実績を入力")),"-"))</f>
        <v/>
      </c>
      <c r="M58" s="9" t="str">
        <f>IF($B58="","",IF(OR('②-1職員名簿'!AJ58="○",'②-1職員名簿'!AJ58="●"),IF($E58="正規職員","正",IF($E58="契約上の就業時間を記載","","実績を入力")),"-"))</f>
        <v/>
      </c>
      <c r="N58" s="9" t="str">
        <f>IF($B58="","",IF(OR('②-1職員名簿'!AK58="○",'②-1職員名簿'!AK58="●"),IF($E58="正規職員","正",IF($E58="契約上の就業時間を記載","","実績を入力")),"-"))</f>
        <v/>
      </c>
      <c r="O58" s="9" t="str">
        <f>IF($B58="","",IF(OR('②-1職員名簿'!AL58="○",'②-1職員名簿'!AL58="●"),IF($E58="正規職員","正",IF($E58="契約上の就業時間を記載","","実績を入力")),"-"))</f>
        <v/>
      </c>
      <c r="P58" s="9" t="str">
        <f>IF($B58="","",IF(OR('②-1職員名簿'!AM58="○",'②-1職員名簿'!AM58="●"),IF($E58="正規職員","正",IF($E58="契約上の就業時間を記載","","実績を入力")),"-"))</f>
        <v/>
      </c>
      <c r="Q58" s="9" t="str">
        <f>IF($B58="","",IF(OR('②-1職員名簿'!AN58="○",'②-1職員名簿'!AN58="●"),IF($E58="正規職員","正",IF($E58="契約上の就業時間を記載","","見込を入力")),"-"))</f>
        <v/>
      </c>
      <c r="R58" s="88" t="str">
        <f>IF($B58="","",IF(OR('②-1職員名簿'!AC58="○",'②-1職員名簿'!AC58="●"),IF($E58="正規職員","正",IF($E58="契約上の就業時間を記載","",IF($E58&gt;=F$5,"常",F58))),"-"))</f>
        <v/>
      </c>
      <c r="S58" s="88" t="str">
        <f>IF($B58="","",IF(OR('②-1職員名簿'!AD58="○",'②-1職員名簿'!AD58="●"),IF($E58="正規職員","正",IF($E58="契約上の就業時間を記載","",IF($E58&gt;=G$5,"常",G58))),"-"))</f>
        <v/>
      </c>
      <c r="T58" s="88" t="str">
        <f>IF($B58="","",IF(OR('②-1職員名簿'!AE58="○",'②-1職員名簿'!AE58="●"),IF($E58="正規職員","正",IF($E58="契約上の就業時間を記載","",IF($E58&gt;=H$5,"常",H58))),"-"))</f>
        <v/>
      </c>
      <c r="U58" s="88" t="str">
        <f>IF($B58="","",IF(OR('②-1職員名簿'!AF58="○",'②-1職員名簿'!AF58="●"),IF($E58="正規職員","正",IF($E58="契約上の就業時間を記載","",IF($E58&gt;=I$5,"常",I58))),"-"))</f>
        <v/>
      </c>
      <c r="V58" s="88" t="str">
        <f>IF($B58="","",IF(OR('②-1職員名簿'!AG58="○",'②-1職員名簿'!AG58="●"),IF($E58="正規職員","正",IF($E58="契約上の就業時間を記載","",IF($E58&gt;=J$5,"常",J58))),"-"))</f>
        <v/>
      </c>
      <c r="W58" s="88" t="str">
        <f>IF($B58="","",IF(OR('②-1職員名簿'!AH58="○",'②-1職員名簿'!AH58="●"),IF($E58="正規職員","正",IF($E58="契約上の就業時間を記載","",IF($E58&gt;=K$5,"常",K58))),"-"))</f>
        <v/>
      </c>
      <c r="X58" s="88" t="str">
        <f>IF($B58="","",IF(OR('②-1職員名簿'!AI58="○",'②-1職員名簿'!AI58="●"),IF($E58="正規職員","正",IF($E58="契約上の就業時間を記載","",IF($E58&gt;=L$5,"常",L58))),"-"))</f>
        <v/>
      </c>
      <c r="Y58" s="88" t="str">
        <f>IF($B58="","",IF(OR('②-1職員名簿'!AJ58="○",'②-1職員名簿'!AJ58="●"),IF($E58="正規職員","正",IF($E58="契約上の就業時間を記載","",IF($E58&gt;=M$5,"常",M58))),"-"))</f>
        <v/>
      </c>
      <c r="Z58" s="88" t="str">
        <f>IF($B58="","",IF(OR('②-1職員名簿'!AK58="○",'②-1職員名簿'!AK58="●"),IF($E58="正規職員","正",IF($E58="契約上の就業時間を記載","",IF($E58&gt;=N$5,"常",N58))),"-"))</f>
        <v/>
      </c>
      <c r="AA58" s="88" t="str">
        <f>IF($B58="","",IF(OR('②-1職員名簿'!AL58="○",'②-1職員名簿'!AL58="●"),IF($E58="正規職員","正",IF($E58="契約上の就業時間を記載","",IF($E58&gt;=O$5,"常",O58))),"-"))</f>
        <v/>
      </c>
      <c r="AB58" s="88" t="str">
        <f>IF($B58="","",IF(OR('②-1職員名簿'!AM58="○",'②-1職員名簿'!AM58="●"),IF($E58="正規職員","正",IF($E58="契約上の就業時間を記載","",IF($E58&gt;=P$5,"常",P58))),"-"))</f>
        <v/>
      </c>
      <c r="AC58" s="88" t="str">
        <f>IF($B58="","",IF(OR('②-1職員名簿'!AN58="○",'②-1職員名簿'!AN58="●"),IF($E58="正規職員","正",IF($E58="契約上の就業時間を記載","",IF($E58&gt;=Q$5,"常",Q58))),"-"))</f>
        <v/>
      </c>
      <c r="AE58" s="86" t="str">
        <f>IF('②-1職員名簿'!W58="","",'②-1職員名簿'!W58)</f>
        <v/>
      </c>
      <c r="AJ58" s="17" t="str">
        <f t="shared" si="12"/>
        <v>○</v>
      </c>
      <c r="AK58" s="17" t="str">
        <f t="shared" si="13"/>
        <v>○</v>
      </c>
      <c r="AL58" s="17" t="str">
        <f t="shared" si="14"/>
        <v>○</v>
      </c>
      <c r="AM58" s="17" t="str">
        <f t="shared" si="15"/>
        <v>○</v>
      </c>
      <c r="AN58" s="17" t="str">
        <f t="shared" si="16"/>
        <v>○</v>
      </c>
      <c r="AO58" s="17" t="str">
        <f t="shared" si="17"/>
        <v>○</v>
      </c>
      <c r="AP58" s="17" t="str">
        <f t="shared" si="18"/>
        <v>○</v>
      </c>
      <c r="AQ58" s="17" t="str">
        <f t="shared" si="19"/>
        <v>○</v>
      </c>
      <c r="AR58" s="17" t="str">
        <f t="shared" si="20"/>
        <v>○</v>
      </c>
      <c r="AS58" s="17" t="str">
        <f t="shared" si="21"/>
        <v>○</v>
      </c>
      <c r="AT58" s="17" t="str">
        <f t="shared" si="22"/>
        <v>○</v>
      </c>
      <c r="AU58" s="17" t="str">
        <f t="shared" si="23"/>
        <v>○</v>
      </c>
    </row>
    <row r="59" spans="1:47" s="90" customFormat="1" ht="23.15" customHeight="1">
      <c r="A59" s="87">
        <v>53</v>
      </c>
      <c r="B59" s="86" t="str">
        <f>IF('②-1職員名簿'!E59="","",'②-1職員名簿'!Y59)</f>
        <v/>
      </c>
      <c r="C59" s="88" t="str">
        <f>'②-1職員名簿'!BE59</f>
        <v/>
      </c>
      <c r="D59" s="117" t="str">
        <f t="shared" si="9"/>
        <v/>
      </c>
      <c r="E59" s="18" t="str">
        <f>IF($B59="","",IF(AND('②-1職員名簿'!C59="正",'②-1職員名簿'!D59="常"),"正規職員","契約上の就業時間を記載"))</f>
        <v/>
      </c>
      <c r="F59" s="9" t="str">
        <f>IF($B59="","",IF(OR('②-1職員名簿'!AC59="○",'②-1職員名簿'!AC59="●"),IF($E59="正規職員","正",IF($E59="契約上の就業時間を記載","","見込を入力")),"-"))</f>
        <v/>
      </c>
      <c r="G59" s="9" t="str">
        <f>IF($B59="","",IF(OR('②-1職員名簿'!AD59="○",'②-1職員名簿'!AD59="●"),IF($E59="正規職員","正",IF($E59="契約上の就業時間を記載","","実績を入力")),"-"))</f>
        <v/>
      </c>
      <c r="H59" s="9" t="str">
        <f>IF($B59="","",IF(OR('②-1職員名簿'!AE59="○",'②-1職員名簿'!AE59="●"),IF($E59="正規職員","正",IF($E59="契約上の就業時間を記載","","実績を入力")),"-"))</f>
        <v/>
      </c>
      <c r="I59" s="9" t="str">
        <f>IF($B59="","",IF(OR('②-1職員名簿'!AF59="○",'②-1職員名簿'!AF59="●"),IF($E59="正規職員","正",IF($E59="契約上の就業時間を記載","","実績を入力")),"-"))</f>
        <v/>
      </c>
      <c r="J59" s="9" t="str">
        <f>IF($B59="","",IF(OR('②-1職員名簿'!AG59="○",'②-1職員名簿'!AG59="●"),IF($E59="正規職員","正",IF($E59="契約上の就業時間を記載","","実績を入力")),"-"))</f>
        <v/>
      </c>
      <c r="K59" s="9" t="str">
        <f>IF($B59="","",IF(OR('②-1職員名簿'!AH59="○",'②-1職員名簿'!AH59="●"),IF($E59="正規職員","正",IF($E59="契約上の就業時間を記載","","実績を入力")),"-"))</f>
        <v/>
      </c>
      <c r="L59" s="9" t="str">
        <f>IF($B59="","",IF(OR('②-1職員名簿'!AI59="○",'②-1職員名簿'!AI59="●"),IF($E59="正規職員","正",IF($E59="契約上の就業時間を記載","","実績を入力")),"-"))</f>
        <v/>
      </c>
      <c r="M59" s="9" t="str">
        <f>IF($B59="","",IF(OR('②-1職員名簿'!AJ59="○",'②-1職員名簿'!AJ59="●"),IF($E59="正規職員","正",IF($E59="契約上の就業時間を記載","","実績を入力")),"-"))</f>
        <v/>
      </c>
      <c r="N59" s="9" t="str">
        <f>IF($B59="","",IF(OR('②-1職員名簿'!AK59="○",'②-1職員名簿'!AK59="●"),IF($E59="正規職員","正",IF($E59="契約上の就業時間を記載","","実績を入力")),"-"))</f>
        <v/>
      </c>
      <c r="O59" s="9" t="str">
        <f>IF($B59="","",IF(OR('②-1職員名簿'!AL59="○",'②-1職員名簿'!AL59="●"),IF($E59="正規職員","正",IF($E59="契約上の就業時間を記載","","実績を入力")),"-"))</f>
        <v/>
      </c>
      <c r="P59" s="9" t="str">
        <f>IF($B59="","",IF(OR('②-1職員名簿'!AM59="○",'②-1職員名簿'!AM59="●"),IF($E59="正規職員","正",IF($E59="契約上の就業時間を記載","","実績を入力")),"-"))</f>
        <v/>
      </c>
      <c r="Q59" s="9" t="str">
        <f>IF($B59="","",IF(OR('②-1職員名簿'!AN59="○",'②-1職員名簿'!AN59="●"),IF($E59="正規職員","正",IF($E59="契約上の就業時間を記載","","見込を入力")),"-"))</f>
        <v/>
      </c>
      <c r="R59" s="88" t="str">
        <f>IF($B59="","",IF(OR('②-1職員名簿'!AC59="○",'②-1職員名簿'!AC59="●"),IF($E59="正規職員","正",IF($E59="契約上の就業時間を記載","",IF($E59&gt;=F$5,"常",F59))),"-"))</f>
        <v/>
      </c>
      <c r="S59" s="88" t="str">
        <f>IF($B59="","",IF(OR('②-1職員名簿'!AD59="○",'②-1職員名簿'!AD59="●"),IF($E59="正規職員","正",IF($E59="契約上の就業時間を記載","",IF($E59&gt;=G$5,"常",G59))),"-"))</f>
        <v/>
      </c>
      <c r="T59" s="88" t="str">
        <f>IF($B59="","",IF(OR('②-1職員名簿'!AE59="○",'②-1職員名簿'!AE59="●"),IF($E59="正規職員","正",IF($E59="契約上の就業時間を記載","",IF($E59&gt;=H$5,"常",H59))),"-"))</f>
        <v/>
      </c>
      <c r="U59" s="88" t="str">
        <f>IF($B59="","",IF(OR('②-1職員名簿'!AF59="○",'②-1職員名簿'!AF59="●"),IF($E59="正規職員","正",IF($E59="契約上の就業時間を記載","",IF($E59&gt;=I$5,"常",I59))),"-"))</f>
        <v/>
      </c>
      <c r="V59" s="88" t="str">
        <f>IF($B59="","",IF(OR('②-1職員名簿'!AG59="○",'②-1職員名簿'!AG59="●"),IF($E59="正規職員","正",IF($E59="契約上の就業時間を記載","",IF($E59&gt;=J$5,"常",J59))),"-"))</f>
        <v/>
      </c>
      <c r="W59" s="88" t="str">
        <f>IF($B59="","",IF(OR('②-1職員名簿'!AH59="○",'②-1職員名簿'!AH59="●"),IF($E59="正規職員","正",IF($E59="契約上の就業時間を記載","",IF($E59&gt;=K$5,"常",K59))),"-"))</f>
        <v/>
      </c>
      <c r="X59" s="88" t="str">
        <f>IF($B59="","",IF(OR('②-1職員名簿'!AI59="○",'②-1職員名簿'!AI59="●"),IF($E59="正規職員","正",IF($E59="契約上の就業時間を記載","",IF($E59&gt;=L$5,"常",L59))),"-"))</f>
        <v/>
      </c>
      <c r="Y59" s="88" t="str">
        <f>IF($B59="","",IF(OR('②-1職員名簿'!AJ59="○",'②-1職員名簿'!AJ59="●"),IF($E59="正規職員","正",IF($E59="契約上の就業時間を記載","",IF($E59&gt;=M$5,"常",M59))),"-"))</f>
        <v/>
      </c>
      <c r="Z59" s="88" t="str">
        <f>IF($B59="","",IF(OR('②-1職員名簿'!AK59="○",'②-1職員名簿'!AK59="●"),IF($E59="正規職員","正",IF($E59="契約上の就業時間を記載","",IF($E59&gt;=N$5,"常",N59))),"-"))</f>
        <v/>
      </c>
      <c r="AA59" s="88" t="str">
        <f>IF($B59="","",IF(OR('②-1職員名簿'!AL59="○",'②-1職員名簿'!AL59="●"),IF($E59="正規職員","正",IF($E59="契約上の就業時間を記載","",IF($E59&gt;=O$5,"常",O59))),"-"))</f>
        <v/>
      </c>
      <c r="AB59" s="88" t="str">
        <f>IF($B59="","",IF(OR('②-1職員名簿'!AM59="○",'②-1職員名簿'!AM59="●"),IF($E59="正規職員","正",IF($E59="契約上の就業時間を記載","",IF($E59&gt;=P$5,"常",P59))),"-"))</f>
        <v/>
      </c>
      <c r="AC59" s="88" t="str">
        <f>IF($B59="","",IF(OR('②-1職員名簿'!AN59="○",'②-1職員名簿'!AN59="●"),IF($E59="正規職員","正",IF($E59="契約上の就業時間を記載","",IF($E59&gt;=Q$5,"常",Q59))),"-"))</f>
        <v/>
      </c>
      <c r="AE59" s="86" t="str">
        <f>IF('②-1職員名簿'!W59="","",'②-1職員名簿'!W59)</f>
        <v/>
      </c>
      <c r="AJ59" s="17" t="str">
        <f t="shared" si="12"/>
        <v>○</v>
      </c>
      <c r="AK59" s="17" t="str">
        <f t="shared" si="13"/>
        <v>○</v>
      </c>
      <c r="AL59" s="17" t="str">
        <f t="shared" si="14"/>
        <v>○</v>
      </c>
      <c r="AM59" s="17" t="str">
        <f t="shared" si="15"/>
        <v>○</v>
      </c>
      <c r="AN59" s="17" t="str">
        <f t="shared" si="16"/>
        <v>○</v>
      </c>
      <c r="AO59" s="17" t="str">
        <f t="shared" si="17"/>
        <v>○</v>
      </c>
      <c r="AP59" s="17" t="str">
        <f t="shared" si="18"/>
        <v>○</v>
      </c>
      <c r="AQ59" s="17" t="str">
        <f t="shared" si="19"/>
        <v>○</v>
      </c>
      <c r="AR59" s="17" t="str">
        <f t="shared" si="20"/>
        <v>○</v>
      </c>
      <c r="AS59" s="17" t="str">
        <f t="shared" si="21"/>
        <v>○</v>
      </c>
      <c r="AT59" s="17" t="str">
        <f t="shared" si="22"/>
        <v>○</v>
      </c>
      <c r="AU59" s="17" t="str">
        <f t="shared" si="23"/>
        <v>○</v>
      </c>
    </row>
    <row r="60" spans="1:47" s="90" customFormat="1" ht="23.15" customHeight="1">
      <c r="A60" s="87">
        <v>54</v>
      </c>
      <c r="B60" s="86" t="str">
        <f>IF('②-1職員名簿'!E60="","",'②-1職員名簿'!Y60)</f>
        <v/>
      </c>
      <c r="C60" s="88" t="str">
        <f>'②-1職員名簿'!BE60</f>
        <v/>
      </c>
      <c r="D60" s="117" t="str">
        <f t="shared" si="9"/>
        <v/>
      </c>
      <c r="E60" s="18" t="str">
        <f>IF($B60="","",IF(AND('②-1職員名簿'!C60="正",'②-1職員名簿'!D60="常"),"正規職員","契約上の就業時間を記載"))</f>
        <v/>
      </c>
      <c r="F60" s="9" t="str">
        <f>IF($B60="","",IF(OR('②-1職員名簿'!AC60="○",'②-1職員名簿'!AC60="●"),IF($E60="正規職員","正",IF($E60="契約上の就業時間を記載","","見込を入力")),"-"))</f>
        <v/>
      </c>
      <c r="G60" s="9" t="str">
        <f>IF($B60="","",IF(OR('②-1職員名簿'!AD60="○",'②-1職員名簿'!AD60="●"),IF($E60="正規職員","正",IF($E60="契約上の就業時間を記載","","実績を入力")),"-"))</f>
        <v/>
      </c>
      <c r="H60" s="9" t="str">
        <f>IF($B60="","",IF(OR('②-1職員名簿'!AE60="○",'②-1職員名簿'!AE60="●"),IF($E60="正規職員","正",IF($E60="契約上の就業時間を記載","","実績を入力")),"-"))</f>
        <v/>
      </c>
      <c r="I60" s="9" t="str">
        <f>IF($B60="","",IF(OR('②-1職員名簿'!AF60="○",'②-1職員名簿'!AF60="●"),IF($E60="正規職員","正",IF($E60="契約上の就業時間を記載","","実績を入力")),"-"))</f>
        <v/>
      </c>
      <c r="J60" s="9" t="str">
        <f>IF($B60="","",IF(OR('②-1職員名簿'!AG60="○",'②-1職員名簿'!AG60="●"),IF($E60="正規職員","正",IF($E60="契約上の就業時間を記載","","実績を入力")),"-"))</f>
        <v/>
      </c>
      <c r="K60" s="9" t="str">
        <f>IF($B60="","",IF(OR('②-1職員名簿'!AH60="○",'②-1職員名簿'!AH60="●"),IF($E60="正規職員","正",IF($E60="契約上の就業時間を記載","","実績を入力")),"-"))</f>
        <v/>
      </c>
      <c r="L60" s="9" t="str">
        <f>IF($B60="","",IF(OR('②-1職員名簿'!AI60="○",'②-1職員名簿'!AI60="●"),IF($E60="正規職員","正",IF($E60="契約上の就業時間を記載","","実績を入力")),"-"))</f>
        <v/>
      </c>
      <c r="M60" s="9" t="str">
        <f>IF($B60="","",IF(OR('②-1職員名簿'!AJ60="○",'②-1職員名簿'!AJ60="●"),IF($E60="正規職員","正",IF($E60="契約上の就業時間を記載","","実績を入力")),"-"))</f>
        <v/>
      </c>
      <c r="N60" s="9" t="str">
        <f>IF($B60="","",IF(OR('②-1職員名簿'!AK60="○",'②-1職員名簿'!AK60="●"),IF($E60="正規職員","正",IF($E60="契約上の就業時間を記載","","実績を入力")),"-"))</f>
        <v/>
      </c>
      <c r="O60" s="9" t="str">
        <f>IF($B60="","",IF(OR('②-1職員名簿'!AL60="○",'②-1職員名簿'!AL60="●"),IF($E60="正規職員","正",IF($E60="契約上の就業時間を記載","","実績を入力")),"-"))</f>
        <v/>
      </c>
      <c r="P60" s="9" t="str">
        <f>IF($B60="","",IF(OR('②-1職員名簿'!AM60="○",'②-1職員名簿'!AM60="●"),IF($E60="正規職員","正",IF($E60="契約上の就業時間を記載","","実績を入力")),"-"))</f>
        <v/>
      </c>
      <c r="Q60" s="9" t="str">
        <f>IF($B60="","",IF(OR('②-1職員名簿'!AN60="○",'②-1職員名簿'!AN60="●"),IF($E60="正規職員","正",IF($E60="契約上の就業時間を記載","","見込を入力")),"-"))</f>
        <v/>
      </c>
      <c r="R60" s="88" t="str">
        <f>IF($B60="","",IF(OR('②-1職員名簿'!AC60="○",'②-1職員名簿'!AC60="●"),IF($E60="正規職員","正",IF($E60="契約上の就業時間を記載","",IF($E60&gt;=F$5,"常",F60))),"-"))</f>
        <v/>
      </c>
      <c r="S60" s="88" t="str">
        <f>IF($B60="","",IF(OR('②-1職員名簿'!AD60="○",'②-1職員名簿'!AD60="●"),IF($E60="正規職員","正",IF($E60="契約上の就業時間を記載","",IF($E60&gt;=G$5,"常",G60))),"-"))</f>
        <v/>
      </c>
      <c r="T60" s="88" t="str">
        <f>IF($B60="","",IF(OR('②-1職員名簿'!AE60="○",'②-1職員名簿'!AE60="●"),IF($E60="正規職員","正",IF($E60="契約上の就業時間を記載","",IF($E60&gt;=H$5,"常",H60))),"-"))</f>
        <v/>
      </c>
      <c r="U60" s="88" t="str">
        <f>IF($B60="","",IF(OR('②-1職員名簿'!AF60="○",'②-1職員名簿'!AF60="●"),IF($E60="正規職員","正",IF($E60="契約上の就業時間を記載","",IF($E60&gt;=I$5,"常",I60))),"-"))</f>
        <v/>
      </c>
      <c r="V60" s="88" t="str">
        <f>IF($B60="","",IF(OR('②-1職員名簿'!AG60="○",'②-1職員名簿'!AG60="●"),IF($E60="正規職員","正",IF($E60="契約上の就業時間を記載","",IF($E60&gt;=J$5,"常",J60))),"-"))</f>
        <v/>
      </c>
      <c r="W60" s="88" t="str">
        <f>IF($B60="","",IF(OR('②-1職員名簿'!AH60="○",'②-1職員名簿'!AH60="●"),IF($E60="正規職員","正",IF($E60="契約上の就業時間を記載","",IF($E60&gt;=K$5,"常",K60))),"-"))</f>
        <v/>
      </c>
      <c r="X60" s="88" t="str">
        <f>IF($B60="","",IF(OR('②-1職員名簿'!AI60="○",'②-1職員名簿'!AI60="●"),IF($E60="正規職員","正",IF($E60="契約上の就業時間を記載","",IF($E60&gt;=L$5,"常",L60))),"-"))</f>
        <v/>
      </c>
      <c r="Y60" s="88" t="str">
        <f>IF($B60="","",IF(OR('②-1職員名簿'!AJ60="○",'②-1職員名簿'!AJ60="●"),IF($E60="正規職員","正",IF($E60="契約上の就業時間を記載","",IF($E60&gt;=M$5,"常",M60))),"-"))</f>
        <v/>
      </c>
      <c r="Z60" s="88" t="str">
        <f>IF($B60="","",IF(OR('②-1職員名簿'!AK60="○",'②-1職員名簿'!AK60="●"),IF($E60="正規職員","正",IF($E60="契約上の就業時間を記載","",IF($E60&gt;=N$5,"常",N60))),"-"))</f>
        <v/>
      </c>
      <c r="AA60" s="88" t="str">
        <f>IF($B60="","",IF(OR('②-1職員名簿'!AL60="○",'②-1職員名簿'!AL60="●"),IF($E60="正規職員","正",IF($E60="契約上の就業時間を記載","",IF($E60&gt;=O$5,"常",O60))),"-"))</f>
        <v/>
      </c>
      <c r="AB60" s="88" t="str">
        <f>IF($B60="","",IF(OR('②-1職員名簿'!AM60="○",'②-1職員名簿'!AM60="●"),IF($E60="正規職員","正",IF($E60="契約上の就業時間を記載","",IF($E60&gt;=P$5,"常",P60))),"-"))</f>
        <v/>
      </c>
      <c r="AC60" s="88" t="str">
        <f>IF($B60="","",IF(OR('②-1職員名簿'!AN60="○",'②-1職員名簿'!AN60="●"),IF($E60="正規職員","正",IF($E60="契約上の就業時間を記載","",IF($E60&gt;=Q$5,"常",Q60))),"-"))</f>
        <v/>
      </c>
      <c r="AE60" s="86" t="str">
        <f>IF('②-1職員名簿'!W60="","",'②-1職員名簿'!W60)</f>
        <v/>
      </c>
      <c r="AJ60" s="17" t="str">
        <f t="shared" si="12"/>
        <v>○</v>
      </c>
      <c r="AK60" s="17" t="str">
        <f t="shared" si="13"/>
        <v>○</v>
      </c>
      <c r="AL60" s="17" t="str">
        <f t="shared" si="14"/>
        <v>○</v>
      </c>
      <c r="AM60" s="17" t="str">
        <f t="shared" si="15"/>
        <v>○</v>
      </c>
      <c r="AN60" s="17" t="str">
        <f t="shared" si="16"/>
        <v>○</v>
      </c>
      <c r="AO60" s="17" t="str">
        <f t="shared" si="17"/>
        <v>○</v>
      </c>
      <c r="AP60" s="17" t="str">
        <f t="shared" si="18"/>
        <v>○</v>
      </c>
      <c r="AQ60" s="17" t="str">
        <f t="shared" si="19"/>
        <v>○</v>
      </c>
      <c r="AR60" s="17" t="str">
        <f t="shared" si="20"/>
        <v>○</v>
      </c>
      <c r="AS60" s="17" t="str">
        <f t="shared" si="21"/>
        <v>○</v>
      </c>
      <c r="AT60" s="17" t="str">
        <f t="shared" si="22"/>
        <v>○</v>
      </c>
      <c r="AU60" s="17" t="str">
        <f t="shared" si="23"/>
        <v>○</v>
      </c>
    </row>
    <row r="61" spans="1:47" s="90" customFormat="1" ht="23.15" customHeight="1">
      <c r="A61" s="87">
        <v>55</v>
      </c>
      <c r="B61" s="86" t="str">
        <f>IF('②-1職員名簿'!E61="","",'②-1職員名簿'!Y61)</f>
        <v/>
      </c>
      <c r="C61" s="88" t="str">
        <f>'②-1職員名簿'!BE61</f>
        <v/>
      </c>
      <c r="D61" s="117" t="str">
        <f t="shared" si="9"/>
        <v/>
      </c>
      <c r="E61" s="18" t="str">
        <f>IF($B61="","",IF(AND('②-1職員名簿'!C61="正",'②-1職員名簿'!D61="常"),"正規職員","契約上の就業時間を記載"))</f>
        <v/>
      </c>
      <c r="F61" s="9" t="str">
        <f>IF($B61="","",IF(OR('②-1職員名簿'!AC61="○",'②-1職員名簿'!AC61="●"),IF($E61="正規職員","正",IF($E61="契約上の就業時間を記載","","見込を入力")),"-"))</f>
        <v/>
      </c>
      <c r="G61" s="9" t="str">
        <f>IF($B61="","",IF(OR('②-1職員名簿'!AD61="○",'②-1職員名簿'!AD61="●"),IF($E61="正規職員","正",IF($E61="契約上の就業時間を記載","","実績を入力")),"-"))</f>
        <v/>
      </c>
      <c r="H61" s="9" t="str">
        <f>IF($B61="","",IF(OR('②-1職員名簿'!AE61="○",'②-1職員名簿'!AE61="●"),IF($E61="正規職員","正",IF($E61="契約上の就業時間を記載","","実績を入力")),"-"))</f>
        <v/>
      </c>
      <c r="I61" s="9" t="str">
        <f>IF($B61="","",IF(OR('②-1職員名簿'!AF61="○",'②-1職員名簿'!AF61="●"),IF($E61="正規職員","正",IF($E61="契約上の就業時間を記載","","実績を入力")),"-"))</f>
        <v/>
      </c>
      <c r="J61" s="9" t="str">
        <f>IF($B61="","",IF(OR('②-1職員名簿'!AG61="○",'②-1職員名簿'!AG61="●"),IF($E61="正規職員","正",IF($E61="契約上の就業時間を記載","","実績を入力")),"-"))</f>
        <v/>
      </c>
      <c r="K61" s="9" t="str">
        <f>IF($B61="","",IF(OR('②-1職員名簿'!AH61="○",'②-1職員名簿'!AH61="●"),IF($E61="正規職員","正",IF($E61="契約上の就業時間を記載","","実績を入力")),"-"))</f>
        <v/>
      </c>
      <c r="L61" s="9" t="str">
        <f>IF($B61="","",IF(OR('②-1職員名簿'!AI61="○",'②-1職員名簿'!AI61="●"),IF($E61="正規職員","正",IF($E61="契約上の就業時間を記載","","実績を入力")),"-"))</f>
        <v/>
      </c>
      <c r="M61" s="9" t="str">
        <f>IF($B61="","",IF(OR('②-1職員名簿'!AJ61="○",'②-1職員名簿'!AJ61="●"),IF($E61="正規職員","正",IF($E61="契約上の就業時間を記載","","実績を入力")),"-"))</f>
        <v/>
      </c>
      <c r="N61" s="9" t="str">
        <f>IF($B61="","",IF(OR('②-1職員名簿'!AK61="○",'②-1職員名簿'!AK61="●"),IF($E61="正規職員","正",IF($E61="契約上の就業時間を記載","","実績を入力")),"-"))</f>
        <v/>
      </c>
      <c r="O61" s="9" t="str">
        <f>IF($B61="","",IF(OR('②-1職員名簿'!AL61="○",'②-1職員名簿'!AL61="●"),IF($E61="正規職員","正",IF($E61="契約上の就業時間を記載","","実績を入力")),"-"))</f>
        <v/>
      </c>
      <c r="P61" s="9" t="str">
        <f>IF($B61="","",IF(OR('②-1職員名簿'!AM61="○",'②-1職員名簿'!AM61="●"),IF($E61="正規職員","正",IF($E61="契約上の就業時間を記載","","実績を入力")),"-"))</f>
        <v/>
      </c>
      <c r="Q61" s="9" t="str">
        <f>IF($B61="","",IF(OR('②-1職員名簿'!AN61="○",'②-1職員名簿'!AN61="●"),IF($E61="正規職員","正",IF($E61="契約上の就業時間を記載","","見込を入力")),"-"))</f>
        <v/>
      </c>
      <c r="R61" s="88" t="str">
        <f>IF($B61="","",IF(OR('②-1職員名簿'!AC61="○",'②-1職員名簿'!AC61="●"),IF($E61="正規職員","正",IF($E61="契約上の就業時間を記載","",IF($E61&gt;=F$5,"常",F61))),"-"))</f>
        <v/>
      </c>
      <c r="S61" s="88" t="str">
        <f>IF($B61="","",IF(OR('②-1職員名簿'!AD61="○",'②-1職員名簿'!AD61="●"),IF($E61="正規職員","正",IF($E61="契約上の就業時間を記載","",IF($E61&gt;=G$5,"常",G61))),"-"))</f>
        <v/>
      </c>
      <c r="T61" s="88" t="str">
        <f>IF($B61="","",IF(OR('②-1職員名簿'!AE61="○",'②-1職員名簿'!AE61="●"),IF($E61="正規職員","正",IF($E61="契約上の就業時間を記載","",IF($E61&gt;=H$5,"常",H61))),"-"))</f>
        <v/>
      </c>
      <c r="U61" s="88" t="str">
        <f>IF($B61="","",IF(OR('②-1職員名簿'!AF61="○",'②-1職員名簿'!AF61="●"),IF($E61="正規職員","正",IF($E61="契約上の就業時間を記載","",IF($E61&gt;=I$5,"常",I61))),"-"))</f>
        <v/>
      </c>
      <c r="V61" s="88" t="str">
        <f>IF($B61="","",IF(OR('②-1職員名簿'!AG61="○",'②-1職員名簿'!AG61="●"),IF($E61="正規職員","正",IF($E61="契約上の就業時間を記載","",IF($E61&gt;=J$5,"常",J61))),"-"))</f>
        <v/>
      </c>
      <c r="W61" s="88" t="str">
        <f>IF($B61="","",IF(OR('②-1職員名簿'!AH61="○",'②-1職員名簿'!AH61="●"),IF($E61="正規職員","正",IF($E61="契約上の就業時間を記載","",IF($E61&gt;=K$5,"常",K61))),"-"))</f>
        <v/>
      </c>
      <c r="X61" s="88" t="str">
        <f>IF($B61="","",IF(OR('②-1職員名簿'!AI61="○",'②-1職員名簿'!AI61="●"),IF($E61="正規職員","正",IF($E61="契約上の就業時間を記載","",IF($E61&gt;=L$5,"常",L61))),"-"))</f>
        <v/>
      </c>
      <c r="Y61" s="88" t="str">
        <f>IF($B61="","",IF(OR('②-1職員名簿'!AJ61="○",'②-1職員名簿'!AJ61="●"),IF($E61="正規職員","正",IF($E61="契約上の就業時間を記載","",IF($E61&gt;=M$5,"常",M61))),"-"))</f>
        <v/>
      </c>
      <c r="Z61" s="88" t="str">
        <f>IF($B61="","",IF(OR('②-1職員名簿'!AK61="○",'②-1職員名簿'!AK61="●"),IF($E61="正規職員","正",IF($E61="契約上の就業時間を記載","",IF($E61&gt;=N$5,"常",N61))),"-"))</f>
        <v/>
      </c>
      <c r="AA61" s="88" t="str">
        <f>IF($B61="","",IF(OR('②-1職員名簿'!AL61="○",'②-1職員名簿'!AL61="●"),IF($E61="正規職員","正",IF($E61="契約上の就業時間を記載","",IF($E61&gt;=O$5,"常",O61))),"-"))</f>
        <v/>
      </c>
      <c r="AB61" s="88" t="str">
        <f>IF($B61="","",IF(OR('②-1職員名簿'!AM61="○",'②-1職員名簿'!AM61="●"),IF($E61="正規職員","正",IF($E61="契約上の就業時間を記載","",IF($E61&gt;=P$5,"常",P61))),"-"))</f>
        <v/>
      </c>
      <c r="AC61" s="88" t="str">
        <f>IF($B61="","",IF(OR('②-1職員名簿'!AN61="○",'②-1職員名簿'!AN61="●"),IF($E61="正規職員","正",IF($E61="契約上の就業時間を記載","",IF($E61&gt;=Q$5,"常",Q61))),"-"))</f>
        <v/>
      </c>
      <c r="AE61" s="86" t="str">
        <f>IF('②-1職員名簿'!W61="","",'②-1職員名簿'!W61)</f>
        <v/>
      </c>
      <c r="AJ61" s="17" t="str">
        <f t="shared" si="12"/>
        <v>○</v>
      </c>
      <c r="AK61" s="17" t="str">
        <f t="shared" si="13"/>
        <v>○</v>
      </c>
      <c r="AL61" s="17" t="str">
        <f t="shared" si="14"/>
        <v>○</v>
      </c>
      <c r="AM61" s="17" t="str">
        <f t="shared" si="15"/>
        <v>○</v>
      </c>
      <c r="AN61" s="17" t="str">
        <f t="shared" si="16"/>
        <v>○</v>
      </c>
      <c r="AO61" s="17" t="str">
        <f t="shared" si="17"/>
        <v>○</v>
      </c>
      <c r="AP61" s="17" t="str">
        <f t="shared" si="18"/>
        <v>○</v>
      </c>
      <c r="AQ61" s="17" t="str">
        <f t="shared" si="19"/>
        <v>○</v>
      </c>
      <c r="AR61" s="17" t="str">
        <f t="shared" si="20"/>
        <v>○</v>
      </c>
      <c r="AS61" s="17" t="str">
        <f t="shared" si="21"/>
        <v>○</v>
      </c>
      <c r="AT61" s="17" t="str">
        <f t="shared" si="22"/>
        <v>○</v>
      </c>
      <c r="AU61" s="17" t="str">
        <f t="shared" si="23"/>
        <v>○</v>
      </c>
    </row>
    <row r="62" spans="1:47" s="90" customFormat="1" ht="23.15" customHeight="1">
      <c r="A62" s="87">
        <v>56</v>
      </c>
      <c r="B62" s="86" t="str">
        <f>IF('②-1職員名簿'!E62="","",'②-1職員名簿'!Y62)</f>
        <v/>
      </c>
      <c r="C62" s="88" t="str">
        <f>'②-1職員名簿'!BE62</f>
        <v/>
      </c>
      <c r="D62" s="117" t="str">
        <f t="shared" si="9"/>
        <v/>
      </c>
      <c r="E62" s="18" t="str">
        <f>IF($B62="","",IF(AND('②-1職員名簿'!C62="正",'②-1職員名簿'!D62="常"),"正規職員","契約上の就業時間を記載"))</f>
        <v/>
      </c>
      <c r="F62" s="9" t="str">
        <f>IF($B62="","",IF(OR('②-1職員名簿'!AC62="○",'②-1職員名簿'!AC62="●"),IF($E62="正規職員","正",IF($E62="契約上の就業時間を記載","","見込を入力")),"-"))</f>
        <v/>
      </c>
      <c r="G62" s="9" t="str">
        <f>IF($B62="","",IF(OR('②-1職員名簿'!AD62="○",'②-1職員名簿'!AD62="●"),IF($E62="正規職員","正",IF($E62="契約上の就業時間を記載","","実績を入力")),"-"))</f>
        <v/>
      </c>
      <c r="H62" s="9" t="str">
        <f>IF($B62="","",IF(OR('②-1職員名簿'!AE62="○",'②-1職員名簿'!AE62="●"),IF($E62="正規職員","正",IF($E62="契約上の就業時間を記載","","実績を入力")),"-"))</f>
        <v/>
      </c>
      <c r="I62" s="9" t="str">
        <f>IF($B62="","",IF(OR('②-1職員名簿'!AF62="○",'②-1職員名簿'!AF62="●"),IF($E62="正規職員","正",IF($E62="契約上の就業時間を記載","","実績を入力")),"-"))</f>
        <v/>
      </c>
      <c r="J62" s="9" t="str">
        <f>IF($B62="","",IF(OR('②-1職員名簿'!AG62="○",'②-1職員名簿'!AG62="●"),IF($E62="正規職員","正",IF($E62="契約上の就業時間を記載","","実績を入力")),"-"))</f>
        <v/>
      </c>
      <c r="K62" s="9" t="str">
        <f>IF($B62="","",IF(OR('②-1職員名簿'!AH62="○",'②-1職員名簿'!AH62="●"),IF($E62="正規職員","正",IF($E62="契約上の就業時間を記載","","実績を入力")),"-"))</f>
        <v/>
      </c>
      <c r="L62" s="9" t="str">
        <f>IF($B62="","",IF(OR('②-1職員名簿'!AI62="○",'②-1職員名簿'!AI62="●"),IF($E62="正規職員","正",IF($E62="契約上の就業時間を記載","","実績を入力")),"-"))</f>
        <v/>
      </c>
      <c r="M62" s="9" t="str">
        <f>IF($B62="","",IF(OR('②-1職員名簿'!AJ62="○",'②-1職員名簿'!AJ62="●"),IF($E62="正規職員","正",IF($E62="契約上の就業時間を記載","","実績を入力")),"-"))</f>
        <v/>
      </c>
      <c r="N62" s="9" t="str">
        <f>IF($B62="","",IF(OR('②-1職員名簿'!AK62="○",'②-1職員名簿'!AK62="●"),IF($E62="正規職員","正",IF($E62="契約上の就業時間を記載","","実績を入力")),"-"))</f>
        <v/>
      </c>
      <c r="O62" s="9" t="str">
        <f>IF($B62="","",IF(OR('②-1職員名簿'!AL62="○",'②-1職員名簿'!AL62="●"),IF($E62="正規職員","正",IF($E62="契約上の就業時間を記載","","実績を入力")),"-"))</f>
        <v/>
      </c>
      <c r="P62" s="9" t="str">
        <f>IF($B62="","",IF(OR('②-1職員名簿'!AM62="○",'②-1職員名簿'!AM62="●"),IF($E62="正規職員","正",IF($E62="契約上の就業時間を記載","","実績を入力")),"-"))</f>
        <v/>
      </c>
      <c r="Q62" s="9" t="str">
        <f>IF($B62="","",IF(OR('②-1職員名簿'!AN62="○",'②-1職員名簿'!AN62="●"),IF($E62="正規職員","正",IF($E62="契約上の就業時間を記載","","見込を入力")),"-"))</f>
        <v/>
      </c>
      <c r="R62" s="88" t="str">
        <f>IF($B62="","",IF(OR('②-1職員名簿'!AC62="○",'②-1職員名簿'!AC62="●"),IF($E62="正規職員","正",IF($E62="契約上の就業時間を記載","",IF($E62&gt;=F$5,"常",F62))),"-"))</f>
        <v/>
      </c>
      <c r="S62" s="88" t="str">
        <f>IF($B62="","",IF(OR('②-1職員名簿'!AD62="○",'②-1職員名簿'!AD62="●"),IF($E62="正規職員","正",IF($E62="契約上の就業時間を記載","",IF($E62&gt;=G$5,"常",G62))),"-"))</f>
        <v/>
      </c>
      <c r="T62" s="88" t="str">
        <f>IF($B62="","",IF(OR('②-1職員名簿'!AE62="○",'②-1職員名簿'!AE62="●"),IF($E62="正規職員","正",IF($E62="契約上の就業時間を記載","",IF($E62&gt;=H$5,"常",H62))),"-"))</f>
        <v/>
      </c>
      <c r="U62" s="88" t="str">
        <f>IF($B62="","",IF(OR('②-1職員名簿'!AF62="○",'②-1職員名簿'!AF62="●"),IF($E62="正規職員","正",IF($E62="契約上の就業時間を記載","",IF($E62&gt;=I$5,"常",I62))),"-"))</f>
        <v/>
      </c>
      <c r="V62" s="88" t="str">
        <f>IF($B62="","",IF(OR('②-1職員名簿'!AG62="○",'②-1職員名簿'!AG62="●"),IF($E62="正規職員","正",IF($E62="契約上の就業時間を記載","",IF($E62&gt;=J$5,"常",J62))),"-"))</f>
        <v/>
      </c>
      <c r="W62" s="88" t="str">
        <f>IF($B62="","",IF(OR('②-1職員名簿'!AH62="○",'②-1職員名簿'!AH62="●"),IF($E62="正規職員","正",IF($E62="契約上の就業時間を記載","",IF($E62&gt;=K$5,"常",K62))),"-"))</f>
        <v/>
      </c>
      <c r="X62" s="88" t="str">
        <f>IF($B62="","",IF(OR('②-1職員名簿'!AI62="○",'②-1職員名簿'!AI62="●"),IF($E62="正規職員","正",IF($E62="契約上の就業時間を記載","",IF($E62&gt;=L$5,"常",L62))),"-"))</f>
        <v/>
      </c>
      <c r="Y62" s="88" t="str">
        <f>IF($B62="","",IF(OR('②-1職員名簿'!AJ62="○",'②-1職員名簿'!AJ62="●"),IF($E62="正規職員","正",IF($E62="契約上の就業時間を記載","",IF($E62&gt;=M$5,"常",M62))),"-"))</f>
        <v/>
      </c>
      <c r="Z62" s="88" t="str">
        <f>IF($B62="","",IF(OR('②-1職員名簿'!AK62="○",'②-1職員名簿'!AK62="●"),IF($E62="正規職員","正",IF($E62="契約上の就業時間を記載","",IF($E62&gt;=N$5,"常",N62))),"-"))</f>
        <v/>
      </c>
      <c r="AA62" s="88" t="str">
        <f>IF($B62="","",IF(OR('②-1職員名簿'!AL62="○",'②-1職員名簿'!AL62="●"),IF($E62="正規職員","正",IF($E62="契約上の就業時間を記載","",IF($E62&gt;=O$5,"常",O62))),"-"))</f>
        <v/>
      </c>
      <c r="AB62" s="88" t="str">
        <f>IF($B62="","",IF(OR('②-1職員名簿'!AM62="○",'②-1職員名簿'!AM62="●"),IF($E62="正規職員","正",IF($E62="契約上の就業時間を記載","",IF($E62&gt;=P$5,"常",P62))),"-"))</f>
        <v/>
      </c>
      <c r="AC62" s="88" t="str">
        <f>IF($B62="","",IF(OR('②-1職員名簿'!AN62="○",'②-1職員名簿'!AN62="●"),IF($E62="正規職員","正",IF($E62="契約上の就業時間を記載","",IF($E62&gt;=Q$5,"常",Q62))),"-"))</f>
        <v/>
      </c>
      <c r="AE62" s="86" t="str">
        <f>IF('②-1職員名簿'!W62="","",'②-1職員名簿'!W62)</f>
        <v/>
      </c>
      <c r="AJ62" s="17" t="str">
        <f t="shared" si="12"/>
        <v>○</v>
      </c>
      <c r="AK62" s="17" t="str">
        <f t="shared" si="13"/>
        <v>○</v>
      </c>
      <c r="AL62" s="17" t="str">
        <f t="shared" si="14"/>
        <v>○</v>
      </c>
      <c r="AM62" s="17" t="str">
        <f t="shared" si="15"/>
        <v>○</v>
      </c>
      <c r="AN62" s="17" t="str">
        <f t="shared" si="16"/>
        <v>○</v>
      </c>
      <c r="AO62" s="17" t="str">
        <f t="shared" si="17"/>
        <v>○</v>
      </c>
      <c r="AP62" s="17" t="str">
        <f t="shared" si="18"/>
        <v>○</v>
      </c>
      <c r="AQ62" s="17" t="str">
        <f t="shared" si="19"/>
        <v>○</v>
      </c>
      <c r="AR62" s="17" t="str">
        <f t="shared" si="20"/>
        <v>○</v>
      </c>
      <c r="AS62" s="17" t="str">
        <f t="shared" si="21"/>
        <v>○</v>
      </c>
      <c r="AT62" s="17" t="str">
        <f t="shared" si="22"/>
        <v>○</v>
      </c>
      <c r="AU62" s="17" t="str">
        <f t="shared" si="23"/>
        <v>○</v>
      </c>
    </row>
    <row r="63" spans="1:47" s="90" customFormat="1" ht="23.15" customHeight="1">
      <c r="A63" s="87">
        <v>57</v>
      </c>
      <c r="B63" s="86" t="str">
        <f>IF('②-1職員名簿'!E63="","",'②-1職員名簿'!Y63)</f>
        <v/>
      </c>
      <c r="C63" s="88" t="str">
        <f>'②-1職員名簿'!BE63</f>
        <v/>
      </c>
      <c r="D63" s="117" t="str">
        <f t="shared" si="9"/>
        <v/>
      </c>
      <c r="E63" s="18" t="str">
        <f>IF($B63="","",IF(AND('②-1職員名簿'!C63="正",'②-1職員名簿'!D63="常"),"正規職員","契約上の就業時間を記載"))</f>
        <v/>
      </c>
      <c r="F63" s="9" t="str">
        <f>IF($B63="","",IF(OR('②-1職員名簿'!AC63="○",'②-1職員名簿'!AC63="●"),IF($E63="正規職員","正",IF($E63="契約上の就業時間を記載","","見込を入力")),"-"))</f>
        <v/>
      </c>
      <c r="G63" s="9" t="str">
        <f>IF($B63="","",IF(OR('②-1職員名簿'!AD63="○",'②-1職員名簿'!AD63="●"),IF($E63="正規職員","正",IF($E63="契約上の就業時間を記載","","実績を入力")),"-"))</f>
        <v/>
      </c>
      <c r="H63" s="9" t="str">
        <f>IF($B63="","",IF(OR('②-1職員名簿'!AE63="○",'②-1職員名簿'!AE63="●"),IF($E63="正規職員","正",IF($E63="契約上の就業時間を記載","","実績を入力")),"-"))</f>
        <v/>
      </c>
      <c r="I63" s="9" t="str">
        <f>IF($B63="","",IF(OR('②-1職員名簿'!AF63="○",'②-1職員名簿'!AF63="●"),IF($E63="正規職員","正",IF($E63="契約上の就業時間を記載","","実績を入力")),"-"))</f>
        <v/>
      </c>
      <c r="J63" s="9" t="str">
        <f>IF($B63="","",IF(OR('②-1職員名簿'!AG63="○",'②-1職員名簿'!AG63="●"),IF($E63="正規職員","正",IF($E63="契約上の就業時間を記載","","実績を入力")),"-"))</f>
        <v/>
      </c>
      <c r="K63" s="9" t="str">
        <f>IF($B63="","",IF(OR('②-1職員名簿'!AH63="○",'②-1職員名簿'!AH63="●"),IF($E63="正規職員","正",IF($E63="契約上の就業時間を記載","","実績を入力")),"-"))</f>
        <v/>
      </c>
      <c r="L63" s="9" t="str">
        <f>IF($B63="","",IF(OR('②-1職員名簿'!AI63="○",'②-1職員名簿'!AI63="●"),IF($E63="正規職員","正",IF($E63="契約上の就業時間を記載","","実績を入力")),"-"))</f>
        <v/>
      </c>
      <c r="M63" s="9" t="str">
        <f>IF($B63="","",IF(OR('②-1職員名簿'!AJ63="○",'②-1職員名簿'!AJ63="●"),IF($E63="正規職員","正",IF($E63="契約上の就業時間を記載","","実績を入力")),"-"))</f>
        <v/>
      </c>
      <c r="N63" s="9" t="str">
        <f>IF($B63="","",IF(OR('②-1職員名簿'!AK63="○",'②-1職員名簿'!AK63="●"),IF($E63="正規職員","正",IF($E63="契約上の就業時間を記載","","実績を入力")),"-"))</f>
        <v/>
      </c>
      <c r="O63" s="9" t="str">
        <f>IF($B63="","",IF(OR('②-1職員名簿'!AL63="○",'②-1職員名簿'!AL63="●"),IF($E63="正規職員","正",IF($E63="契約上の就業時間を記載","","実績を入力")),"-"))</f>
        <v/>
      </c>
      <c r="P63" s="9" t="str">
        <f>IF($B63="","",IF(OR('②-1職員名簿'!AM63="○",'②-1職員名簿'!AM63="●"),IF($E63="正規職員","正",IF($E63="契約上の就業時間を記載","","実績を入力")),"-"))</f>
        <v/>
      </c>
      <c r="Q63" s="9" t="str">
        <f>IF($B63="","",IF(OR('②-1職員名簿'!AN63="○",'②-1職員名簿'!AN63="●"),IF($E63="正規職員","正",IF($E63="契約上の就業時間を記載","","見込を入力")),"-"))</f>
        <v/>
      </c>
      <c r="R63" s="88" t="str">
        <f>IF($B63="","",IF(OR('②-1職員名簿'!AC63="○",'②-1職員名簿'!AC63="●"),IF($E63="正規職員","正",IF($E63="契約上の就業時間を記載","",IF($E63&gt;=F$5,"常",F63))),"-"))</f>
        <v/>
      </c>
      <c r="S63" s="88" t="str">
        <f>IF($B63="","",IF(OR('②-1職員名簿'!AD63="○",'②-1職員名簿'!AD63="●"),IF($E63="正規職員","正",IF($E63="契約上の就業時間を記載","",IF($E63&gt;=G$5,"常",G63))),"-"))</f>
        <v/>
      </c>
      <c r="T63" s="88" t="str">
        <f>IF($B63="","",IF(OR('②-1職員名簿'!AE63="○",'②-1職員名簿'!AE63="●"),IF($E63="正規職員","正",IF($E63="契約上の就業時間を記載","",IF($E63&gt;=H$5,"常",H63))),"-"))</f>
        <v/>
      </c>
      <c r="U63" s="88" t="str">
        <f>IF($B63="","",IF(OR('②-1職員名簿'!AF63="○",'②-1職員名簿'!AF63="●"),IF($E63="正規職員","正",IF($E63="契約上の就業時間を記載","",IF($E63&gt;=I$5,"常",I63))),"-"))</f>
        <v/>
      </c>
      <c r="V63" s="88" t="str">
        <f>IF($B63="","",IF(OR('②-1職員名簿'!AG63="○",'②-1職員名簿'!AG63="●"),IF($E63="正規職員","正",IF($E63="契約上の就業時間を記載","",IF($E63&gt;=J$5,"常",J63))),"-"))</f>
        <v/>
      </c>
      <c r="W63" s="88" t="str">
        <f>IF($B63="","",IF(OR('②-1職員名簿'!AH63="○",'②-1職員名簿'!AH63="●"),IF($E63="正規職員","正",IF($E63="契約上の就業時間を記載","",IF($E63&gt;=K$5,"常",K63))),"-"))</f>
        <v/>
      </c>
      <c r="X63" s="88" t="str">
        <f>IF($B63="","",IF(OR('②-1職員名簿'!AI63="○",'②-1職員名簿'!AI63="●"),IF($E63="正規職員","正",IF($E63="契約上の就業時間を記載","",IF($E63&gt;=L$5,"常",L63))),"-"))</f>
        <v/>
      </c>
      <c r="Y63" s="88" t="str">
        <f>IF($B63="","",IF(OR('②-1職員名簿'!AJ63="○",'②-1職員名簿'!AJ63="●"),IF($E63="正規職員","正",IF($E63="契約上の就業時間を記載","",IF($E63&gt;=M$5,"常",M63))),"-"))</f>
        <v/>
      </c>
      <c r="Z63" s="88" t="str">
        <f>IF($B63="","",IF(OR('②-1職員名簿'!AK63="○",'②-1職員名簿'!AK63="●"),IF($E63="正規職員","正",IF($E63="契約上の就業時間を記載","",IF($E63&gt;=N$5,"常",N63))),"-"))</f>
        <v/>
      </c>
      <c r="AA63" s="88" t="str">
        <f>IF($B63="","",IF(OR('②-1職員名簿'!AL63="○",'②-1職員名簿'!AL63="●"),IF($E63="正規職員","正",IF($E63="契約上の就業時間を記載","",IF($E63&gt;=O$5,"常",O63))),"-"))</f>
        <v/>
      </c>
      <c r="AB63" s="88" t="str">
        <f>IF($B63="","",IF(OR('②-1職員名簿'!AM63="○",'②-1職員名簿'!AM63="●"),IF($E63="正規職員","正",IF($E63="契約上の就業時間を記載","",IF($E63&gt;=P$5,"常",P63))),"-"))</f>
        <v/>
      </c>
      <c r="AC63" s="88" t="str">
        <f>IF($B63="","",IF(OR('②-1職員名簿'!AN63="○",'②-1職員名簿'!AN63="●"),IF($E63="正規職員","正",IF($E63="契約上の就業時間を記載","",IF($E63&gt;=Q$5,"常",Q63))),"-"))</f>
        <v/>
      </c>
      <c r="AE63" s="86" t="str">
        <f>IF('②-1職員名簿'!W63="","",'②-1職員名簿'!W63)</f>
        <v/>
      </c>
      <c r="AJ63" s="17" t="str">
        <f t="shared" si="12"/>
        <v>○</v>
      </c>
      <c r="AK63" s="17" t="str">
        <f t="shared" si="13"/>
        <v>○</v>
      </c>
      <c r="AL63" s="17" t="str">
        <f t="shared" si="14"/>
        <v>○</v>
      </c>
      <c r="AM63" s="17" t="str">
        <f t="shared" si="15"/>
        <v>○</v>
      </c>
      <c r="AN63" s="17" t="str">
        <f t="shared" si="16"/>
        <v>○</v>
      </c>
      <c r="AO63" s="17" t="str">
        <f t="shared" si="17"/>
        <v>○</v>
      </c>
      <c r="AP63" s="17" t="str">
        <f t="shared" si="18"/>
        <v>○</v>
      </c>
      <c r="AQ63" s="17" t="str">
        <f t="shared" si="19"/>
        <v>○</v>
      </c>
      <c r="AR63" s="17" t="str">
        <f t="shared" si="20"/>
        <v>○</v>
      </c>
      <c r="AS63" s="17" t="str">
        <f t="shared" si="21"/>
        <v>○</v>
      </c>
      <c r="AT63" s="17" t="str">
        <f t="shared" si="22"/>
        <v>○</v>
      </c>
      <c r="AU63" s="17" t="str">
        <f t="shared" si="23"/>
        <v>○</v>
      </c>
    </row>
    <row r="64" spans="1:47" s="90" customFormat="1" ht="23.15" customHeight="1">
      <c r="A64" s="87">
        <v>58</v>
      </c>
      <c r="B64" s="86" t="str">
        <f>IF('②-1職員名簿'!E64="","",'②-1職員名簿'!Y64)</f>
        <v/>
      </c>
      <c r="C64" s="88" t="str">
        <f>'②-1職員名簿'!BE64</f>
        <v/>
      </c>
      <c r="D64" s="117" t="str">
        <f t="shared" si="9"/>
        <v/>
      </c>
      <c r="E64" s="18" t="str">
        <f>IF($B64="","",IF(AND('②-1職員名簿'!C64="正",'②-1職員名簿'!D64="常"),"正規職員","契約上の就業時間を記載"))</f>
        <v/>
      </c>
      <c r="F64" s="9" t="str">
        <f>IF($B64="","",IF(OR('②-1職員名簿'!AC64="○",'②-1職員名簿'!AC64="●"),IF($E64="正規職員","正",IF($E64="契約上の就業時間を記載","","見込を入力")),"-"))</f>
        <v/>
      </c>
      <c r="G64" s="9" t="str">
        <f>IF($B64="","",IF(OR('②-1職員名簿'!AD64="○",'②-1職員名簿'!AD64="●"),IF($E64="正規職員","正",IF($E64="契約上の就業時間を記載","","実績を入力")),"-"))</f>
        <v/>
      </c>
      <c r="H64" s="9" t="str">
        <f>IF($B64="","",IF(OR('②-1職員名簿'!AE64="○",'②-1職員名簿'!AE64="●"),IF($E64="正規職員","正",IF($E64="契約上の就業時間を記載","","実績を入力")),"-"))</f>
        <v/>
      </c>
      <c r="I64" s="9" t="str">
        <f>IF($B64="","",IF(OR('②-1職員名簿'!AF64="○",'②-1職員名簿'!AF64="●"),IF($E64="正規職員","正",IF($E64="契約上の就業時間を記載","","実績を入力")),"-"))</f>
        <v/>
      </c>
      <c r="J64" s="9" t="str">
        <f>IF($B64="","",IF(OR('②-1職員名簿'!AG64="○",'②-1職員名簿'!AG64="●"),IF($E64="正規職員","正",IF($E64="契約上の就業時間を記載","","実績を入力")),"-"))</f>
        <v/>
      </c>
      <c r="K64" s="9" t="str">
        <f>IF($B64="","",IF(OR('②-1職員名簿'!AH64="○",'②-1職員名簿'!AH64="●"),IF($E64="正規職員","正",IF($E64="契約上の就業時間を記載","","実績を入力")),"-"))</f>
        <v/>
      </c>
      <c r="L64" s="9" t="str">
        <f>IF($B64="","",IF(OR('②-1職員名簿'!AI64="○",'②-1職員名簿'!AI64="●"),IF($E64="正規職員","正",IF($E64="契約上の就業時間を記載","","実績を入力")),"-"))</f>
        <v/>
      </c>
      <c r="M64" s="9" t="str">
        <f>IF($B64="","",IF(OR('②-1職員名簿'!AJ64="○",'②-1職員名簿'!AJ64="●"),IF($E64="正規職員","正",IF($E64="契約上の就業時間を記載","","実績を入力")),"-"))</f>
        <v/>
      </c>
      <c r="N64" s="9" t="str">
        <f>IF($B64="","",IF(OR('②-1職員名簿'!AK64="○",'②-1職員名簿'!AK64="●"),IF($E64="正規職員","正",IF($E64="契約上の就業時間を記載","","実績を入力")),"-"))</f>
        <v/>
      </c>
      <c r="O64" s="9" t="str">
        <f>IF($B64="","",IF(OR('②-1職員名簿'!AL64="○",'②-1職員名簿'!AL64="●"),IF($E64="正規職員","正",IF($E64="契約上の就業時間を記載","","実績を入力")),"-"))</f>
        <v/>
      </c>
      <c r="P64" s="9" t="str">
        <f>IF($B64="","",IF(OR('②-1職員名簿'!AM64="○",'②-1職員名簿'!AM64="●"),IF($E64="正規職員","正",IF($E64="契約上の就業時間を記載","","実績を入力")),"-"))</f>
        <v/>
      </c>
      <c r="Q64" s="9" t="str">
        <f>IF($B64="","",IF(OR('②-1職員名簿'!AN64="○",'②-1職員名簿'!AN64="●"),IF($E64="正規職員","正",IF($E64="契約上の就業時間を記載","","見込を入力")),"-"))</f>
        <v/>
      </c>
      <c r="R64" s="88" t="str">
        <f>IF($B64="","",IF(OR('②-1職員名簿'!AC64="○",'②-1職員名簿'!AC64="●"),IF($E64="正規職員","正",IF($E64="契約上の就業時間を記載","",IF($E64&gt;=F$5,"常",F64))),"-"))</f>
        <v/>
      </c>
      <c r="S64" s="88" t="str">
        <f>IF($B64="","",IF(OR('②-1職員名簿'!AD64="○",'②-1職員名簿'!AD64="●"),IF($E64="正規職員","正",IF($E64="契約上の就業時間を記載","",IF($E64&gt;=G$5,"常",G64))),"-"))</f>
        <v/>
      </c>
      <c r="T64" s="88" t="str">
        <f>IF($B64="","",IF(OR('②-1職員名簿'!AE64="○",'②-1職員名簿'!AE64="●"),IF($E64="正規職員","正",IF($E64="契約上の就業時間を記載","",IF($E64&gt;=H$5,"常",H64))),"-"))</f>
        <v/>
      </c>
      <c r="U64" s="88" t="str">
        <f>IF($B64="","",IF(OR('②-1職員名簿'!AF64="○",'②-1職員名簿'!AF64="●"),IF($E64="正規職員","正",IF($E64="契約上の就業時間を記載","",IF($E64&gt;=I$5,"常",I64))),"-"))</f>
        <v/>
      </c>
      <c r="V64" s="88" t="str">
        <f>IF($B64="","",IF(OR('②-1職員名簿'!AG64="○",'②-1職員名簿'!AG64="●"),IF($E64="正規職員","正",IF($E64="契約上の就業時間を記載","",IF($E64&gt;=J$5,"常",J64))),"-"))</f>
        <v/>
      </c>
      <c r="W64" s="88" t="str">
        <f>IF($B64="","",IF(OR('②-1職員名簿'!AH64="○",'②-1職員名簿'!AH64="●"),IF($E64="正規職員","正",IF($E64="契約上の就業時間を記載","",IF($E64&gt;=K$5,"常",K64))),"-"))</f>
        <v/>
      </c>
      <c r="X64" s="88" t="str">
        <f>IF($B64="","",IF(OR('②-1職員名簿'!AI64="○",'②-1職員名簿'!AI64="●"),IF($E64="正規職員","正",IF($E64="契約上の就業時間を記載","",IF($E64&gt;=L$5,"常",L64))),"-"))</f>
        <v/>
      </c>
      <c r="Y64" s="88" t="str">
        <f>IF($B64="","",IF(OR('②-1職員名簿'!AJ64="○",'②-1職員名簿'!AJ64="●"),IF($E64="正規職員","正",IF($E64="契約上の就業時間を記載","",IF($E64&gt;=M$5,"常",M64))),"-"))</f>
        <v/>
      </c>
      <c r="Z64" s="88" t="str">
        <f>IF($B64="","",IF(OR('②-1職員名簿'!AK64="○",'②-1職員名簿'!AK64="●"),IF($E64="正規職員","正",IF($E64="契約上の就業時間を記載","",IF($E64&gt;=N$5,"常",N64))),"-"))</f>
        <v/>
      </c>
      <c r="AA64" s="88" t="str">
        <f>IF($B64="","",IF(OR('②-1職員名簿'!AL64="○",'②-1職員名簿'!AL64="●"),IF($E64="正規職員","正",IF($E64="契約上の就業時間を記載","",IF($E64&gt;=O$5,"常",O64))),"-"))</f>
        <v/>
      </c>
      <c r="AB64" s="88" t="str">
        <f>IF($B64="","",IF(OR('②-1職員名簿'!AM64="○",'②-1職員名簿'!AM64="●"),IF($E64="正規職員","正",IF($E64="契約上の就業時間を記載","",IF($E64&gt;=P$5,"常",P64))),"-"))</f>
        <v/>
      </c>
      <c r="AC64" s="88" t="str">
        <f>IF($B64="","",IF(OR('②-1職員名簿'!AN64="○",'②-1職員名簿'!AN64="●"),IF($E64="正規職員","正",IF($E64="契約上の就業時間を記載","",IF($E64&gt;=Q$5,"常",Q64))),"-"))</f>
        <v/>
      </c>
      <c r="AE64" s="86" t="str">
        <f>IF('②-1職員名簿'!W64="","",'②-1職員名簿'!W64)</f>
        <v/>
      </c>
      <c r="AJ64" s="17" t="str">
        <f t="shared" si="12"/>
        <v>○</v>
      </c>
      <c r="AK64" s="17" t="str">
        <f t="shared" si="13"/>
        <v>○</v>
      </c>
      <c r="AL64" s="17" t="str">
        <f t="shared" si="14"/>
        <v>○</v>
      </c>
      <c r="AM64" s="17" t="str">
        <f t="shared" si="15"/>
        <v>○</v>
      </c>
      <c r="AN64" s="17" t="str">
        <f t="shared" si="16"/>
        <v>○</v>
      </c>
      <c r="AO64" s="17" t="str">
        <f t="shared" si="17"/>
        <v>○</v>
      </c>
      <c r="AP64" s="17" t="str">
        <f t="shared" si="18"/>
        <v>○</v>
      </c>
      <c r="AQ64" s="17" t="str">
        <f t="shared" si="19"/>
        <v>○</v>
      </c>
      <c r="AR64" s="17" t="str">
        <f t="shared" si="20"/>
        <v>○</v>
      </c>
      <c r="AS64" s="17" t="str">
        <f t="shared" si="21"/>
        <v>○</v>
      </c>
      <c r="AT64" s="17" t="str">
        <f t="shared" si="22"/>
        <v>○</v>
      </c>
      <c r="AU64" s="17" t="str">
        <f t="shared" si="23"/>
        <v>○</v>
      </c>
    </row>
    <row r="65" spans="1:47" s="90" customFormat="1" ht="23.15" customHeight="1">
      <c r="A65" s="87">
        <v>59</v>
      </c>
      <c r="B65" s="86" t="str">
        <f>IF('②-1職員名簿'!E65="","",'②-1職員名簿'!Y65)</f>
        <v/>
      </c>
      <c r="C65" s="88" t="str">
        <f>'②-1職員名簿'!BE65</f>
        <v/>
      </c>
      <c r="D65" s="117" t="str">
        <f t="shared" si="9"/>
        <v/>
      </c>
      <c r="E65" s="18" t="str">
        <f>IF($B65="","",IF(AND('②-1職員名簿'!C65="正",'②-1職員名簿'!D65="常"),"正規職員","契約上の就業時間を記載"))</f>
        <v/>
      </c>
      <c r="F65" s="9" t="str">
        <f>IF($B65="","",IF(OR('②-1職員名簿'!AC65="○",'②-1職員名簿'!AC65="●"),IF($E65="正規職員","正",IF($E65="契約上の就業時間を記載","","見込を入力")),"-"))</f>
        <v/>
      </c>
      <c r="G65" s="9" t="str">
        <f>IF($B65="","",IF(OR('②-1職員名簿'!AD65="○",'②-1職員名簿'!AD65="●"),IF($E65="正規職員","正",IF($E65="契約上の就業時間を記載","","実績を入力")),"-"))</f>
        <v/>
      </c>
      <c r="H65" s="9" t="str">
        <f>IF($B65="","",IF(OR('②-1職員名簿'!AE65="○",'②-1職員名簿'!AE65="●"),IF($E65="正規職員","正",IF($E65="契約上の就業時間を記載","","実績を入力")),"-"))</f>
        <v/>
      </c>
      <c r="I65" s="9" t="str">
        <f>IF($B65="","",IF(OR('②-1職員名簿'!AF65="○",'②-1職員名簿'!AF65="●"),IF($E65="正規職員","正",IF($E65="契約上の就業時間を記載","","実績を入力")),"-"))</f>
        <v/>
      </c>
      <c r="J65" s="9" t="str">
        <f>IF($B65="","",IF(OR('②-1職員名簿'!AG65="○",'②-1職員名簿'!AG65="●"),IF($E65="正規職員","正",IF($E65="契約上の就業時間を記載","","実績を入力")),"-"))</f>
        <v/>
      </c>
      <c r="K65" s="9" t="str">
        <f>IF($B65="","",IF(OR('②-1職員名簿'!AH65="○",'②-1職員名簿'!AH65="●"),IF($E65="正規職員","正",IF($E65="契約上の就業時間を記載","","実績を入力")),"-"))</f>
        <v/>
      </c>
      <c r="L65" s="9" t="str">
        <f>IF($B65="","",IF(OR('②-1職員名簿'!AI65="○",'②-1職員名簿'!AI65="●"),IF($E65="正規職員","正",IF($E65="契約上の就業時間を記載","","実績を入力")),"-"))</f>
        <v/>
      </c>
      <c r="M65" s="9" t="str">
        <f>IF($B65="","",IF(OR('②-1職員名簿'!AJ65="○",'②-1職員名簿'!AJ65="●"),IF($E65="正規職員","正",IF($E65="契約上の就業時間を記載","","実績を入力")),"-"))</f>
        <v/>
      </c>
      <c r="N65" s="9" t="str">
        <f>IF($B65="","",IF(OR('②-1職員名簿'!AK65="○",'②-1職員名簿'!AK65="●"),IF($E65="正規職員","正",IF($E65="契約上の就業時間を記載","","実績を入力")),"-"))</f>
        <v/>
      </c>
      <c r="O65" s="9" t="str">
        <f>IF($B65="","",IF(OR('②-1職員名簿'!AL65="○",'②-1職員名簿'!AL65="●"),IF($E65="正規職員","正",IF($E65="契約上の就業時間を記載","","実績を入力")),"-"))</f>
        <v/>
      </c>
      <c r="P65" s="9" t="str">
        <f>IF($B65="","",IF(OR('②-1職員名簿'!AM65="○",'②-1職員名簿'!AM65="●"),IF($E65="正規職員","正",IF($E65="契約上の就業時間を記載","","実績を入力")),"-"))</f>
        <v/>
      </c>
      <c r="Q65" s="9" t="str">
        <f>IF($B65="","",IF(OR('②-1職員名簿'!AN65="○",'②-1職員名簿'!AN65="●"),IF($E65="正規職員","正",IF($E65="契約上の就業時間を記載","","見込を入力")),"-"))</f>
        <v/>
      </c>
      <c r="R65" s="88" t="str">
        <f>IF($B65="","",IF(OR('②-1職員名簿'!AC65="○",'②-1職員名簿'!AC65="●"),IF($E65="正規職員","正",IF($E65="契約上の就業時間を記載","",IF($E65&gt;=F$5,"常",F65))),"-"))</f>
        <v/>
      </c>
      <c r="S65" s="88" t="str">
        <f>IF($B65="","",IF(OR('②-1職員名簿'!AD65="○",'②-1職員名簿'!AD65="●"),IF($E65="正規職員","正",IF($E65="契約上の就業時間を記載","",IF($E65&gt;=G$5,"常",G65))),"-"))</f>
        <v/>
      </c>
      <c r="T65" s="88" t="str">
        <f>IF($B65="","",IF(OR('②-1職員名簿'!AE65="○",'②-1職員名簿'!AE65="●"),IF($E65="正規職員","正",IF($E65="契約上の就業時間を記載","",IF($E65&gt;=H$5,"常",H65))),"-"))</f>
        <v/>
      </c>
      <c r="U65" s="88" t="str">
        <f>IF($B65="","",IF(OR('②-1職員名簿'!AF65="○",'②-1職員名簿'!AF65="●"),IF($E65="正規職員","正",IF($E65="契約上の就業時間を記載","",IF($E65&gt;=I$5,"常",I65))),"-"))</f>
        <v/>
      </c>
      <c r="V65" s="88" t="str">
        <f>IF($B65="","",IF(OR('②-1職員名簿'!AG65="○",'②-1職員名簿'!AG65="●"),IF($E65="正規職員","正",IF($E65="契約上の就業時間を記載","",IF($E65&gt;=J$5,"常",J65))),"-"))</f>
        <v/>
      </c>
      <c r="W65" s="88" t="str">
        <f>IF($B65="","",IF(OR('②-1職員名簿'!AH65="○",'②-1職員名簿'!AH65="●"),IF($E65="正規職員","正",IF($E65="契約上の就業時間を記載","",IF($E65&gt;=K$5,"常",K65))),"-"))</f>
        <v/>
      </c>
      <c r="X65" s="88" t="str">
        <f>IF($B65="","",IF(OR('②-1職員名簿'!AI65="○",'②-1職員名簿'!AI65="●"),IF($E65="正規職員","正",IF($E65="契約上の就業時間を記載","",IF($E65&gt;=L$5,"常",L65))),"-"))</f>
        <v/>
      </c>
      <c r="Y65" s="88" t="str">
        <f>IF($B65="","",IF(OR('②-1職員名簿'!AJ65="○",'②-1職員名簿'!AJ65="●"),IF($E65="正規職員","正",IF($E65="契約上の就業時間を記載","",IF($E65&gt;=M$5,"常",M65))),"-"))</f>
        <v/>
      </c>
      <c r="Z65" s="88" t="str">
        <f>IF($B65="","",IF(OR('②-1職員名簿'!AK65="○",'②-1職員名簿'!AK65="●"),IF($E65="正規職員","正",IF($E65="契約上の就業時間を記載","",IF($E65&gt;=N$5,"常",N65))),"-"))</f>
        <v/>
      </c>
      <c r="AA65" s="88" t="str">
        <f>IF($B65="","",IF(OR('②-1職員名簿'!AL65="○",'②-1職員名簿'!AL65="●"),IF($E65="正規職員","正",IF($E65="契約上の就業時間を記載","",IF($E65&gt;=O$5,"常",O65))),"-"))</f>
        <v/>
      </c>
      <c r="AB65" s="88" t="str">
        <f>IF($B65="","",IF(OR('②-1職員名簿'!AM65="○",'②-1職員名簿'!AM65="●"),IF($E65="正規職員","正",IF($E65="契約上の就業時間を記載","",IF($E65&gt;=P$5,"常",P65))),"-"))</f>
        <v/>
      </c>
      <c r="AC65" s="88" t="str">
        <f>IF($B65="","",IF(OR('②-1職員名簿'!AN65="○",'②-1職員名簿'!AN65="●"),IF($E65="正規職員","正",IF($E65="契約上の就業時間を記載","",IF($E65&gt;=Q$5,"常",Q65))),"-"))</f>
        <v/>
      </c>
      <c r="AE65" s="86" t="str">
        <f>IF('②-1職員名簿'!W65="","",'②-1職員名簿'!W65)</f>
        <v/>
      </c>
      <c r="AJ65" s="17" t="str">
        <f t="shared" si="12"/>
        <v>○</v>
      </c>
      <c r="AK65" s="17" t="str">
        <f t="shared" si="13"/>
        <v>○</v>
      </c>
      <c r="AL65" s="17" t="str">
        <f t="shared" si="14"/>
        <v>○</v>
      </c>
      <c r="AM65" s="17" t="str">
        <f t="shared" si="15"/>
        <v>○</v>
      </c>
      <c r="AN65" s="17" t="str">
        <f t="shared" si="16"/>
        <v>○</v>
      </c>
      <c r="AO65" s="17" t="str">
        <f t="shared" si="17"/>
        <v>○</v>
      </c>
      <c r="AP65" s="17" t="str">
        <f t="shared" si="18"/>
        <v>○</v>
      </c>
      <c r="AQ65" s="17" t="str">
        <f t="shared" si="19"/>
        <v>○</v>
      </c>
      <c r="AR65" s="17" t="str">
        <f t="shared" si="20"/>
        <v>○</v>
      </c>
      <c r="AS65" s="17" t="str">
        <f t="shared" si="21"/>
        <v>○</v>
      </c>
      <c r="AT65" s="17" t="str">
        <f t="shared" si="22"/>
        <v>○</v>
      </c>
      <c r="AU65" s="17" t="str">
        <f t="shared" si="23"/>
        <v>○</v>
      </c>
    </row>
    <row r="66" spans="1:47" s="90" customFormat="1" ht="23.15" customHeight="1">
      <c r="A66" s="87">
        <v>60</v>
      </c>
      <c r="B66" s="86" t="str">
        <f>IF('②-1職員名簿'!E66="","",'②-1職員名簿'!Y66)</f>
        <v/>
      </c>
      <c r="C66" s="88" t="str">
        <f>'②-1職員名簿'!BE66</f>
        <v/>
      </c>
      <c r="D66" s="117" t="str">
        <f t="shared" si="9"/>
        <v/>
      </c>
      <c r="E66" s="18" t="str">
        <f>IF($B66="","",IF(AND('②-1職員名簿'!C66="正",'②-1職員名簿'!D66="常"),"正規職員","契約上の就業時間を記載"))</f>
        <v/>
      </c>
      <c r="F66" s="9" t="str">
        <f>IF($B66="","",IF(OR('②-1職員名簿'!AC66="○",'②-1職員名簿'!AC66="●"),IF($E66="正規職員","正",IF($E66="契約上の就業時間を記載","","見込を入力")),"-"))</f>
        <v/>
      </c>
      <c r="G66" s="9" t="str">
        <f>IF($B66="","",IF(OR('②-1職員名簿'!AD66="○",'②-1職員名簿'!AD66="●"),IF($E66="正規職員","正",IF($E66="契約上の就業時間を記載","","実績を入力")),"-"))</f>
        <v/>
      </c>
      <c r="H66" s="9" t="str">
        <f>IF($B66="","",IF(OR('②-1職員名簿'!AE66="○",'②-1職員名簿'!AE66="●"),IF($E66="正規職員","正",IF($E66="契約上の就業時間を記載","","実績を入力")),"-"))</f>
        <v/>
      </c>
      <c r="I66" s="9" t="str">
        <f>IF($B66="","",IF(OR('②-1職員名簿'!AF66="○",'②-1職員名簿'!AF66="●"),IF($E66="正規職員","正",IF($E66="契約上の就業時間を記載","","実績を入力")),"-"))</f>
        <v/>
      </c>
      <c r="J66" s="9" t="str">
        <f>IF($B66="","",IF(OR('②-1職員名簿'!AG66="○",'②-1職員名簿'!AG66="●"),IF($E66="正規職員","正",IF($E66="契約上の就業時間を記載","","実績を入力")),"-"))</f>
        <v/>
      </c>
      <c r="K66" s="9" t="str">
        <f>IF($B66="","",IF(OR('②-1職員名簿'!AH66="○",'②-1職員名簿'!AH66="●"),IF($E66="正規職員","正",IF($E66="契約上の就業時間を記載","","実績を入力")),"-"))</f>
        <v/>
      </c>
      <c r="L66" s="9" t="str">
        <f>IF($B66="","",IF(OR('②-1職員名簿'!AI66="○",'②-1職員名簿'!AI66="●"),IF($E66="正規職員","正",IF($E66="契約上の就業時間を記載","","実績を入力")),"-"))</f>
        <v/>
      </c>
      <c r="M66" s="9" t="str">
        <f>IF($B66="","",IF(OR('②-1職員名簿'!AJ66="○",'②-1職員名簿'!AJ66="●"),IF($E66="正規職員","正",IF($E66="契約上の就業時間を記載","","実績を入力")),"-"))</f>
        <v/>
      </c>
      <c r="N66" s="9" t="str">
        <f>IF($B66="","",IF(OR('②-1職員名簿'!AK66="○",'②-1職員名簿'!AK66="●"),IF($E66="正規職員","正",IF($E66="契約上の就業時間を記載","","実績を入力")),"-"))</f>
        <v/>
      </c>
      <c r="O66" s="9" t="str">
        <f>IF($B66="","",IF(OR('②-1職員名簿'!AL66="○",'②-1職員名簿'!AL66="●"),IF($E66="正規職員","正",IF($E66="契約上の就業時間を記載","","実績を入力")),"-"))</f>
        <v/>
      </c>
      <c r="P66" s="9" t="str">
        <f>IF($B66="","",IF(OR('②-1職員名簿'!AM66="○",'②-1職員名簿'!AM66="●"),IF($E66="正規職員","正",IF($E66="契約上の就業時間を記載","","実績を入力")),"-"))</f>
        <v/>
      </c>
      <c r="Q66" s="9" t="str">
        <f>IF($B66="","",IF(OR('②-1職員名簿'!AN66="○",'②-1職員名簿'!AN66="●"),IF($E66="正規職員","正",IF($E66="契約上の就業時間を記載","","見込を入力")),"-"))</f>
        <v/>
      </c>
      <c r="R66" s="88" t="str">
        <f>IF($B66="","",IF(OR('②-1職員名簿'!AC66="○",'②-1職員名簿'!AC66="●"),IF($E66="正規職員","正",IF($E66="契約上の就業時間を記載","",IF($E66&gt;=F$5,"常",F66))),"-"))</f>
        <v/>
      </c>
      <c r="S66" s="88" t="str">
        <f>IF($B66="","",IF(OR('②-1職員名簿'!AD66="○",'②-1職員名簿'!AD66="●"),IF($E66="正規職員","正",IF($E66="契約上の就業時間を記載","",IF($E66&gt;=G$5,"常",G66))),"-"))</f>
        <v/>
      </c>
      <c r="T66" s="88" t="str">
        <f>IF($B66="","",IF(OR('②-1職員名簿'!AE66="○",'②-1職員名簿'!AE66="●"),IF($E66="正規職員","正",IF($E66="契約上の就業時間を記載","",IF($E66&gt;=H$5,"常",H66))),"-"))</f>
        <v/>
      </c>
      <c r="U66" s="88" t="str">
        <f>IF($B66="","",IF(OR('②-1職員名簿'!AF66="○",'②-1職員名簿'!AF66="●"),IF($E66="正規職員","正",IF($E66="契約上の就業時間を記載","",IF($E66&gt;=I$5,"常",I66))),"-"))</f>
        <v/>
      </c>
      <c r="V66" s="88" t="str">
        <f>IF($B66="","",IF(OR('②-1職員名簿'!AG66="○",'②-1職員名簿'!AG66="●"),IF($E66="正規職員","正",IF($E66="契約上の就業時間を記載","",IF($E66&gt;=J$5,"常",J66))),"-"))</f>
        <v/>
      </c>
      <c r="W66" s="88" t="str">
        <f>IF($B66="","",IF(OR('②-1職員名簿'!AH66="○",'②-1職員名簿'!AH66="●"),IF($E66="正規職員","正",IF($E66="契約上の就業時間を記載","",IF($E66&gt;=K$5,"常",K66))),"-"))</f>
        <v/>
      </c>
      <c r="X66" s="88" t="str">
        <f>IF($B66="","",IF(OR('②-1職員名簿'!AI66="○",'②-1職員名簿'!AI66="●"),IF($E66="正規職員","正",IF($E66="契約上の就業時間を記載","",IF($E66&gt;=L$5,"常",L66))),"-"))</f>
        <v/>
      </c>
      <c r="Y66" s="88" t="str">
        <f>IF($B66="","",IF(OR('②-1職員名簿'!AJ66="○",'②-1職員名簿'!AJ66="●"),IF($E66="正規職員","正",IF($E66="契約上の就業時間を記載","",IF($E66&gt;=M$5,"常",M66))),"-"))</f>
        <v/>
      </c>
      <c r="Z66" s="88" t="str">
        <f>IF($B66="","",IF(OR('②-1職員名簿'!AK66="○",'②-1職員名簿'!AK66="●"),IF($E66="正規職員","正",IF($E66="契約上の就業時間を記載","",IF($E66&gt;=N$5,"常",N66))),"-"))</f>
        <v/>
      </c>
      <c r="AA66" s="88" t="str">
        <f>IF($B66="","",IF(OR('②-1職員名簿'!AL66="○",'②-1職員名簿'!AL66="●"),IF($E66="正規職員","正",IF($E66="契約上の就業時間を記載","",IF($E66&gt;=O$5,"常",O66))),"-"))</f>
        <v/>
      </c>
      <c r="AB66" s="88" t="str">
        <f>IF($B66="","",IF(OR('②-1職員名簿'!AM66="○",'②-1職員名簿'!AM66="●"),IF($E66="正規職員","正",IF($E66="契約上の就業時間を記載","",IF($E66&gt;=P$5,"常",P66))),"-"))</f>
        <v/>
      </c>
      <c r="AC66" s="88" t="str">
        <f>IF($B66="","",IF(OR('②-1職員名簿'!AN66="○",'②-1職員名簿'!AN66="●"),IF($E66="正規職員","正",IF($E66="契約上の就業時間を記載","",IF($E66&gt;=Q$5,"常",Q66))),"-"))</f>
        <v/>
      </c>
      <c r="AE66" s="86" t="str">
        <f>IF('②-1職員名簿'!W66="","",'②-1職員名簿'!W66)</f>
        <v/>
      </c>
      <c r="AJ66" s="17" t="str">
        <f t="shared" si="12"/>
        <v>○</v>
      </c>
      <c r="AK66" s="17" t="str">
        <f t="shared" si="13"/>
        <v>○</v>
      </c>
      <c r="AL66" s="17" t="str">
        <f t="shared" si="14"/>
        <v>○</v>
      </c>
      <c r="AM66" s="17" t="str">
        <f t="shared" si="15"/>
        <v>○</v>
      </c>
      <c r="AN66" s="17" t="str">
        <f t="shared" si="16"/>
        <v>○</v>
      </c>
      <c r="AO66" s="17" t="str">
        <f t="shared" si="17"/>
        <v>○</v>
      </c>
      <c r="AP66" s="17" t="str">
        <f t="shared" si="18"/>
        <v>○</v>
      </c>
      <c r="AQ66" s="17" t="str">
        <f t="shared" si="19"/>
        <v>○</v>
      </c>
      <c r="AR66" s="17" t="str">
        <f t="shared" si="20"/>
        <v>○</v>
      </c>
      <c r="AS66" s="17" t="str">
        <f t="shared" si="21"/>
        <v>○</v>
      </c>
      <c r="AT66" s="17" t="str">
        <f t="shared" si="22"/>
        <v>○</v>
      </c>
      <c r="AU66" s="17" t="str">
        <f t="shared" si="23"/>
        <v>○</v>
      </c>
    </row>
    <row r="67" spans="1:47" s="90" customFormat="1" ht="23.15" customHeight="1">
      <c r="A67" s="87">
        <v>61</v>
      </c>
      <c r="B67" s="86" t="str">
        <f>IF('②-1職員名簿'!E67="","",'②-1職員名簿'!Y67)</f>
        <v/>
      </c>
      <c r="C67" s="88" t="str">
        <f>'②-1職員名簿'!BE67</f>
        <v/>
      </c>
      <c r="D67" s="117" t="str">
        <f t="shared" si="9"/>
        <v/>
      </c>
      <c r="E67" s="18" t="str">
        <f>IF($B67="","",IF(AND('②-1職員名簿'!C67="正",'②-1職員名簿'!D67="常"),"正規職員","契約上の就業時間を記載"))</f>
        <v/>
      </c>
      <c r="F67" s="9" t="str">
        <f>IF($B67="","",IF(OR('②-1職員名簿'!AC67="○",'②-1職員名簿'!AC67="●"),IF($E67="正規職員","正",IF($E67="契約上の就業時間を記載","","見込を入力")),"-"))</f>
        <v/>
      </c>
      <c r="G67" s="9" t="str">
        <f>IF($B67="","",IF(OR('②-1職員名簿'!AD67="○",'②-1職員名簿'!AD67="●"),IF($E67="正規職員","正",IF($E67="契約上の就業時間を記載","","実績を入力")),"-"))</f>
        <v/>
      </c>
      <c r="H67" s="9" t="str">
        <f>IF($B67="","",IF(OR('②-1職員名簿'!AE67="○",'②-1職員名簿'!AE67="●"),IF($E67="正規職員","正",IF($E67="契約上の就業時間を記載","","実績を入力")),"-"))</f>
        <v/>
      </c>
      <c r="I67" s="9" t="str">
        <f>IF($B67="","",IF(OR('②-1職員名簿'!AF67="○",'②-1職員名簿'!AF67="●"),IF($E67="正規職員","正",IF($E67="契約上の就業時間を記載","","実績を入力")),"-"))</f>
        <v/>
      </c>
      <c r="J67" s="9" t="str">
        <f>IF($B67="","",IF(OR('②-1職員名簿'!AG67="○",'②-1職員名簿'!AG67="●"),IF($E67="正規職員","正",IF($E67="契約上の就業時間を記載","","実績を入力")),"-"))</f>
        <v/>
      </c>
      <c r="K67" s="9" t="str">
        <f>IF($B67="","",IF(OR('②-1職員名簿'!AH67="○",'②-1職員名簿'!AH67="●"),IF($E67="正規職員","正",IF($E67="契約上の就業時間を記載","","実績を入力")),"-"))</f>
        <v/>
      </c>
      <c r="L67" s="9" t="str">
        <f>IF($B67="","",IF(OR('②-1職員名簿'!AI67="○",'②-1職員名簿'!AI67="●"),IF($E67="正規職員","正",IF($E67="契約上の就業時間を記載","","実績を入力")),"-"))</f>
        <v/>
      </c>
      <c r="M67" s="9" t="str">
        <f>IF($B67="","",IF(OR('②-1職員名簿'!AJ67="○",'②-1職員名簿'!AJ67="●"),IF($E67="正規職員","正",IF($E67="契約上の就業時間を記載","","実績を入力")),"-"))</f>
        <v/>
      </c>
      <c r="N67" s="9" t="str">
        <f>IF($B67="","",IF(OR('②-1職員名簿'!AK67="○",'②-1職員名簿'!AK67="●"),IF($E67="正規職員","正",IF($E67="契約上の就業時間を記載","","実績を入力")),"-"))</f>
        <v/>
      </c>
      <c r="O67" s="9" t="str">
        <f>IF($B67="","",IF(OR('②-1職員名簿'!AL67="○",'②-1職員名簿'!AL67="●"),IF($E67="正規職員","正",IF($E67="契約上の就業時間を記載","","実績を入力")),"-"))</f>
        <v/>
      </c>
      <c r="P67" s="9" t="str">
        <f>IF($B67="","",IF(OR('②-1職員名簿'!AM67="○",'②-1職員名簿'!AM67="●"),IF($E67="正規職員","正",IF($E67="契約上の就業時間を記載","","実績を入力")),"-"))</f>
        <v/>
      </c>
      <c r="Q67" s="9" t="str">
        <f>IF($B67="","",IF(OR('②-1職員名簿'!AN67="○",'②-1職員名簿'!AN67="●"),IF($E67="正規職員","正",IF($E67="契約上の就業時間を記載","","見込を入力")),"-"))</f>
        <v/>
      </c>
      <c r="R67" s="88" t="str">
        <f>IF($B67="","",IF(OR('②-1職員名簿'!AC67="○",'②-1職員名簿'!AC67="●"),IF($E67="正規職員","正",IF($E67="契約上の就業時間を記載","",IF($E67&gt;=F$5,"常",F67))),"-"))</f>
        <v/>
      </c>
      <c r="S67" s="88" t="str">
        <f>IF($B67="","",IF(OR('②-1職員名簿'!AD67="○",'②-1職員名簿'!AD67="●"),IF($E67="正規職員","正",IF($E67="契約上の就業時間を記載","",IF($E67&gt;=G$5,"常",G67))),"-"))</f>
        <v/>
      </c>
      <c r="T67" s="88" t="str">
        <f>IF($B67="","",IF(OR('②-1職員名簿'!AE67="○",'②-1職員名簿'!AE67="●"),IF($E67="正規職員","正",IF($E67="契約上の就業時間を記載","",IF($E67&gt;=H$5,"常",H67))),"-"))</f>
        <v/>
      </c>
      <c r="U67" s="88" t="str">
        <f>IF($B67="","",IF(OR('②-1職員名簿'!AF67="○",'②-1職員名簿'!AF67="●"),IF($E67="正規職員","正",IF($E67="契約上の就業時間を記載","",IF($E67&gt;=I$5,"常",I67))),"-"))</f>
        <v/>
      </c>
      <c r="V67" s="88" t="str">
        <f>IF($B67="","",IF(OR('②-1職員名簿'!AG67="○",'②-1職員名簿'!AG67="●"),IF($E67="正規職員","正",IF($E67="契約上の就業時間を記載","",IF($E67&gt;=J$5,"常",J67))),"-"))</f>
        <v/>
      </c>
      <c r="W67" s="88" t="str">
        <f>IF($B67="","",IF(OR('②-1職員名簿'!AH67="○",'②-1職員名簿'!AH67="●"),IF($E67="正規職員","正",IF($E67="契約上の就業時間を記載","",IF($E67&gt;=K$5,"常",K67))),"-"))</f>
        <v/>
      </c>
      <c r="X67" s="88" t="str">
        <f>IF($B67="","",IF(OR('②-1職員名簿'!AI67="○",'②-1職員名簿'!AI67="●"),IF($E67="正規職員","正",IF($E67="契約上の就業時間を記載","",IF($E67&gt;=L$5,"常",L67))),"-"))</f>
        <v/>
      </c>
      <c r="Y67" s="88" t="str">
        <f>IF($B67="","",IF(OR('②-1職員名簿'!AJ67="○",'②-1職員名簿'!AJ67="●"),IF($E67="正規職員","正",IF($E67="契約上の就業時間を記載","",IF($E67&gt;=M$5,"常",M67))),"-"))</f>
        <v/>
      </c>
      <c r="Z67" s="88" t="str">
        <f>IF($B67="","",IF(OR('②-1職員名簿'!AK67="○",'②-1職員名簿'!AK67="●"),IF($E67="正規職員","正",IF($E67="契約上の就業時間を記載","",IF($E67&gt;=N$5,"常",N67))),"-"))</f>
        <v/>
      </c>
      <c r="AA67" s="88" t="str">
        <f>IF($B67="","",IF(OR('②-1職員名簿'!AL67="○",'②-1職員名簿'!AL67="●"),IF($E67="正規職員","正",IF($E67="契約上の就業時間を記載","",IF($E67&gt;=O$5,"常",O67))),"-"))</f>
        <v/>
      </c>
      <c r="AB67" s="88" t="str">
        <f>IF($B67="","",IF(OR('②-1職員名簿'!AM67="○",'②-1職員名簿'!AM67="●"),IF($E67="正規職員","正",IF($E67="契約上の就業時間を記載","",IF($E67&gt;=P$5,"常",P67))),"-"))</f>
        <v/>
      </c>
      <c r="AC67" s="88" t="str">
        <f>IF($B67="","",IF(OR('②-1職員名簿'!AN67="○",'②-1職員名簿'!AN67="●"),IF($E67="正規職員","正",IF($E67="契約上の就業時間を記載","",IF($E67&gt;=Q$5,"常",Q67))),"-"))</f>
        <v/>
      </c>
      <c r="AE67" s="86" t="str">
        <f>IF('②-1職員名簿'!W67="","",'②-1職員名簿'!W67)</f>
        <v/>
      </c>
      <c r="AJ67" s="17" t="str">
        <f t="shared" si="12"/>
        <v>○</v>
      </c>
      <c r="AK67" s="17" t="str">
        <f t="shared" si="13"/>
        <v>○</v>
      </c>
      <c r="AL67" s="17" t="str">
        <f t="shared" si="14"/>
        <v>○</v>
      </c>
      <c r="AM67" s="17" t="str">
        <f t="shared" si="15"/>
        <v>○</v>
      </c>
      <c r="AN67" s="17" t="str">
        <f t="shared" si="16"/>
        <v>○</v>
      </c>
      <c r="AO67" s="17" t="str">
        <f t="shared" si="17"/>
        <v>○</v>
      </c>
      <c r="AP67" s="17" t="str">
        <f t="shared" si="18"/>
        <v>○</v>
      </c>
      <c r="AQ67" s="17" t="str">
        <f t="shared" si="19"/>
        <v>○</v>
      </c>
      <c r="AR67" s="17" t="str">
        <f t="shared" si="20"/>
        <v>○</v>
      </c>
      <c r="AS67" s="17" t="str">
        <f t="shared" si="21"/>
        <v>○</v>
      </c>
      <c r="AT67" s="17" t="str">
        <f t="shared" si="22"/>
        <v>○</v>
      </c>
      <c r="AU67" s="17" t="str">
        <f t="shared" si="23"/>
        <v>○</v>
      </c>
    </row>
    <row r="68" spans="1:47" s="90" customFormat="1" ht="23.15" customHeight="1">
      <c r="A68" s="87">
        <v>62</v>
      </c>
      <c r="B68" s="86" t="str">
        <f>IF('②-1職員名簿'!E68="","",'②-1職員名簿'!Y68)</f>
        <v/>
      </c>
      <c r="C68" s="88" t="str">
        <f>'②-1職員名簿'!BE68</f>
        <v/>
      </c>
      <c r="D68" s="117" t="str">
        <f t="shared" si="9"/>
        <v/>
      </c>
      <c r="E68" s="18" t="str">
        <f>IF($B68="","",IF(AND('②-1職員名簿'!C68="正",'②-1職員名簿'!D68="常"),"正規職員","契約上の就業時間を記載"))</f>
        <v/>
      </c>
      <c r="F68" s="9" t="str">
        <f>IF($B68="","",IF(OR('②-1職員名簿'!AC68="○",'②-1職員名簿'!AC68="●"),IF($E68="正規職員","正",IF($E68="契約上の就業時間を記載","","見込を入力")),"-"))</f>
        <v/>
      </c>
      <c r="G68" s="9" t="str">
        <f>IF($B68="","",IF(OR('②-1職員名簿'!AD68="○",'②-1職員名簿'!AD68="●"),IF($E68="正規職員","正",IF($E68="契約上の就業時間を記載","","実績を入力")),"-"))</f>
        <v/>
      </c>
      <c r="H68" s="9" t="str">
        <f>IF($B68="","",IF(OR('②-1職員名簿'!AE68="○",'②-1職員名簿'!AE68="●"),IF($E68="正規職員","正",IF($E68="契約上の就業時間を記載","","実績を入力")),"-"))</f>
        <v/>
      </c>
      <c r="I68" s="9" t="str">
        <f>IF($B68="","",IF(OR('②-1職員名簿'!AF68="○",'②-1職員名簿'!AF68="●"),IF($E68="正規職員","正",IF($E68="契約上の就業時間を記載","","実績を入力")),"-"))</f>
        <v/>
      </c>
      <c r="J68" s="9" t="str">
        <f>IF($B68="","",IF(OR('②-1職員名簿'!AG68="○",'②-1職員名簿'!AG68="●"),IF($E68="正規職員","正",IF($E68="契約上の就業時間を記載","","実績を入力")),"-"))</f>
        <v/>
      </c>
      <c r="K68" s="9" t="str">
        <f>IF($B68="","",IF(OR('②-1職員名簿'!AH68="○",'②-1職員名簿'!AH68="●"),IF($E68="正規職員","正",IF($E68="契約上の就業時間を記載","","実績を入力")),"-"))</f>
        <v/>
      </c>
      <c r="L68" s="9" t="str">
        <f>IF($B68="","",IF(OR('②-1職員名簿'!AI68="○",'②-1職員名簿'!AI68="●"),IF($E68="正規職員","正",IF($E68="契約上の就業時間を記載","","実績を入力")),"-"))</f>
        <v/>
      </c>
      <c r="M68" s="9" t="str">
        <f>IF($B68="","",IF(OR('②-1職員名簿'!AJ68="○",'②-1職員名簿'!AJ68="●"),IF($E68="正規職員","正",IF($E68="契約上の就業時間を記載","","実績を入力")),"-"))</f>
        <v/>
      </c>
      <c r="N68" s="9" t="str">
        <f>IF($B68="","",IF(OR('②-1職員名簿'!AK68="○",'②-1職員名簿'!AK68="●"),IF($E68="正規職員","正",IF($E68="契約上の就業時間を記載","","実績を入力")),"-"))</f>
        <v/>
      </c>
      <c r="O68" s="9" t="str">
        <f>IF($B68="","",IF(OR('②-1職員名簿'!AL68="○",'②-1職員名簿'!AL68="●"),IF($E68="正規職員","正",IF($E68="契約上の就業時間を記載","","実績を入力")),"-"))</f>
        <v/>
      </c>
      <c r="P68" s="9" t="str">
        <f>IF($B68="","",IF(OR('②-1職員名簿'!AM68="○",'②-1職員名簿'!AM68="●"),IF($E68="正規職員","正",IF($E68="契約上の就業時間を記載","","実績を入力")),"-"))</f>
        <v/>
      </c>
      <c r="Q68" s="9" t="str">
        <f>IF($B68="","",IF(OR('②-1職員名簿'!AN68="○",'②-1職員名簿'!AN68="●"),IF($E68="正規職員","正",IF($E68="契約上の就業時間を記載","","見込を入力")),"-"))</f>
        <v/>
      </c>
      <c r="R68" s="88" t="str">
        <f>IF($B68="","",IF(OR('②-1職員名簿'!AC68="○",'②-1職員名簿'!AC68="●"),IF($E68="正規職員","正",IF($E68="契約上の就業時間を記載","",IF($E68&gt;=F$5,"常",F68))),"-"))</f>
        <v/>
      </c>
      <c r="S68" s="88" t="str">
        <f>IF($B68="","",IF(OR('②-1職員名簿'!AD68="○",'②-1職員名簿'!AD68="●"),IF($E68="正規職員","正",IF($E68="契約上の就業時間を記載","",IF($E68&gt;=G$5,"常",G68))),"-"))</f>
        <v/>
      </c>
      <c r="T68" s="88" t="str">
        <f>IF($B68="","",IF(OR('②-1職員名簿'!AE68="○",'②-1職員名簿'!AE68="●"),IF($E68="正規職員","正",IF($E68="契約上の就業時間を記載","",IF($E68&gt;=H$5,"常",H68))),"-"))</f>
        <v/>
      </c>
      <c r="U68" s="88" t="str">
        <f>IF($B68="","",IF(OR('②-1職員名簿'!AF68="○",'②-1職員名簿'!AF68="●"),IF($E68="正規職員","正",IF($E68="契約上の就業時間を記載","",IF($E68&gt;=I$5,"常",I68))),"-"))</f>
        <v/>
      </c>
      <c r="V68" s="88" t="str">
        <f>IF($B68="","",IF(OR('②-1職員名簿'!AG68="○",'②-1職員名簿'!AG68="●"),IF($E68="正規職員","正",IF($E68="契約上の就業時間を記載","",IF($E68&gt;=J$5,"常",J68))),"-"))</f>
        <v/>
      </c>
      <c r="W68" s="88" t="str">
        <f>IF($B68="","",IF(OR('②-1職員名簿'!AH68="○",'②-1職員名簿'!AH68="●"),IF($E68="正規職員","正",IF($E68="契約上の就業時間を記載","",IF($E68&gt;=K$5,"常",K68))),"-"))</f>
        <v/>
      </c>
      <c r="X68" s="88" t="str">
        <f>IF($B68="","",IF(OR('②-1職員名簿'!AI68="○",'②-1職員名簿'!AI68="●"),IF($E68="正規職員","正",IF($E68="契約上の就業時間を記載","",IF($E68&gt;=L$5,"常",L68))),"-"))</f>
        <v/>
      </c>
      <c r="Y68" s="88" t="str">
        <f>IF($B68="","",IF(OR('②-1職員名簿'!AJ68="○",'②-1職員名簿'!AJ68="●"),IF($E68="正規職員","正",IF($E68="契約上の就業時間を記載","",IF($E68&gt;=M$5,"常",M68))),"-"))</f>
        <v/>
      </c>
      <c r="Z68" s="88" t="str">
        <f>IF($B68="","",IF(OR('②-1職員名簿'!AK68="○",'②-1職員名簿'!AK68="●"),IF($E68="正規職員","正",IF($E68="契約上の就業時間を記載","",IF($E68&gt;=N$5,"常",N68))),"-"))</f>
        <v/>
      </c>
      <c r="AA68" s="88" t="str">
        <f>IF($B68="","",IF(OR('②-1職員名簿'!AL68="○",'②-1職員名簿'!AL68="●"),IF($E68="正規職員","正",IF($E68="契約上の就業時間を記載","",IF($E68&gt;=O$5,"常",O68))),"-"))</f>
        <v/>
      </c>
      <c r="AB68" s="88" t="str">
        <f>IF($B68="","",IF(OR('②-1職員名簿'!AM68="○",'②-1職員名簿'!AM68="●"),IF($E68="正規職員","正",IF($E68="契約上の就業時間を記載","",IF($E68&gt;=P$5,"常",P68))),"-"))</f>
        <v/>
      </c>
      <c r="AC68" s="88" t="str">
        <f>IF($B68="","",IF(OR('②-1職員名簿'!AN68="○",'②-1職員名簿'!AN68="●"),IF($E68="正規職員","正",IF($E68="契約上の就業時間を記載","",IF($E68&gt;=Q$5,"常",Q68))),"-"))</f>
        <v/>
      </c>
      <c r="AE68" s="86" t="str">
        <f>IF('②-1職員名簿'!W68="","",'②-1職員名簿'!W68)</f>
        <v/>
      </c>
      <c r="AJ68" s="17" t="str">
        <f t="shared" si="12"/>
        <v>○</v>
      </c>
      <c r="AK68" s="17" t="str">
        <f t="shared" si="13"/>
        <v>○</v>
      </c>
      <c r="AL68" s="17" t="str">
        <f t="shared" si="14"/>
        <v>○</v>
      </c>
      <c r="AM68" s="17" t="str">
        <f t="shared" si="15"/>
        <v>○</v>
      </c>
      <c r="AN68" s="17" t="str">
        <f t="shared" si="16"/>
        <v>○</v>
      </c>
      <c r="AO68" s="17" t="str">
        <f t="shared" si="17"/>
        <v>○</v>
      </c>
      <c r="AP68" s="17" t="str">
        <f t="shared" si="18"/>
        <v>○</v>
      </c>
      <c r="AQ68" s="17" t="str">
        <f t="shared" si="19"/>
        <v>○</v>
      </c>
      <c r="AR68" s="17" t="str">
        <f t="shared" si="20"/>
        <v>○</v>
      </c>
      <c r="AS68" s="17" t="str">
        <f t="shared" si="21"/>
        <v>○</v>
      </c>
      <c r="AT68" s="17" t="str">
        <f t="shared" si="22"/>
        <v>○</v>
      </c>
      <c r="AU68" s="17" t="str">
        <f t="shared" si="23"/>
        <v>○</v>
      </c>
    </row>
    <row r="69" spans="1:47" s="90" customFormat="1" ht="23.15" customHeight="1">
      <c r="A69" s="87">
        <v>63</v>
      </c>
      <c r="B69" s="86" t="str">
        <f>IF('②-1職員名簿'!E69="","",'②-1職員名簿'!Y69)</f>
        <v/>
      </c>
      <c r="C69" s="88" t="str">
        <f>'②-1職員名簿'!BE69</f>
        <v/>
      </c>
      <c r="D69" s="117" t="str">
        <f t="shared" si="9"/>
        <v/>
      </c>
      <c r="E69" s="18" t="str">
        <f>IF($B69="","",IF(AND('②-1職員名簿'!C69="正",'②-1職員名簿'!D69="常"),"正規職員","契約上の就業時間を記載"))</f>
        <v/>
      </c>
      <c r="F69" s="9" t="str">
        <f>IF($B69="","",IF(OR('②-1職員名簿'!AC69="○",'②-1職員名簿'!AC69="●"),IF($E69="正規職員","正",IF($E69="契約上の就業時間を記載","","見込を入力")),"-"))</f>
        <v/>
      </c>
      <c r="G69" s="9" t="str">
        <f>IF($B69="","",IF(OR('②-1職員名簿'!AD69="○",'②-1職員名簿'!AD69="●"),IF($E69="正規職員","正",IF($E69="契約上の就業時間を記載","","実績を入力")),"-"))</f>
        <v/>
      </c>
      <c r="H69" s="9" t="str">
        <f>IF($B69="","",IF(OR('②-1職員名簿'!AE69="○",'②-1職員名簿'!AE69="●"),IF($E69="正規職員","正",IF($E69="契約上の就業時間を記載","","実績を入力")),"-"))</f>
        <v/>
      </c>
      <c r="I69" s="9" t="str">
        <f>IF($B69="","",IF(OR('②-1職員名簿'!AF69="○",'②-1職員名簿'!AF69="●"),IF($E69="正規職員","正",IF($E69="契約上の就業時間を記載","","実績を入力")),"-"))</f>
        <v/>
      </c>
      <c r="J69" s="9" t="str">
        <f>IF($B69="","",IF(OR('②-1職員名簿'!AG69="○",'②-1職員名簿'!AG69="●"),IF($E69="正規職員","正",IF($E69="契約上の就業時間を記載","","実績を入力")),"-"))</f>
        <v/>
      </c>
      <c r="K69" s="9" t="str">
        <f>IF($B69="","",IF(OR('②-1職員名簿'!AH69="○",'②-1職員名簿'!AH69="●"),IF($E69="正規職員","正",IF($E69="契約上の就業時間を記載","","実績を入力")),"-"))</f>
        <v/>
      </c>
      <c r="L69" s="9" t="str">
        <f>IF($B69="","",IF(OR('②-1職員名簿'!AI69="○",'②-1職員名簿'!AI69="●"),IF($E69="正規職員","正",IF($E69="契約上の就業時間を記載","","実績を入力")),"-"))</f>
        <v/>
      </c>
      <c r="M69" s="9" t="str">
        <f>IF($B69="","",IF(OR('②-1職員名簿'!AJ69="○",'②-1職員名簿'!AJ69="●"),IF($E69="正規職員","正",IF($E69="契約上の就業時間を記載","","実績を入力")),"-"))</f>
        <v/>
      </c>
      <c r="N69" s="9" t="str">
        <f>IF($B69="","",IF(OR('②-1職員名簿'!AK69="○",'②-1職員名簿'!AK69="●"),IF($E69="正規職員","正",IF($E69="契約上の就業時間を記載","","実績を入力")),"-"))</f>
        <v/>
      </c>
      <c r="O69" s="9" t="str">
        <f>IF($B69="","",IF(OR('②-1職員名簿'!AL69="○",'②-1職員名簿'!AL69="●"),IF($E69="正規職員","正",IF($E69="契約上の就業時間を記載","","実績を入力")),"-"))</f>
        <v/>
      </c>
      <c r="P69" s="9" t="str">
        <f>IF($B69="","",IF(OR('②-1職員名簿'!AM69="○",'②-1職員名簿'!AM69="●"),IF($E69="正規職員","正",IF($E69="契約上の就業時間を記載","","実績を入力")),"-"))</f>
        <v/>
      </c>
      <c r="Q69" s="9" t="str">
        <f>IF($B69="","",IF(OR('②-1職員名簿'!AN69="○",'②-1職員名簿'!AN69="●"),IF($E69="正規職員","正",IF($E69="契約上の就業時間を記載","","見込を入力")),"-"))</f>
        <v/>
      </c>
      <c r="R69" s="88" t="str">
        <f>IF($B69="","",IF(OR('②-1職員名簿'!AC69="○",'②-1職員名簿'!AC69="●"),IF($E69="正規職員","正",IF($E69="契約上の就業時間を記載","",IF($E69&gt;=F$5,"常",F69))),"-"))</f>
        <v/>
      </c>
      <c r="S69" s="88" t="str">
        <f>IF($B69="","",IF(OR('②-1職員名簿'!AD69="○",'②-1職員名簿'!AD69="●"),IF($E69="正規職員","正",IF($E69="契約上の就業時間を記載","",IF($E69&gt;=G$5,"常",G69))),"-"))</f>
        <v/>
      </c>
      <c r="T69" s="88" t="str">
        <f>IF($B69="","",IF(OR('②-1職員名簿'!AE69="○",'②-1職員名簿'!AE69="●"),IF($E69="正規職員","正",IF($E69="契約上の就業時間を記載","",IF($E69&gt;=H$5,"常",H69))),"-"))</f>
        <v/>
      </c>
      <c r="U69" s="88" t="str">
        <f>IF($B69="","",IF(OR('②-1職員名簿'!AF69="○",'②-1職員名簿'!AF69="●"),IF($E69="正規職員","正",IF($E69="契約上の就業時間を記載","",IF($E69&gt;=I$5,"常",I69))),"-"))</f>
        <v/>
      </c>
      <c r="V69" s="88" t="str">
        <f>IF($B69="","",IF(OR('②-1職員名簿'!AG69="○",'②-1職員名簿'!AG69="●"),IF($E69="正規職員","正",IF($E69="契約上の就業時間を記載","",IF($E69&gt;=J$5,"常",J69))),"-"))</f>
        <v/>
      </c>
      <c r="W69" s="88" t="str">
        <f>IF($B69="","",IF(OR('②-1職員名簿'!AH69="○",'②-1職員名簿'!AH69="●"),IF($E69="正規職員","正",IF($E69="契約上の就業時間を記載","",IF($E69&gt;=K$5,"常",K69))),"-"))</f>
        <v/>
      </c>
      <c r="X69" s="88" t="str">
        <f>IF($B69="","",IF(OR('②-1職員名簿'!AI69="○",'②-1職員名簿'!AI69="●"),IF($E69="正規職員","正",IF($E69="契約上の就業時間を記載","",IF($E69&gt;=L$5,"常",L69))),"-"))</f>
        <v/>
      </c>
      <c r="Y69" s="88" t="str">
        <f>IF($B69="","",IF(OR('②-1職員名簿'!AJ69="○",'②-1職員名簿'!AJ69="●"),IF($E69="正規職員","正",IF($E69="契約上の就業時間を記載","",IF($E69&gt;=M$5,"常",M69))),"-"))</f>
        <v/>
      </c>
      <c r="Z69" s="88" t="str">
        <f>IF($B69="","",IF(OR('②-1職員名簿'!AK69="○",'②-1職員名簿'!AK69="●"),IF($E69="正規職員","正",IF($E69="契約上の就業時間を記載","",IF($E69&gt;=N$5,"常",N69))),"-"))</f>
        <v/>
      </c>
      <c r="AA69" s="88" t="str">
        <f>IF($B69="","",IF(OR('②-1職員名簿'!AL69="○",'②-1職員名簿'!AL69="●"),IF($E69="正規職員","正",IF($E69="契約上の就業時間を記載","",IF($E69&gt;=O$5,"常",O69))),"-"))</f>
        <v/>
      </c>
      <c r="AB69" s="88" t="str">
        <f>IF($B69="","",IF(OR('②-1職員名簿'!AM69="○",'②-1職員名簿'!AM69="●"),IF($E69="正規職員","正",IF($E69="契約上の就業時間を記載","",IF($E69&gt;=P$5,"常",P69))),"-"))</f>
        <v/>
      </c>
      <c r="AC69" s="88" t="str">
        <f>IF($B69="","",IF(OR('②-1職員名簿'!AN69="○",'②-1職員名簿'!AN69="●"),IF($E69="正規職員","正",IF($E69="契約上の就業時間を記載","",IF($E69&gt;=Q$5,"常",Q69))),"-"))</f>
        <v/>
      </c>
      <c r="AE69" s="86" t="str">
        <f>IF('②-1職員名簿'!W69="","",'②-1職員名簿'!W69)</f>
        <v/>
      </c>
      <c r="AJ69" s="17" t="str">
        <f t="shared" si="12"/>
        <v>○</v>
      </c>
      <c r="AK69" s="17" t="str">
        <f t="shared" si="13"/>
        <v>○</v>
      </c>
      <c r="AL69" s="17" t="str">
        <f t="shared" si="14"/>
        <v>○</v>
      </c>
      <c r="AM69" s="17" t="str">
        <f t="shared" si="15"/>
        <v>○</v>
      </c>
      <c r="AN69" s="17" t="str">
        <f t="shared" si="16"/>
        <v>○</v>
      </c>
      <c r="AO69" s="17" t="str">
        <f t="shared" si="17"/>
        <v>○</v>
      </c>
      <c r="AP69" s="17" t="str">
        <f t="shared" si="18"/>
        <v>○</v>
      </c>
      <c r="AQ69" s="17" t="str">
        <f t="shared" si="19"/>
        <v>○</v>
      </c>
      <c r="AR69" s="17" t="str">
        <f t="shared" si="20"/>
        <v>○</v>
      </c>
      <c r="AS69" s="17" t="str">
        <f t="shared" si="21"/>
        <v>○</v>
      </c>
      <c r="AT69" s="17" t="str">
        <f t="shared" si="22"/>
        <v>○</v>
      </c>
      <c r="AU69" s="17" t="str">
        <f t="shared" si="23"/>
        <v>○</v>
      </c>
    </row>
    <row r="70" spans="1:47" s="90" customFormat="1" ht="23.15" customHeight="1">
      <c r="A70" s="87">
        <v>64</v>
      </c>
      <c r="B70" s="86" t="str">
        <f>IF('②-1職員名簿'!E70="","",'②-1職員名簿'!Y70)</f>
        <v/>
      </c>
      <c r="C70" s="88" t="str">
        <f>'②-1職員名簿'!BE70</f>
        <v/>
      </c>
      <c r="D70" s="117" t="str">
        <f t="shared" si="9"/>
        <v/>
      </c>
      <c r="E70" s="18" t="str">
        <f>IF($B70="","",IF(AND('②-1職員名簿'!C70="正",'②-1職員名簿'!D70="常"),"正規職員","契約上の就業時間を記載"))</f>
        <v/>
      </c>
      <c r="F70" s="9" t="str">
        <f>IF($B70="","",IF(OR('②-1職員名簿'!AC70="○",'②-1職員名簿'!AC70="●"),IF($E70="正規職員","正",IF($E70="契約上の就業時間を記載","","見込を入力")),"-"))</f>
        <v/>
      </c>
      <c r="G70" s="9" t="str">
        <f>IF($B70="","",IF(OR('②-1職員名簿'!AD70="○",'②-1職員名簿'!AD70="●"),IF($E70="正規職員","正",IF($E70="契約上の就業時間を記載","","実績を入力")),"-"))</f>
        <v/>
      </c>
      <c r="H70" s="9" t="str">
        <f>IF($B70="","",IF(OR('②-1職員名簿'!AE70="○",'②-1職員名簿'!AE70="●"),IF($E70="正規職員","正",IF($E70="契約上の就業時間を記載","","実績を入力")),"-"))</f>
        <v/>
      </c>
      <c r="I70" s="9" t="str">
        <f>IF($B70="","",IF(OR('②-1職員名簿'!AF70="○",'②-1職員名簿'!AF70="●"),IF($E70="正規職員","正",IF($E70="契約上の就業時間を記載","","実績を入力")),"-"))</f>
        <v/>
      </c>
      <c r="J70" s="9" t="str">
        <f>IF($B70="","",IF(OR('②-1職員名簿'!AG70="○",'②-1職員名簿'!AG70="●"),IF($E70="正規職員","正",IF($E70="契約上の就業時間を記載","","実績を入力")),"-"))</f>
        <v/>
      </c>
      <c r="K70" s="9" t="str">
        <f>IF($B70="","",IF(OR('②-1職員名簿'!AH70="○",'②-1職員名簿'!AH70="●"),IF($E70="正規職員","正",IF($E70="契約上の就業時間を記載","","実績を入力")),"-"))</f>
        <v/>
      </c>
      <c r="L70" s="9" t="str">
        <f>IF($B70="","",IF(OR('②-1職員名簿'!AI70="○",'②-1職員名簿'!AI70="●"),IF($E70="正規職員","正",IF($E70="契約上の就業時間を記載","","実績を入力")),"-"))</f>
        <v/>
      </c>
      <c r="M70" s="9" t="str">
        <f>IF($B70="","",IF(OR('②-1職員名簿'!AJ70="○",'②-1職員名簿'!AJ70="●"),IF($E70="正規職員","正",IF($E70="契約上の就業時間を記載","","実績を入力")),"-"))</f>
        <v/>
      </c>
      <c r="N70" s="9" t="str">
        <f>IF($B70="","",IF(OR('②-1職員名簿'!AK70="○",'②-1職員名簿'!AK70="●"),IF($E70="正規職員","正",IF($E70="契約上の就業時間を記載","","実績を入力")),"-"))</f>
        <v/>
      </c>
      <c r="O70" s="9" t="str">
        <f>IF($B70="","",IF(OR('②-1職員名簿'!AL70="○",'②-1職員名簿'!AL70="●"),IF($E70="正規職員","正",IF($E70="契約上の就業時間を記載","","実績を入力")),"-"))</f>
        <v/>
      </c>
      <c r="P70" s="9" t="str">
        <f>IF($B70="","",IF(OR('②-1職員名簿'!AM70="○",'②-1職員名簿'!AM70="●"),IF($E70="正規職員","正",IF($E70="契約上の就業時間を記載","","実績を入力")),"-"))</f>
        <v/>
      </c>
      <c r="Q70" s="9" t="str">
        <f>IF($B70="","",IF(OR('②-1職員名簿'!AN70="○",'②-1職員名簿'!AN70="●"),IF($E70="正規職員","正",IF($E70="契約上の就業時間を記載","","見込を入力")),"-"))</f>
        <v/>
      </c>
      <c r="R70" s="88" t="str">
        <f>IF($B70="","",IF(OR('②-1職員名簿'!AC70="○",'②-1職員名簿'!AC70="●"),IF($E70="正規職員","正",IF($E70="契約上の就業時間を記載","",IF($E70&gt;=F$5,"常",F70))),"-"))</f>
        <v/>
      </c>
      <c r="S70" s="88" t="str">
        <f>IF($B70="","",IF(OR('②-1職員名簿'!AD70="○",'②-1職員名簿'!AD70="●"),IF($E70="正規職員","正",IF($E70="契約上の就業時間を記載","",IF($E70&gt;=G$5,"常",G70))),"-"))</f>
        <v/>
      </c>
      <c r="T70" s="88" t="str">
        <f>IF($B70="","",IF(OR('②-1職員名簿'!AE70="○",'②-1職員名簿'!AE70="●"),IF($E70="正規職員","正",IF($E70="契約上の就業時間を記載","",IF($E70&gt;=H$5,"常",H70))),"-"))</f>
        <v/>
      </c>
      <c r="U70" s="88" t="str">
        <f>IF($B70="","",IF(OR('②-1職員名簿'!AF70="○",'②-1職員名簿'!AF70="●"),IF($E70="正規職員","正",IF($E70="契約上の就業時間を記載","",IF($E70&gt;=I$5,"常",I70))),"-"))</f>
        <v/>
      </c>
      <c r="V70" s="88" t="str">
        <f>IF($B70="","",IF(OR('②-1職員名簿'!AG70="○",'②-1職員名簿'!AG70="●"),IF($E70="正規職員","正",IF($E70="契約上の就業時間を記載","",IF($E70&gt;=J$5,"常",J70))),"-"))</f>
        <v/>
      </c>
      <c r="W70" s="88" t="str">
        <f>IF($B70="","",IF(OR('②-1職員名簿'!AH70="○",'②-1職員名簿'!AH70="●"),IF($E70="正規職員","正",IF($E70="契約上の就業時間を記載","",IF($E70&gt;=K$5,"常",K70))),"-"))</f>
        <v/>
      </c>
      <c r="X70" s="88" t="str">
        <f>IF($B70="","",IF(OR('②-1職員名簿'!AI70="○",'②-1職員名簿'!AI70="●"),IF($E70="正規職員","正",IF($E70="契約上の就業時間を記載","",IF($E70&gt;=L$5,"常",L70))),"-"))</f>
        <v/>
      </c>
      <c r="Y70" s="88" t="str">
        <f>IF($B70="","",IF(OR('②-1職員名簿'!AJ70="○",'②-1職員名簿'!AJ70="●"),IF($E70="正規職員","正",IF($E70="契約上の就業時間を記載","",IF($E70&gt;=M$5,"常",M70))),"-"))</f>
        <v/>
      </c>
      <c r="Z70" s="88" t="str">
        <f>IF($B70="","",IF(OR('②-1職員名簿'!AK70="○",'②-1職員名簿'!AK70="●"),IF($E70="正規職員","正",IF($E70="契約上の就業時間を記載","",IF($E70&gt;=N$5,"常",N70))),"-"))</f>
        <v/>
      </c>
      <c r="AA70" s="88" t="str">
        <f>IF($B70="","",IF(OR('②-1職員名簿'!AL70="○",'②-1職員名簿'!AL70="●"),IF($E70="正規職員","正",IF($E70="契約上の就業時間を記載","",IF($E70&gt;=O$5,"常",O70))),"-"))</f>
        <v/>
      </c>
      <c r="AB70" s="88" t="str">
        <f>IF($B70="","",IF(OR('②-1職員名簿'!AM70="○",'②-1職員名簿'!AM70="●"),IF($E70="正規職員","正",IF($E70="契約上の就業時間を記載","",IF($E70&gt;=P$5,"常",P70))),"-"))</f>
        <v/>
      </c>
      <c r="AC70" s="88" t="str">
        <f>IF($B70="","",IF(OR('②-1職員名簿'!AN70="○",'②-1職員名簿'!AN70="●"),IF($E70="正規職員","正",IF($E70="契約上の就業時間を記載","",IF($E70&gt;=Q$5,"常",Q70))),"-"))</f>
        <v/>
      </c>
      <c r="AE70" s="86" t="str">
        <f>IF('②-1職員名簿'!W70="","",'②-1職員名簿'!W70)</f>
        <v/>
      </c>
      <c r="AJ70" s="17" t="str">
        <f t="shared" si="12"/>
        <v>○</v>
      </c>
      <c r="AK70" s="17" t="str">
        <f t="shared" si="13"/>
        <v>○</v>
      </c>
      <c r="AL70" s="17" t="str">
        <f t="shared" si="14"/>
        <v>○</v>
      </c>
      <c r="AM70" s="17" t="str">
        <f t="shared" si="15"/>
        <v>○</v>
      </c>
      <c r="AN70" s="17" t="str">
        <f t="shared" si="16"/>
        <v>○</v>
      </c>
      <c r="AO70" s="17" t="str">
        <f t="shared" si="17"/>
        <v>○</v>
      </c>
      <c r="AP70" s="17" t="str">
        <f t="shared" si="18"/>
        <v>○</v>
      </c>
      <c r="AQ70" s="17" t="str">
        <f t="shared" si="19"/>
        <v>○</v>
      </c>
      <c r="AR70" s="17" t="str">
        <f t="shared" si="20"/>
        <v>○</v>
      </c>
      <c r="AS70" s="17" t="str">
        <f t="shared" si="21"/>
        <v>○</v>
      </c>
      <c r="AT70" s="17" t="str">
        <f t="shared" si="22"/>
        <v>○</v>
      </c>
      <c r="AU70" s="17" t="str">
        <f t="shared" si="23"/>
        <v>○</v>
      </c>
    </row>
    <row r="71" spans="1:47" s="90" customFormat="1" ht="23.15" customHeight="1">
      <c r="A71" s="87">
        <v>65</v>
      </c>
      <c r="B71" s="86" t="str">
        <f>IF('②-1職員名簿'!E71="","",'②-1職員名簿'!Y71)</f>
        <v/>
      </c>
      <c r="C71" s="88" t="str">
        <f>'②-1職員名簿'!BE71</f>
        <v/>
      </c>
      <c r="D71" s="117" t="str">
        <f t="shared" ref="D71:D106" si="24">B71&amp;C71</f>
        <v/>
      </c>
      <c r="E71" s="18" t="str">
        <f>IF($B71="","",IF(AND('②-1職員名簿'!C71="正",'②-1職員名簿'!D71="常"),"正規職員","契約上の就業時間を記載"))</f>
        <v/>
      </c>
      <c r="F71" s="9" t="str">
        <f>IF($B71="","",IF(OR('②-1職員名簿'!AC71="○",'②-1職員名簿'!AC71="●"),IF($E71="正規職員","正",IF($E71="契約上の就業時間を記載","","見込を入力")),"-"))</f>
        <v/>
      </c>
      <c r="G71" s="9" t="str">
        <f>IF($B71="","",IF(OR('②-1職員名簿'!AD71="○",'②-1職員名簿'!AD71="●"),IF($E71="正規職員","正",IF($E71="契約上の就業時間を記載","","実績を入力")),"-"))</f>
        <v/>
      </c>
      <c r="H71" s="9" t="str">
        <f>IF($B71="","",IF(OR('②-1職員名簿'!AE71="○",'②-1職員名簿'!AE71="●"),IF($E71="正規職員","正",IF($E71="契約上の就業時間を記載","","実績を入力")),"-"))</f>
        <v/>
      </c>
      <c r="I71" s="9" t="str">
        <f>IF($B71="","",IF(OR('②-1職員名簿'!AF71="○",'②-1職員名簿'!AF71="●"),IF($E71="正規職員","正",IF($E71="契約上の就業時間を記載","","実績を入力")),"-"))</f>
        <v/>
      </c>
      <c r="J71" s="9" t="str">
        <f>IF($B71="","",IF(OR('②-1職員名簿'!AG71="○",'②-1職員名簿'!AG71="●"),IF($E71="正規職員","正",IF($E71="契約上の就業時間を記載","","実績を入力")),"-"))</f>
        <v/>
      </c>
      <c r="K71" s="9" t="str">
        <f>IF($B71="","",IF(OR('②-1職員名簿'!AH71="○",'②-1職員名簿'!AH71="●"),IF($E71="正規職員","正",IF($E71="契約上の就業時間を記載","","実績を入力")),"-"))</f>
        <v/>
      </c>
      <c r="L71" s="9" t="str">
        <f>IF($B71="","",IF(OR('②-1職員名簿'!AI71="○",'②-1職員名簿'!AI71="●"),IF($E71="正規職員","正",IF($E71="契約上の就業時間を記載","","実績を入力")),"-"))</f>
        <v/>
      </c>
      <c r="M71" s="9" t="str">
        <f>IF($B71="","",IF(OR('②-1職員名簿'!AJ71="○",'②-1職員名簿'!AJ71="●"),IF($E71="正規職員","正",IF($E71="契約上の就業時間を記載","","実績を入力")),"-"))</f>
        <v/>
      </c>
      <c r="N71" s="9" t="str">
        <f>IF($B71="","",IF(OR('②-1職員名簿'!AK71="○",'②-1職員名簿'!AK71="●"),IF($E71="正規職員","正",IF($E71="契約上の就業時間を記載","","実績を入力")),"-"))</f>
        <v/>
      </c>
      <c r="O71" s="9" t="str">
        <f>IF($B71="","",IF(OR('②-1職員名簿'!AL71="○",'②-1職員名簿'!AL71="●"),IF($E71="正規職員","正",IF($E71="契約上の就業時間を記載","","実績を入力")),"-"))</f>
        <v/>
      </c>
      <c r="P71" s="9" t="str">
        <f>IF($B71="","",IF(OR('②-1職員名簿'!AM71="○",'②-1職員名簿'!AM71="●"),IF($E71="正規職員","正",IF($E71="契約上の就業時間を記載","","実績を入力")),"-"))</f>
        <v/>
      </c>
      <c r="Q71" s="9" t="str">
        <f>IF($B71="","",IF(OR('②-1職員名簿'!AN71="○",'②-1職員名簿'!AN71="●"),IF($E71="正規職員","正",IF($E71="契約上の就業時間を記載","","見込を入力")),"-"))</f>
        <v/>
      </c>
      <c r="R71" s="88" t="str">
        <f>IF($B71="","",IF(OR('②-1職員名簿'!AC71="○",'②-1職員名簿'!AC71="●"),IF($E71="正規職員","正",IF($E71="契約上の就業時間を記載","",IF($E71&gt;=F$5,"常",F71))),"-"))</f>
        <v/>
      </c>
      <c r="S71" s="88" t="str">
        <f>IF($B71="","",IF(OR('②-1職員名簿'!AD71="○",'②-1職員名簿'!AD71="●"),IF($E71="正規職員","正",IF($E71="契約上の就業時間を記載","",IF($E71&gt;=G$5,"常",G71))),"-"))</f>
        <v/>
      </c>
      <c r="T71" s="88" t="str">
        <f>IF($B71="","",IF(OR('②-1職員名簿'!AE71="○",'②-1職員名簿'!AE71="●"),IF($E71="正規職員","正",IF($E71="契約上の就業時間を記載","",IF($E71&gt;=H$5,"常",H71))),"-"))</f>
        <v/>
      </c>
      <c r="U71" s="88" t="str">
        <f>IF($B71="","",IF(OR('②-1職員名簿'!AF71="○",'②-1職員名簿'!AF71="●"),IF($E71="正規職員","正",IF($E71="契約上の就業時間を記載","",IF($E71&gt;=I$5,"常",I71))),"-"))</f>
        <v/>
      </c>
      <c r="V71" s="88" t="str">
        <f>IF($B71="","",IF(OR('②-1職員名簿'!AG71="○",'②-1職員名簿'!AG71="●"),IF($E71="正規職員","正",IF($E71="契約上の就業時間を記載","",IF($E71&gt;=J$5,"常",J71))),"-"))</f>
        <v/>
      </c>
      <c r="W71" s="88" t="str">
        <f>IF($B71="","",IF(OR('②-1職員名簿'!AH71="○",'②-1職員名簿'!AH71="●"),IF($E71="正規職員","正",IF($E71="契約上の就業時間を記載","",IF($E71&gt;=K$5,"常",K71))),"-"))</f>
        <v/>
      </c>
      <c r="X71" s="88" t="str">
        <f>IF($B71="","",IF(OR('②-1職員名簿'!AI71="○",'②-1職員名簿'!AI71="●"),IF($E71="正規職員","正",IF($E71="契約上の就業時間を記載","",IF($E71&gt;=L$5,"常",L71))),"-"))</f>
        <v/>
      </c>
      <c r="Y71" s="88" t="str">
        <f>IF($B71="","",IF(OR('②-1職員名簿'!AJ71="○",'②-1職員名簿'!AJ71="●"),IF($E71="正規職員","正",IF($E71="契約上の就業時間を記載","",IF($E71&gt;=M$5,"常",M71))),"-"))</f>
        <v/>
      </c>
      <c r="Z71" s="88" t="str">
        <f>IF($B71="","",IF(OR('②-1職員名簿'!AK71="○",'②-1職員名簿'!AK71="●"),IF($E71="正規職員","正",IF($E71="契約上の就業時間を記載","",IF($E71&gt;=N$5,"常",N71))),"-"))</f>
        <v/>
      </c>
      <c r="AA71" s="88" t="str">
        <f>IF($B71="","",IF(OR('②-1職員名簿'!AL71="○",'②-1職員名簿'!AL71="●"),IF($E71="正規職員","正",IF($E71="契約上の就業時間を記載","",IF($E71&gt;=O$5,"常",O71))),"-"))</f>
        <v/>
      </c>
      <c r="AB71" s="88" t="str">
        <f>IF($B71="","",IF(OR('②-1職員名簿'!AM71="○",'②-1職員名簿'!AM71="●"),IF($E71="正規職員","正",IF($E71="契約上の就業時間を記載","",IF($E71&gt;=P$5,"常",P71))),"-"))</f>
        <v/>
      </c>
      <c r="AC71" s="88" t="str">
        <f>IF($B71="","",IF(OR('②-1職員名簿'!AN71="○",'②-1職員名簿'!AN71="●"),IF($E71="正規職員","正",IF($E71="契約上の就業時間を記載","",IF($E71&gt;=Q$5,"常",Q71))),"-"))</f>
        <v/>
      </c>
      <c r="AE71" s="86" t="str">
        <f>IF('②-1職員名簿'!W71="","",'②-1職員名簿'!W71)</f>
        <v/>
      </c>
      <c r="AJ71" s="17" t="str">
        <f t="shared" si="12"/>
        <v>○</v>
      </c>
      <c r="AK71" s="17" t="str">
        <f t="shared" si="13"/>
        <v>○</v>
      </c>
      <c r="AL71" s="17" t="str">
        <f t="shared" si="14"/>
        <v>○</v>
      </c>
      <c r="AM71" s="17" t="str">
        <f t="shared" si="15"/>
        <v>○</v>
      </c>
      <c r="AN71" s="17" t="str">
        <f t="shared" si="16"/>
        <v>○</v>
      </c>
      <c r="AO71" s="17" t="str">
        <f t="shared" si="17"/>
        <v>○</v>
      </c>
      <c r="AP71" s="17" t="str">
        <f t="shared" si="18"/>
        <v>○</v>
      </c>
      <c r="AQ71" s="17" t="str">
        <f t="shared" si="19"/>
        <v>○</v>
      </c>
      <c r="AR71" s="17" t="str">
        <f t="shared" si="20"/>
        <v>○</v>
      </c>
      <c r="AS71" s="17" t="str">
        <f t="shared" si="21"/>
        <v>○</v>
      </c>
      <c r="AT71" s="17" t="str">
        <f t="shared" si="22"/>
        <v>○</v>
      </c>
      <c r="AU71" s="17" t="str">
        <f t="shared" si="23"/>
        <v>○</v>
      </c>
    </row>
    <row r="72" spans="1:47" s="90" customFormat="1" ht="23.15" customHeight="1">
      <c r="A72" s="87">
        <v>66</v>
      </c>
      <c r="B72" s="86" t="str">
        <f>IF('②-1職員名簿'!E72="","",'②-1職員名簿'!Y72)</f>
        <v/>
      </c>
      <c r="C72" s="88" t="str">
        <f>'②-1職員名簿'!BE72</f>
        <v/>
      </c>
      <c r="D72" s="117" t="str">
        <f t="shared" si="24"/>
        <v/>
      </c>
      <c r="E72" s="18" t="str">
        <f>IF($B72="","",IF(AND('②-1職員名簿'!C72="正",'②-1職員名簿'!D72="常"),"正規職員","契約上の就業時間を記載"))</f>
        <v/>
      </c>
      <c r="F72" s="9" t="str">
        <f>IF($B72="","",IF(OR('②-1職員名簿'!AC72="○",'②-1職員名簿'!AC72="●"),IF($E72="正規職員","正",IF($E72="契約上の就業時間を記載","","見込を入力")),"-"))</f>
        <v/>
      </c>
      <c r="G72" s="9" t="str">
        <f>IF($B72="","",IF(OR('②-1職員名簿'!AD72="○",'②-1職員名簿'!AD72="●"),IF($E72="正規職員","正",IF($E72="契約上の就業時間を記載","","実績を入力")),"-"))</f>
        <v/>
      </c>
      <c r="H72" s="9" t="str">
        <f>IF($B72="","",IF(OR('②-1職員名簿'!AE72="○",'②-1職員名簿'!AE72="●"),IF($E72="正規職員","正",IF($E72="契約上の就業時間を記載","","実績を入力")),"-"))</f>
        <v/>
      </c>
      <c r="I72" s="9" t="str">
        <f>IF($B72="","",IF(OR('②-1職員名簿'!AF72="○",'②-1職員名簿'!AF72="●"),IF($E72="正規職員","正",IF($E72="契約上の就業時間を記載","","実績を入力")),"-"))</f>
        <v/>
      </c>
      <c r="J72" s="9" t="str">
        <f>IF($B72="","",IF(OR('②-1職員名簿'!AG72="○",'②-1職員名簿'!AG72="●"),IF($E72="正規職員","正",IF($E72="契約上の就業時間を記載","","実績を入力")),"-"))</f>
        <v/>
      </c>
      <c r="K72" s="9" t="str">
        <f>IF($B72="","",IF(OR('②-1職員名簿'!AH72="○",'②-1職員名簿'!AH72="●"),IF($E72="正規職員","正",IF($E72="契約上の就業時間を記載","","実績を入力")),"-"))</f>
        <v/>
      </c>
      <c r="L72" s="9" t="str">
        <f>IF($B72="","",IF(OR('②-1職員名簿'!AI72="○",'②-1職員名簿'!AI72="●"),IF($E72="正規職員","正",IF($E72="契約上の就業時間を記載","","実績を入力")),"-"))</f>
        <v/>
      </c>
      <c r="M72" s="9" t="str">
        <f>IF($B72="","",IF(OR('②-1職員名簿'!AJ72="○",'②-1職員名簿'!AJ72="●"),IF($E72="正規職員","正",IF($E72="契約上の就業時間を記載","","実績を入力")),"-"))</f>
        <v/>
      </c>
      <c r="N72" s="9" t="str">
        <f>IF($B72="","",IF(OR('②-1職員名簿'!AK72="○",'②-1職員名簿'!AK72="●"),IF($E72="正規職員","正",IF($E72="契約上の就業時間を記載","","実績を入力")),"-"))</f>
        <v/>
      </c>
      <c r="O72" s="9" t="str">
        <f>IF($B72="","",IF(OR('②-1職員名簿'!AL72="○",'②-1職員名簿'!AL72="●"),IF($E72="正規職員","正",IF($E72="契約上の就業時間を記載","","実績を入力")),"-"))</f>
        <v/>
      </c>
      <c r="P72" s="9" t="str">
        <f>IF($B72="","",IF(OR('②-1職員名簿'!AM72="○",'②-1職員名簿'!AM72="●"),IF($E72="正規職員","正",IF($E72="契約上の就業時間を記載","","実績を入力")),"-"))</f>
        <v/>
      </c>
      <c r="Q72" s="9" t="str">
        <f>IF($B72="","",IF(OR('②-1職員名簿'!AN72="○",'②-1職員名簿'!AN72="●"),IF($E72="正規職員","正",IF($E72="契約上の就業時間を記載","","見込を入力")),"-"))</f>
        <v/>
      </c>
      <c r="R72" s="88" t="str">
        <f>IF($B72="","",IF(OR('②-1職員名簿'!AC72="○",'②-1職員名簿'!AC72="●"),IF($E72="正規職員","正",IF($E72="契約上の就業時間を記載","",IF($E72&gt;=F$5,"常",F72))),"-"))</f>
        <v/>
      </c>
      <c r="S72" s="88" t="str">
        <f>IF($B72="","",IF(OR('②-1職員名簿'!AD72="○",'②-1職員名簿'!AD72="●"),IF($E72="正規職員","正",IF($E72="契約上の就業時間を記載","",IF($E72&gt;=G$5,"常",G72))),"-"))</f>
        <v/>
      </c>
      <c r="T72" s="88" t="str">
        <f>IF($B72="","",IF(OR('②-1職員名簿'!AE72="○",'②-1職員名簿'!AE72="●"),IF($E72="正規職員","正",IF($E72="契約上の就業時間を記載","",IF($E72&gt;=H$5,"常",H72))),"-"))</f>
        <v/>
      </c>
      <c r="U72" s="88" t="str">
        <f>IF($B72="","",IF(OR('②-1職員名簿'!AF72="○",'②-1職員名簿'!AF72="●"),IF($E72="正規職員","正",IF($E72="契約上の就業時間を記載","",IF($E72&gt;=I$5,"常",I72))),"-"))</f>
        <v/>
      </c>
      <c r="V72" s="88" t="str">
        <f>IF($B72="","",IF(OR('②-1職員名簿'!AG72="○",'②-1職員名簿'!AG72="●"),IF($E72="正規職員","正",IF($E72="契約上の就業時間を記載","",IF($E72&gt;=J$5,"常",J72))),"-"))</f>
        <v/>
      </c>
      <c r="W72" s="88" t="str">
        <f>IF($B72="","",IF(OR('②-1職員名簿'!AH72="○",'②-1職員名簿'!AH72="●"),IF($E72="正規職員","正",IF($E72="契約上の就業時間を記載","",IF($E72&gt;=K$5,"常",K72))),"-"))</f>
        <v/>
      </c>
      <c r="X72" s="88" t="str">
        <f>IF($B72="","",IF(OR('②-1職員名簿'!AI72="○",'②-1職員名簿'!AI72="●"),IF($E72="正規職員","正",IF($E72="契約上の就業時間を記載","",IF($E72&gt;=L$5,"常",L72))),"-"))</f>
        <v/>
      </c>
      <c r="Y72" s="88" t="str">
        <f>IF($B72="","",IF(OR('②-1職員名簿'!AJ72="○",'②-1職員名簿'!AJ72="●"),IF($E72="正規職員","正",IF($E72="契約上の就業時間を記載","",IF($E72&gt;=M$5,"常",M72))),"-"))</f>
        <v/>
      </c>
      <c r="Z72" s="88" t="str">
        <f>IF($B72="","",IF(OR('②-1職員名簿'!AK72="○",'②-1職員名簿'!AK72="●"),IF($E72="正規職員","正",IF($E72="契約上の就業時間を記載","",IF($E72&gt;=N$5,"常",N72))),"-"))</f>
        <v/>
      </c>
      <c r="AA72" s="88" t="str">
        <f>IF($B72="","",IF(OR('②-1職員名簿'!AL72="○",'②-1職員名簿'!AL72="●"),IF($E72="正規職員","正",IF($E72="契約上の就業時間を記載","",IF($E72&gt;=O$5,"常",O72))),"-"))</f>
        <v/>
      </c>
      <c r="AB72" s="88" t="str">
        <f>IF($B72="","",IF(OR('②-1職員名簿'!AM72="○",'②-1職員名簿'!AM72="●"),IF($E72="正規職員","正",IF($E72="契約上の就業時間を記載","",IF($E72&gt;=P$5,"常",P72))),"-"))</f>
        <v/>
      </c>
      <c r="AC72" s="88" t="str">
        <f>IF($B72="","",IF(OR('②-1職員名簿'!AN72="○",'②-1職員名簿'!AN72="●"),IF($E72="正規職員","正",IF($E72="契約上の就業時間を記載","",IF($E72&gt;=Q$5,"常",Q72))),"-"))</f>
        <v/>
      </c>
      <c r="AE72" s="86" t="str">
        <f>IF('②-1職員名簿'!W72="","",'②-1職員名簿'!W72)</f>
        <v/>
      </c>
      <c r="AJ72" s="17" t="str">
        <f t="shared" ref="AJ72:AJ106" si="25">IF(AND($C72="常勤的非常勤",$E72&lt;F$5),"×",IF(AND($C72="短時間非常勤",F$5&lt;=$E72),"×",IF(AND($C72="嘱託常勤",$E72&lt;F$5),"×",IF(AND($C72="嘱託非常勤",F$5&lt;=$E72),"×","○"))))</f>
        <v>○</v>
      </c>
      <c r="AK72" s="17" t="str">
        <f t="shared" si="13"/>
        <v>○</v>
      </c>
      <c r="AL72" s="17" t="str">
        <f t="shared" si="14"/>
        <v>○</v>
      </c>
      <c r="AM72" s="17" t="str">
        <f t="shared" si="15"/>
        <v>○</v>
      </c>
      <c r="AN72" s="17" t="str">
        <f t="shared" si="16"/>
        <v>○</v>
      </c>
      <c r="AO72" s="17" t="str">
        <f t="shared" si="17"/>
        <v>○</v>
      </c>
      <c r="AP72" s="17" t="str">
        <f t="shared" si="18"/>
        <v>○</v>
      </c>
      <c r="AQ72" s="17" t="str">
        <f t="shared" si="19"/>
        <v>○</v>
      </c>
      <c r="AR72" s="17" t="str">
        <f t="shared" si="20"/>
        <v>○</v>
      </c>
      <c r="AS72" s="17" t="str">
        <f t="shared" si="21"/>
        <v>○</v>
      </c>
      <c r="AT72" s="17" t="str">
        <f t="shared" si="22"/>
        <v>○</v>
      </c>
      <c r="AU72" s="17" t="str">
        <f t="shared" si="23"/>
        <v>○</v>
      </c>
    </row>
    <row r="73" spans="1:47" s="90" customFormat="1" ht="23.15" customHeight="1">
      <c r="A73" s="87">
        <v>67</v>
      </c>
      <c r="B73" s="86" t="str">
        <f>IF('②-1職員名簿'!E73="","",'②-1職員名簿'!Y73)</f>
        <v/>
      </c>
      <c r="C73" s="88" t="str">
        <f>'②-1職員名簿'!BE73</f>
        <v/>
      </c>
      <c r="D73" s="117" t="str">
        <f t="shared" si="24"/>
        <v/>
      </c>
      <c r="E73" s="18" t="str">
        <f>IF($B73="","",IF(AND('②-1職員名簿'!C73="正",'②-1職員名簿'!D73="常"),"正規職員","契約上の就業時間を記載"))</f>
        <v/>
      </c>
      <c r="F73" s="9" t="str">
        <f>IF($B73="","",IF(OR('②-1職員名簿'!AC73="○",'②-1職員名簿'!AC73="●"),IF($E73="正規職員","正",IF($E73="契約上の就業時間を記載","","見込を入力")),"-"))</f>
        <v/>
      </c>
      <c r="G73" s="9" t="str">
        <f>IF($B73="","",IF(OR('②-1職員名簿'!AD73="○",'②-1職員名簿'!AD73="●"),IF($E73="正規職員","正",IF($E73="契約上の就業時間を記載","","実績を入力")),"-"))</f>
        <v/>
      </c>
      <c r="H73" s="9" t="str">
        <f>IF($B73="","",IF(OR('②-1職員名簿'!AE73="○",'②-1職員名簿'!AE73="●"),IF($E73="正規職員","正",IF($E73="契約上の就業時間を記載","","実績を入力")),"-"))</f>
        <v/>
      </c>
      <c r="I73" s="9" t="str">
        <f>IF($B73="","",IF(OR('②-1職員名簿'!AF73="○",'②-1職員名簿'!AF73="●"),IF($E73="正規職員","正",IF($E73="契約上の就業時間を記載","","実績を入力")),"-"))</f>
        <v/>
      </c>
      <c r="J73" s="9" t="str">
        <f>IF($B73="","",IF(OR('②-1職員名簿'!AG73="○",'②-1職員名簿'!AG73="●"),IF($E73="正規職員","正",IF($E73="契約上の就業時間を記載","","実績を入力")),"-"))</f>
        <v/>
      </c>
      <c r="K73" s="9" t="str">
        <f>IF($B73="","",IF(OR('②-1職員名簿'!AH73="○",'②-1職員名簿'!AH73="●"),IF($E73="正規職員","正",IF($E73="契約上の就業時間を記載","","実績を入力")),"-"))</f>
        <v/>
      </c>
      <c r="L73" s="9" t="str">
        <f>IF($B73="","",IF(OR('②-1職員名簿'!AI73="○",'②-1職員名簿'!AI73="●"),IF($E73="正規職員","正",IF($E73="契約上の就業時間を記載","","実績を入力")),"-"))</f>
        <v/>
      </c>
      <c r="M73" s="9" t="str">
        <f>IF($B73="","",IF(OR('②-1職員名簿'!AJ73="○",'②-1職員名簿'!AJ73="●"),IF($E73="正規職員","正",IF($E73="契約上の就業時間を記載","","実績を入力")),"-"))</f>
        <v/>
      </c>
      <c r="N73" s="9" t="str">
        <f>IF($B73="","",IF(OR('②-1職員名簿'!AK73="○",'②-1職員名簿'!AK73="●"),IF($E73="正規職員","正",IF($E73="契約上の就業時間を記載","","実績を入力")),"-"))</f>
        <v/>
      </c>
      <c r="O73" s="9" t="str">
        <f>IF($B73="","",IF(OR('②-1職員名簿'!AL73="○",'②-1職員名簿'!AL73="●"),IF($E73="正規職員","正",IF($E73="契約上の就業時間を記載","","実績を入力")),"-"))</f>
        <v/>
      </c>
      <c r="P73" s="9" t="str">
        <f>IF($B73="","",IF(OR('②-1職員名簿'!AM73="○",'②-1職員名簿'!AM73="●"),IF($E73="正規職員","正",IF($E73="契約上の就業時間を記載","","実績を入力")),"-"))</f>
        <v/>
      </c>
      <c r="Q73" s="9" t="str">
        <f>IF($B73="","",IF(OR('②-1職員名簿'!AN73="○",'②-1職員名簿'!AN73="●"),IF($E73="正規職員","正",IF($E73="契約上の就業時間を記載","","見込を入力")),"-"))</f>
        <v/>
      </c>
      <c r="R73" s="88" t="str">
        <f>IF($B73="","",IF(OR('②-1職員名簿'!AC73="○",'②-1職員名簿'!AC73="●"),IF($E73="正規職員","正",IF($E73="契約上の就業時間を記載","",IF($E73&gt;=F$5,"常",F73))),"-"))</f>
        <v/>
      </c>
      <c r="S73" s="88" t="str">
        <f>IF($B73="","",IF(OR('②-1職員名簿'!AD73="○",'②-1職員名簿'!AD73="●"),IF($E73="正規職員","正",IF($E73="契約上の就業時間を記載","",IF($E73&gt;=G$5,"常",G73))),"-"))</f>
        <v/>
      </c>
      <c r="T73" s="88" t="str">
        <f>IF($B73="","",IF(OR('②-1職員名簿'!AE73="○",'②-1職員名簿'!AE73="●"),IF($E73="正規職員","正",IF($E73="契約上の就業時間を記載","",IF($E73&gt;=H$5,"常",H73))),"-"))</f>
        <v/>
      </c>
      <c r="U73" s="88" t="str">
        <f>IF($B73="","",IF(OR('②-1職員名簿'!AF73="○",'②-1職員名簿'!AF73="●"),IF($E73="正規職員","正",IF($E73="契約上の就業時間を記載","",IF($E73&gt;=I$5,"常",I73))),"-"))</f>
        <v/>
      </c>
      <c r="V73" s="88" t="str">
        <f>IF($B73="","",IF(OR('②-1職員名簿'!AG73="○",'②-1職員名簿'!AG73="●"),IF($E73="正規職員","正",IF($E73="契約上の就業時間を記載","",IF($E73&gt;=J$5,"常",J73))),"-"))</f>
        <v/>
      </c>
      <c r="W73" s="88" t="str">
        <f>IF($B73="","",IF(OR('②-1職員名簿'!AH73="○",'②-1職員名簿'!AH73="●"),IF($E73="正規職員","正",IF($E73="契約上の就業時間を記載","",IF($E73&gt;=K$5,"常",K73))),"-"))</f>
        <v/>
      </c>
      <c r="X73" s="88" t="str">
        <f>IF($B73="","",IF(OR('②-1職員名簿'!AI73="○",'②-1職員名簿'!AI73="●"),IF($E73="正規職員","正",IF($E73="契約上の就業時間を記載","",IF($E73&gt;=L$5,"常",L73))),"-"))</f>
        <v/>
      </c>
      <c r="Y73" s="88" t="str">
        <f>IF($B73="","",IF(OR('②-1職員名簿'!AJ73="○",'②-1職員名簿'!AJ73="●"),IF($E73="正規職員","正",IF($E73="契約上の就業時間を記載","",IF($E73&gt;=M$5,"常",M73))),"-"))</f>
        <v/>
      </c>
      <c r="Z73" s="88" t="str">
        <f>IF($B73="","",IF(OR('②-1職員名簿'!AK73="○",'②-1職員名簿'!AK73="●"),IF($E73="正規職員","正",IF($E73="契約上の就業時間を記載","",IF($E73&gt;=N$5,"常",N73))),"-"))</f>
        <v/>
      </c>
      <c r="AA73" s="88" t="str">
        <f>IF($B73="","",IF(OR('②-1職員名簿'!AL73="○",'②-1職員名簿'!AL73="●"),IF($E73="正規職員","正",IF($E73="契約上の就業時間を記載","",IF($E73&gt;=O$5,"常",O73))),"-"))</f>
        <v/>
      </c>
      <c r="AB73" s="88" t="str">
        <f>IF($B73="","",IF(OR('②-1職員名簿'!AM73="○",'②-1職員名簿'!AM73="●"),IF($E73="正規職員","正",IF($E73="契約上の就業時間を記載","",IF($E73&gt;=P$5,"常",P73))),"-"))</f>
        <v/>
      </c>
      <c r="AC73" s="88" t="str">
        <f>IF($B73="","",IF(OR('②-1職員名簿'!AN73="○",'②-1職員名簿'!AN73="●"),IF($E73="正規職員","正",IF($E73="契約上の就業時間を記載","",IF($E73&gt;=Q$5,"常",Q73))),"-"))</f>
        <v/>
      </c>
      <c r="AE73" s="86" t="str">
        <f>IF('②-1職員名簿'!W73="","",'②-1職員名簿'!W73)</f>
        <v/>
      </c>
      <c r="AJ73" s="17" t="str">
        <f t="shared" si="25"/>
        <v>○</v>
      </c>
      <c r="AK73" s="17" t="str">
        <f t="shared" si="13"/>
        <v>○</v>
      </c>
      <c r="AL73" s="17" t="str">
        <f t="shared" si="14"/>
        <v>○</v>
      </c>
      <c r="AM73" s="17" t="str">
        <f t="shared" si="15"/>
        <v>○</v>
      </c>
      <c r="AN73" s="17" t="str">
        <f t="shared" si="16"/>
        <v>○</v>
      </c>
      <c r="AO73" s="17" t="str">
        <f t="shared" si="17"/>
        <v>○</v>
      </c>
      <c r="AP73" s="17" t="str">
        <f t="shared" si="18"/>
        <v>○</v>
      </c>
      <c r="AQ73" s="17" t="str">
        <f t="shared" si="19"/>
        <v>○</v>
      </c>
      <c r="AR73" s="17" t="str">
        <f t="shared" si="20"/>
        <v>○</v>
      </c>
      <c r="AS73" s="17" t="str">
        <f t="shared" si="21"/>
        <v>○</v>
      </c>
      <c r="AT73" s="17" t="str">
        <f t="shared" si="22"/>
        <v>○</v>
      </c>
      <c r="AU73" s="17" t="str">
        <f t="shared" si="23"/>
        <v>○</v>
      </c>
    </row>
    <row r="74" spans="1:47" s="90" customFormat="1" ht="23.15" customHeight="1">
      <c r="A74" s="87">
        <v>68</v>
      </c>
      <c r="B74" s="86" t="str">
        <f>IF('②-1職員名簿'!E74="","",'②-1職員名簿'!Y74)</f>
        <v/>
      </c>
      <c r="C74" s="88" t="str">
        <f>'②-1職員名簿'!BE74</f>
        <v/>
      </c>
      <c r="D74" s="117" t="str">
        <f t="shared" si="24"/>
        <v/>
      </c>
      <c r="E74" s="18" t="str">
        <f>IF($B74="","",IF(AND('②-1職員名簿'!C74="正",'②-1職員名簿'!D74="常"),"正規職員","契約上の就業時間を記載"))</f>
        <v/>
      </c>
      <c r="F74" s="9" t="str">
        <f>IF($B74="","",IF(OR('②-1職員名簿'!AC74="○",'②-1職員名簿'!AC74="●"),IF($E74="正規職員","正",IF($E74="契約上の就業時間を記載","","見込を入力")),"-"))</f>
        <v/>
      </c>
      <c r="G74" s="9" t="str">
        <f>IF($B74="","",IF(OR('②-1職員名簿'!AD74="○",'②-1職員名簿'!AD74="●"),IF($E74="正規職員","正",IF($E74="契約上の就業時間を記載","","実績を入力")),"-"))</f>
        <v/>
      </c>
      <c r="H74" s="9" t="str">
        <f>IF($B74="","",IF(OR('②-1職員名簿'!AE74="○",'②-1職員名簿'!AE74="●"),IF($E74="正規職員","正",IF($E74="契約上の就業時間を記載","","実績を入力")),"-"))</f>
        <v/>
      </c>
      <c r="I74" s="9" t="str">
        <f>IF($B74="","",IF(OR('②-1職員名簿'!AF74="○",'②-1職員名簿'!AF74="●"),IF($E74="正規職員","正",IF($E74="契約上の就業時間を記載","","実績を入力")),"-"))</f>
        <v/>
      </c>
      <c r="J74" s="9" t="str">
        <f>IF($B74="","",IF(OR('②-1職員名簿'!AG74="○",'②-1職員名簿'!AG74="●"),IF($E74="正規職員","正",IF($E74="契約上の就業時間を記載","","実績を入力")),"-"))</f>
        <v/>
      </c>
      <c r="K74" s="9" t="str">
        <f>IF($B74="","",IF(OR('②-1職員名簿'!AH74="○",'②-1職員名簿'!AH74="●"),IF($E74="正規職員","正",IF($E74="契約上の就業時間を記載","","実績を入力")),"-"))</f>
        <v/>
      </c>
      <c r="L74" s="9" t="str">
        <f>IF($B74="","",IF(OR('②-1職員名簿'!AI74="○",'②-1職員名簿'!AI74="●"),IF($E74="正規職員","正",IF($E74="契約上の就業時間を記載","","実績を入力")),"-"))</f>
        <v/>
      </c>
      <c r="M74" s="9" t="str">
        <f>IF($B74="","",IF(OR('②-1職員名簿'!AJ74="○",'②-1職員名簿'!AJ74="●"),IF($E74="正規職員","正",IF($E74="契約上の就業時間を記載","","実績を入力")),"-"))</f>
        <v/>
      </c>
      <c r="N74" s="9" t="str">
        <f>IF($B74="","",IF(OR('②-1職員名簿'!AK74="○",'②-1職員名簿'!AK74="●"),IF($E74="正規職員","正",IF($E74="契約上の就業時間を記載","","実績を入力")),"-"))</f>
        <v/>
      </c>
      <c r="O74" s="9" t="str">
        <f>IF($B74="","",IF(OR('②-1職員名簿'!AL74="○",'②-1職員名簿'!AL74="●"),IF($E74="正規職員","正",IF($E74="契約上の就業時間を記載","","実績を入力")),"-"))</f>
        <v/>
      </c>
      <c r="P74" s="9" t="str">
        <f>IF($B74="","",IF(OR('②-1職員名簿'!AM74="○",'②-1職員名簿'!AM74="●"),IF($E74="正規職員","正",IF($E74="契約上の就業時間を記載","","実績を入力")),"-"))</f>
        <v/>
      </c>
      <c r="Q74" s="9" t="str">
        <f>IF($B74="","",IF(OR('②-1職員名簿'!AN74="○",'②-1職員名簿'!AN74="●"),IF($E74="正規職員","正",IF($E74="契約上の就業時間を記載","","見込を入力")),"-"))</f>
        <v/>
      </c>
      <c r="R74" s="88" t="str">
        <f>IF($B74="","",IF(OR('②-1職員名簿'!AC74="○",'②-1職員名簿'!AC74="●"),IF($E74="正規職員","正",IF($E74="契約上の就業時間を記載","",IF($E74&gt;=F$5,"常",F74))),"-"))</f>
        <v/>
      </c>
      <c r="S74" s="88" t="str">
        <f>IF($B74="","",IF(OR('②-1職員名簿'!AD74="○",'②-1職員名簿'!AD74="●"),IF($E74="正規職員","正",IF($E74="契約上の就業時間を記載","",IF($E74&gt;=G$5,"常",G74))),"-"))</f>
        <v/>
      </c>
      <c r="T74" s="88" t="str">
        <f>IF($B74="","",IF(OR('②-1職員名簿'!AE74="○",'②-1職員名簿'!AE74="●"),IF($E74="正規職員","正",IF($E74="契約上の就業時間を記載","",IF($E74&gt;=H$5,"常",H74))),"-"))</f>
        <v/>
      </c>
      <c r="U74" s="88" t="str">
        <f>IF($B74="","",IF(OR('②-1職員名簿'!AF74="○",'②-1職員名簿'!AF74="●"),IF($E74="正規職員","正",IF($E74="契約上の就業時間を記載","",IF($E74&gt;=I$5,"常",I74))),"-"))</f>
        <v/>
      </c>
      <c r="V74" s="88" t="str">
        <f>IF($B74="","",IF(OR('②-1職員名簿'!AG74="○",'②-1職員名簿'!AG74="●"),IF($E74="正規職員","正",IF($E74="契約上の就業時間を記載","",IF($E74&gt;=J$5,"常",J74))),"-"))</f>
        <v/>
      </c>
      <c r="W74" s="88" t="str">
        <f>IF($B74="","",IF(OR('②-1職員名簿'!AH74="○",'②-1職員名簿'!AH74="●"),IF($E74="正規職員","正",IF($E74="契約上の就業時間を記載","",IF($E74&gt;=K$5,"常",K74))),"-"))</f>
        <v/>
      </c>
      <c r="X74" s="88" t="str">
        <f>IF($B74="","",IF(OR('②-1職員名簿'!AI74="○",'②-1職員名簿'!AI74="●"),IF($E74="正規職員","正",IF($E74="契約上の就業時間を記載","",IF($E74&gt;=L$5,"常",L74))),"-"))</f>
        <v/>
      </c>
      <c r="Y74" s="88" t="str">
        <f>IF($B74="","",IF(OR('②-1職員名簿'!AJ74="○",'②-1職員名簿'!AJ74="●"),IF($E74="正規職員","正",IF($E74="契約上の就業時間を記載","",IF($E74&gt;=M$5,"常",M74))),"-"))</f>
        <v/>
      </c>
      <c r="Z74" s="88" t="str">
        <f>IF($B74="","",IF(OR('②-1職員名簿'!AK74="○",'②-1職員名簿'!AK74="●"),IF($E74="正規職員","正",IF($E74="契約上の就業時間を記載","",IF($E74&gt;=N$5,"常",N74))),"-"))</f>
        <v/>
      </c>
      <c r="AA74" s="88" t="str">
        <f>IF($B74="","",IF(OR('②-1職員名簿'!AL74="○",'②-1職員名簿'!AL74="●"),IF($E74="正規職員","正",IF($E74="契約上の就業時間を記載","",IF($E74&gt;=O$5,"常",O74))),"-"))</f>
        <v/>
      </c>
      <c r="AB74" s="88" t="str">
        <f>IF($B74="","",IF(OR('②-1職員名簿'!AM74="○",'②-1職員名簿'!AM74="●"),IF($E74="正規職員","正",IF($E74="契約上の就業時間を記載","",IF($E74&gt;=P$5,"常",P74))),"-"))</f>
        <v/>
      </c>
      <c r="AC74" s="88" t="str">
        <f>IF($B74="","",IF(OR('②-1職員名簿'!AN74="○",'②-1職員名簿'!AN74="●"),IF($E74="正規職員","正",IF($E74="契約上の就業時間を記載","",IF($E74&gt;=Q$5,"常",Q74))),"-"))</f>
        <v/>
      </c>
      <c r="AE74" s="86" t="str">
        <f>IF('②-1職員名簿'!W74="","",'②-1職員名簿'!W74)</f>
        <v/>
      </c>
      <c r="AJ74" s="17" t="str">
        <f t="shared" si="25"/>
        <v>○</v>
      </c>
      <c r="AK74" s="17" t="str">
        <f t="shared" si="13"/>
        <v>○</v>
      </c>
      <c r="AL74" s="17" t="str">
        <f t="shared" si="14"/>
        <v>○</v>
      </c>
      <c r="AM74" s="17" t="str">
        <f t="shared" si="15"/>
        <v>○</v>
      </c>
      <c r="AN74" s="17" t="str">
        <f t="shared" si="16"/>
        <v>○</v>
      </c>
      <c r="AO74" s="17" t="str">
        <f t="shared" si="17"/>
        <v>○</v>
      </c>
      <c r="AP74" s="17" t="str">
        <f t="shared" si="18"/>
        <v>○</v>
      </c>
      <c r="AQ74" s="17" t="str">
        <f t="shared" si="19"/>
        <v>○</v>
      </c>
      <c r="AR74" s="17" t="str">
        <f t="shared" si="20"/>
        <v>○</v>
      </c>
      <c r="AS74" s="17" t="str">
        <f t="shared" si="21"/>
        <v>○</v>
      </c>
      <c r="AT74" s="17" t="str">
        <f t="shared" si="22"/>
        <v>○</v>
      </c>
      <c r="AU74" s="17" t="str">
        <f t="shared" si="23"/>
        <v>○</v>
      </c>
    </row>
    <row r="75" spans="1:47" s="90" customFormat="1" ht="23.15" customHeight="1">
      <c r="A75" s="87">
        <v>69</v>
      </c>
      <c r="B75" s="86" t="str">
        <f>IF('②-1職員名簿'!E75="","",'②-1職員名簿'!Y75)</f>
        <v/>
      </c>
      <c r="C75" s="88" t="str">
        <f>'②-1職員名簿'!BE75</f>
        <v/>
      </c>
      <c r="D75" s="117" t="str">
        <f t="shared" si="24"/>
        <v/>
      </c>
      <c r="E75" s="18" t="str">
        <f>IF($B75="","",IF(AND('②-1職員名簿'!C75="正",'②-1職員名簿'!D75="常"),"正規職員","契約上の就業時間を記載"))</f>
        <v/>
      </c>
      <c r="F75" s="9" t="str">
        <f>IF($B75="","",IF(OR('②-1職員名簿'!AC75="○",'②-1職員名簿'!AC75="●"),IF($E75="正規職員","正",IF($E75="契約上の就業時間を記載","","見込を入力")),"-"))</f>
        <v/>
      </c>
      <c r="G75" s="9" t="str">
        <f>IF($B75="","",IF(OR('②-1職員名簿'!AD75="○",'②-1職員名簿'!AD75="●"),IF($E75="正規職員","正",IF($E75="契約上の就業時間を記載","","実績を入力")),"-"))</f>
        <v/>
      </c>
      <c r="H75" s="9" t="str">
        <f>IF($B75="","",IF(OR('②-1職員名簿'!AE75="○",'②-1職員名簿'!AE75="●"),IF($E75="正規職員","正",IF($E75="契約上の就業時間を記載","","実績を入力")),"-"))</f>
        <v/>
      </c>
      <c r="I75" s="9" t="str">
        <f>IF($B75="","",IF(OR('②-1職員名簿'!AF75="○",'②-1職員名簿'!AF75="●"),IF($E75="正規職員","正",IF($E75="契約上の就業時間を記載","","実績を入力")),"-"))</f>
        <v/>
      </c>
      <c r="J75" s="9" t="str">
        <f>IF($B75="","",IF(OR('②-1職員名簿'!AG75="○",'②-1職員名簿'!AG75="●"),IF($E75="正規職員","正",IF($E75="契約上の就業時間を記載","","実績を入力")),"-"))</f>
        <v/>
      </c>
      <c r="K75" s="9" t="str">
        <f>IF($B75="","",IF(OR('②-1職員名簿'!AH75="○",'②-1職員名簿'!AH75="●"),IF($E75="正規職員","正",IF($E75="契約上の就業時間を記載","","実績を入力")),"-"))</f>
        <v/>
      </c>
      <c r="L75" s="9" t="str">
        <f>IF($B75="","",IF(OR('②-1職員名簿'!AI75="○",'②-1職員名簿'!AI75="●"),IF($E75="正規職員","正",IF($E75="契約上の就業時間を記載","","実績を入力")),"-"))</f>
        <v/>
      </c>
      <c r="M75" s="9" t="str">
        <f>IF($B75="","",IF(OR('②-1職員名簿'!AJ75="○",'②-1職員名簿'!AJ75="●"),IF($E75="正規職員","正",IF($E75="契約上の就業時間を記載","","実績を入力")),"-"))</f>
        <v/>
      </c>
      <c r="N75" s="9" t="str">
        <f>IF($B75="","",IF(OR('②-1職員名簿'!AK75="○",'②-1職員名簿'!AK75="●"),IF($E75="正規職員","正",IF($E75="契約上の就業時間を記載","","実績を入力")),"-"))</f>
        <v/>
      </c>
      <c r="O75" s="9" t="str">
        <f>IF($B75="","",IF(OR('②-1職員名簿'!AL75="○",'②-1職員名簿'!AL75="●"),IF($E75="正規職員","正",IF($E75="契約上の就業時間を記載","","実績を入力")),"-"))</f>
        <v/>
      </c>
      <c r="P75" s="9" t="str">
        <f>IF($B75="","",IF(OR('②-1職員名簿'!AM75="○",'②-1職員名簿'!AM75="●"),IF($E75="正規職員","正",IF($E75="契約上の就業時間を記載","","実績を入力")),"-"))</f>
        <v/>
      </c>
      <c r="Q75" s="9" t="str">
        <f>IF($B75="","",IF(OR('②-1職員名簿'!AN75="○",'②-1職員名簿'!AN75="●"),IF($E75="正規職員","正",IF($E75="契約上の就業時間を記載","","見込を入力")),"-"))</f>
        <v/>
      </c>
      <c r="R75" s="88" t="str">
        <f>IF($B75="","",IF(OR('②-1職員名簿'!AC75="○",'②-1職員名簿'!AC75="●"),IF($E75="正規職員","正",IF($E75="契約上の就業時間を記載","",IF($E75&gt;=F$5,"常",F75))),"-"))</f>
        <v/>
      </c>
      <c r="S75" s="88" t="str">
        <f>IF($B75="","",IF(OR('②-1職員名簿'!AD75="○",'②-1職員名簿'!AD75="●"),IF($E75="正規職員","正",IF($E75="契約上の就業時間を記載","",IF($E75&gt;=G$5,"常",G75))),"-"))</f>
        <v/>
      </c>
      <c r="T75" s="88" t="str">
        <f>IF($B75="","",IF(OR('②-1職員名簿'!AE75="○",'②-1職員名簿'!AE75="●"),IF($E75="正規職員","正",IF($E75="契約上の就業時間を記載","",IF($E75&gt;=H$5,"常",H75))),"-"))</f>
        <v/>
      </c>
      <c r="U75" s="88" t="str">
        <f>IF($B75="","",IF(OR('②-1職員名簿'!AF75="○",'②-1職員名簿'!AF75="●"),IF($E75="正規職員","正",IF($E75="契約上の就業時間を記載","",IF($E75&gt;=I$5,"常",I75))),"-"))</f>
        <v/>
      </c>
      <c r="V75" s="88" t="str">
        <f>IF($B75="","",IF(OR('②-1職員名簿'!AG75="○",'②-1職員名簿'!AG75="●"),IF($E75="正規職員","正",IF($E75="契約上の就業時間を記載","",IF($E75&gt;=J$5,"常",J75))),"-"))</f>
        <v/>
      </c>
      <c r="W75" s="88" t="str">
        <f>IF($B75="","",IF(OR('②-1職員名簿'!AH75="○",'②-1職員名簿'!AH75="●"),IF($E75="正規職員","正",IF($E75="契約上の就業時間を記載","",IF($E75&gt;=K$5,"常",K75))),"-"))</f>
        <v/>
      </c>
      <c r="X75" s="88" t="str">
        <f>IF($B75="","",IF(OR('②-1職員名簿'!AI75="○",'②-1職員名簿'!AI75="●"),IF($E75="正規職員","正",IF($E75="契約上の就業時間を記載","",IF($E75&gt;=L$5,"常",L75))),"-"))</f>
        <v/>
      </c>
      <c r="Y75" s="88" t="str">
        <f>IF($B75="","",IF(OR('②-1職員名簿'!AJ75="○",'②-1職員名簿'!AJ75="●"),IF($E75="正規職員","正",IF($E75="契約上の就業時間を記載","",IF($E75&gt;=M$5,"常",M75))),"-"))</f>
        <v/>
      </c>
      <c r="Z75" s="88" t="str">
        <f>IF($B75="","",IF(OR('②-1職員名簿'!AK75="○",'②-1職員名簿'!AK75="●"),IF($E75="正規職員","正",IF($E75="契約上の就業時間を記載","",IF($E75&gt;=N$5,"常",N75))),"-"))</f>
        <v/>
      </c>
      <c r="AA75" s="88" t="str">
        <f>IF($B75="","",IF(OR('②-1職員名簿'!AL75="○",'②-1職員名簿'!AL75="●"),IF($E75="正規職員","正",IF($E75="契約上の就業時間を記載","",IF($E75&gt;=O$5,"常",O75))),"-"))</f>
        <v/>
      </c>
      <c r="AB75" s="88" t="str">
        <f>IF($B75="","",IF(OR('②-1職員名簿'!AM75="○",'②-1職員名簿'!AM75="●"),IF($E75="正規職員","正",IF($E75="契約上の就業時間を記載","",IF($E75&gt;=P$5,"常",P75))),"-"))</f>
        <v/>
      </c>
      <c r="AC75" s="88" t="str">
        <f>IF($B75="","",IF(OR('②-1職員名簿'!AN75="○",'②-1職員名簿'!AN75="●"),IF($E75="正規職員","正",IF($E75="契約上の就業時間を記載","",IF($E75&gt;=Q$5,"常",Q75))),"-"))</f>
        <v/>
      </c>
      <c r="AE75" s="86" t="str">
        <f>IF('②-1職員名簿'!W75="","",'②-1職員名簿'!W75)</f>
        <v/>
      </c>
      <c r="AJ75" s="17" t="str">
        <f t="shared" si="25"/>
        <v>○</v>
      </c>
      <c r="AK75" s="17" t="str">
        <f t="shared" si="13"/>
        <v>○</v>
      </c>
      <c r="AL75" s="17" t="str">
        <f t="shared" si="14"/>
        <v>○</v>
      </c>
      <c r="AM75" s="17" t="str">
        <f t="shared" si="15"/>
        <v>○</v>
      </c>
      <c r="AN75" s="17" t="str">
        <f t="shared" si="16"/>
        <v>○</v>
      </c>
      <c r="AO75" s="17" t="str">
        <f t="shared" si="17"/>
        <v>○</v>
      </c>
      <c r="AP75" s="17" t="str">
        <f t="shared" si="18"/>
        <v>○</v>
      </c>
      <c r="AQ75" s="17" t="str">
        <f t="shared" si="19"/>
        <v>○</v>
      </c>
      <c r="AR75" s="17" t="str">
        <f t="shared" si="20"/>
        <v>○</v>
      </c>
      <c r="AS75" s="17" t="str">
        <f t="shared" si="21"/>
        <v>○</v>
      </c>
      <c r="AT75" s="17" t="str">
        <f t="shared" si="22"/>
        <v>○</v>
      </c>
      <c r="AU75" s="17" t="str">
        <f t="shared" si="23"/>
        <v>○</v>
      </c>
    </row>
    <row r="76" spans="1:47" s="90" customFormat="1" ht="23.15" customHeight="1">
      <c r="A76" s="87">
        <v>70</v>
      </c>
      <c r="B76" s="86" t="str">
        <f>IF('②-1職員名簿'!E76="","",'②-1職員名簿'!Y76)</f>
        <v/>
      </c>
      <c r="C76" s="88" t="str">
        <f>'②-1職員名簿'!BE76</f>
        <v/>
      </c>
      <c r="D76" s="117" t="str">
        <f t="shared" si="24"/>
        <v/>
      </c>
      <c r="E76" s="18" t="str">
        <f>IF($B76="","",IF(AND('②-1職員名簿'!C76="正",'②-1職員名簿'!D76="常"),"正規職員","契約上の就業時間を記載"))</f>
        <v/>
      </c>
      <c r="F76" s="9" t="str">
        <f>IF($B76="","",IF(OR('②-1職員名簿'!AC76="○",'②-1職員名簿'!AC76="●"),IF($E76="正規職員","正",IF($E76="契約上の就業時間を記載","","見込を入力")),"-"))</f>
        <v/>
      </c>
      <c r="G76" s="9" t="str">
        <f>IF($B76="","",IF(OR('②-1職員名簿'!AD76="○",'②-1職員名簿'!AD76="●"),IF($E76="正規職員","正",IF($E76="契約上の就業時間を記載","","実績を入力")),"-"))</f>
        <v/>
      </c>
      <c r="H76" s="9" t="str">
        <f>IF($B76="","",IF(OR('②-1職員名簿'!AE76="○",'②-1職員名簿'!AE76="●"),IF($E76="正規職員","正",IF($E76="契約上の就業時間を記載","","実績を入力")),"-"))</f>
        <v/>
      </c>
      <c r="I76" s="9" t="str">
        <f>IF($B76="","",IF(OR('②-1職員名簿'!AF76="○",'②-1職員名簿'!AF76="●"),IF($E76="正規職員","正",IF($E76="契約上の就業時間を記載","","実績を入力")),"-"))</f>
        <v/>
      </c>
      <c r="J76" s="9" t="str">
        <f>IF($B76="","",IF(OR('②-1職員名簿'!AG76="○",'②-1職員名簿'!AG76="●"),IF($E76="正規職員","正",IF($E76="契約上の就業時間を記載","","実績を入力")),"-"))</f>
        <v/>
      </c>
      <c r="K76" s="9" t="str">
        <f>IF($B76="","",IF(OR('②-1職員名簿'!AH76="○",'②-1職員名簿'!AH76="●"),IF($E76="正規職員","正",IF($E76="契約上の就業時間を記載","","実績を入力")),"-"))</f>
        <v/>
      </c>
      <c r="L76" s="9" t="str">
        <f>IF($B76="","",IF(OR('②-1職員名簿'!AI76="○",'②-1職員名簿'!AI76="●"),IF($E76="正規職員","正",IF($E76="契約上の就業時間を記載","","実績を入力")),"-"))</f>
        <v/>
      </c>
      <c r="M76" s="9" t="str">
        <f>IF($B76="","",IF(OR('②-1職員名簿'!AJ76="○",'②-1職員名簿'!AJ76="●"),IF($E76="正規職員","正",IF($E76="契約上の就業時間を記載","","実績を入力")),"-"))</f>
        <v/>
      </c>
      <c r="N76" s="9" t="str">
        <f>IF($B76="","",IF(OR('②-1職員名簿'!AK76="○",'②-1職員名簿'!AK76="●"),IF($E76="正規職員","正",IF($E76="契約上の就業時間を記載","","実績を入力")),"-"))</f>
        <v/>
      </c>
      <c r="O76" s="9" t="str">
        <f>IF($B76="","",IF(OR('②-1職員名簿'!AL76="○",'②-1職員名簿'!AL76="●"),IF($E76="正規職員","正",IF($E76="契約上の就業時間を記載","","実績を入力")),"-"))</f>
        <v/>
      </c>
      <c r="P76" s="9" t="str">
        <f>IF($B76="","",IF(OR('②-1職員名簿'!AM76="○",'②-1職員名簿'!AM76="●"),IF($E76="正規職員","正",IF($E76="契約上の就業時間を記載","","実績を入力")),"-"))</f>
        <v/>
      </c>
      <c r="Q76" s="9" t="str">
        <f>IF($B76="","",IF(OR('②-1職員名簿'!AN76="○",'②-1職員名簿'!AN76="●"),IF($E76="正規職員","正",IF($E76="契約上の就業時間を記載","","見込を入力")),"-"))</f>
        <v/>
      </c>
      <c r="R76" s="88" t="str">
        <f>IF($B76="","",IF(OR('②-1職員名簿'!AC76="○",'②-1職員名簿'!AC76="●"),IF($E76="正規職員","正",IF($E76="契約上の就業時間を記載","",IF($E76&gt;=F$5,"常",F76))),"-"))</f>
        <v/>
      </c>
      <c r="S76" s="88" t="str">
        <f>IF($B76="","",IF(OR('②-1職員名簿'!AD76="○",'②-1職員名簿'!AD76="●"),IF($E76="正規職員","正",IF($E76="契約上の就業時間を記載","",IF($E76&gt;=G$5,"常",G76))),"-"))</f>
        <v/>
      </c>
      <c r="T76" s="88" t="str">
        <f>IF($B76="","",IF(OR('②-1職員名簿'!AE76="○",'②-1職員名簿'!AE76="●"),IF($E76="正規職員","正",IF($E76="契約上の就業時間を記載","",IF($E76&gt;=H$5,"常",H76))),"-"))</f>
        <v/>
      </c>
      <c r="U76" s="88" t="str">
        <f>IF($B76="","",IF(OR('②-1職員名簿'!AF76="○",'②-1職員名簿'!AF76="●"),IF($E76="正規職員","正",IF($E76="契約上の就業時間を記載","",IF($E76&gt;=I$5,"常",I76))),"-"))</f>
        <v/>
      </c>
      <c r="V76" s="88" t="str">
        <f>IF($B76="","",IF(OR('②-1職員名簿'!AG76="○",'②-1職員名簿'!AG76="●"),IF($E76="正規職員","正",IF($E76="契約上の就業時間を記載","",IF($E76&gt;=J$5,"常",J76))),"-"))</f>
        <v/>
      </c>
      <c r="W76" s="88" t="str">
        <f>IF($B76="","",IF(OR('②-1職員名簿'!AH76="○",'②-1職員名簿'!AH76="●"),IF($E76="正規職員","正",IF($E76="契約上の就業時間を記載","",IF($E76&gt;=K$5,"常",K76))),"-"))</f>
        <v/>
      </c>
      <c r="X76" s="88" t="str">
        <f>IF($B76="","",IF(OR('②-1職員名簿'!AI76="○",'②-1職員名簿'!AI76="●"),IF($E76="正規職員","正",IF($E76="契約上の就業時間を記載","",IF($E76&gt;=L$5,"常",L76))),"-"))</f>
        <v/>
      </c>
      <c r="Y76" s="88" t="str">
        <f>IF($B76="","",IF(OR('②-1職員名簿'!AJ76="○",'②-1職員名簿'!AJ76="●"),IF($E76="正規職員","正",IF($E76="契約上の就業時間を記載","",IF($E76&gt;=M$5,"常",M76))),"-"))</f>
        <v/>
      </c>
      <c r="Z76" s="88" t="str">
        <f>IF($B76="","",IF(OR('②-1職員名簿'!AK76="○",'②-1職員名簿'!AK76="●"),IF($E76="正規職員","正",IF($E76="契約上の就業時間を記載","",IF($E76&gt;=N$5,"常",N76))),"-"))</f>
        <v/>
      </c>
      <c r="AA76" s="88" t="str">
        <f>IF($B76="","",IF(OR('②-1職員名簿'!AL76="○",'②-1職員名簿'!AL76="●"),IF($E76="正規職員","正",IF($E76="契約上の就業時間を記載","",IF($E76&gt;=O$5,"常",O76))),"-"))</f>
        <v/>
      </c>
      <c r="AB76" s="88" t="str">
        <f>IF($B76="","",IF(OR('②-1職員名簿'!AM76="○",'②-1職員名簿'!AM76="●"),IF($E76="正規職員","正",IF($E76="契約上の就業時間を記載","",IF($E76&gt;=P$5,"常",P76))),"-"))</f>
        <v/>
      </c>
      <c r="AC76" s="88" t="str">
        <f>IF($B76="","",IF(OR('②-1職員名簿'!AN76="○",'②-1職員名簿'!AN76="●"),IF($E76="正規職員","正",IF($E76="契約上の就業時間を記載","",IF($E76&gt;=Q$5,"常",Q76))),"-"))</f>
        <v/>
      </c>
      <c r="AE76" s="86" t="str">
        <f>IF('②-1職員名簿'!W76="","",'②-1職員名簿'!W76)</f>
        <v/>
      </c>
      <c r="AJ76" s="17" t="str">
        <f t="shared" si="25"/>
        <v>○</v>
      </c>
      <c r="AK76" s="17" t="str">
        <f t="shared" si="13"/>
        <v>○</v>
      </c>
      <c r="AL76" s="17" t="str">
        <f t="shared" si="14"/>
        <v>○</v>
      </c>
      <c r="AM76" s="17" t="str">
        <f t="shared" si="15"/>
        <v>○</v>
      </c>
      <c r="AN76" s="17" t="str">
        <f t="shared" si="16"/>
        <v>○</v>
      </c>
      <c r="AO76" s="17" t="str">
        <f t="shared" si="17"/>
        <v>○</v>
      </c>
      <c r="AP76" s="17" t="str">
        <f t="shared" si="18"/>
        <v>○</v>
      </c>
      <c r="AQ76" s="17" t="str">
        <f t="shared" si="19"/>
        <v>○</v>
      </c>
      <c r="AR76" s="17" t="str">
        <f t="shared" si="20"/>
        <v>○</v>
      </c>
      <c r="AS76" s="17" t="str">
        <f t="shared" si="21"/>
        <v>○</v>
      </c>
      <c r="AT76" s="17" t="str">
        <f t="shared" si="22"/>
        <v>○</v>
      </c>
      <c r="AU76" s="17" t="str">
        <f t="shared" si="23"/>
        <v>○</v>
      </c>
    </row>
    <row r="77" spans="1:47" s="90" customFormat="1" ht="23.15" customHeight="1">
      <c r="A77" s="87">
        <v>71</v>
      </c>
      <c r="B77" s="86" t="str">
        <f>IF('②-1職員名簿'!E77="","",'②-1職員名簿'!Y77)</f>
        <v/>
      </c>
      <c r="C77" s="88" t="str">
        <f>'②-1職員名簿'!BE77</f>
        <v/>
      </c>
      <c r="D77" s="117" t="str">
        <f t="shared" si="24"/>
        <v/>
      </c>
      <c r="E77" s="18" t="str">
        <f>IF($B77="","",IF(AND('②-1職員名簿'!C77="正",'②-1職員名簿'!D77="常"),"正規職員","契約上の就業時間を記載"))</f>
        <v/>
      </c>
      <c r="F77" s="9" t="str">
        <f>IF($B77="","",IF(OR('②-1職員名簿'!AC77="○",'②-1職員名簿'!AC77="●"),IF($E77="正規職員","正",IF($E77="契約上の就業時間を記載","","見込を入力")),"-"))</f>
        <v/>
      </c>
      <c r="G77" s="9" t="str">
        <f>IF($B77="","",IF(OR('②-1職員名簿'!AD77="○",'②-1職員名簿'!AD77="●"),IF($E77="正規職員","正",IF($E77="契約上の就業時間を記載","","実績を入力")),"-"))</f>
        <v/>
      </c>
      <c r="H77" s="9" t="str">
        <f>IF($B77="","",IF(OR('②-1職員名簿'!AE77="○",'②-1職員名簿'!AE77="●"),IF($E77="正規職員","正",IF($E77="契約上の就業時間を記載","","実績を入力")),"-"))</f>
        <v/>
      </c>
      <c r="I77" s="9" t="str">
        <f>IF($B77="","",IF(OR('②-1職員名簿'!AF77="○",'②-1職員名簿'!AF77="●"),IF($E77="正規職員","正",IF($E77="契約上の就業時間を記載","","実績を入力")),"-"))</f>
        <v/>
      </c>
      <c r="J77" s="9" t="str">
        <f>IF($B77="","",IF(OR('②-1職員名簿'!AG77="○",'②-1職員名簿'!AG77="●"),IF($E77="正規職員","正",IF($E77="契約上の就業時間を記載","","実績を入力")),"-"))</f>
        <v/>
      </c>
      <c r="K77" s="9" t="str">
        <f>IF($B77="","",IF(OR('②-1職員名簿'!AH77="○",'②-1職員名簿'!AH77="●"),IF($E77="正規職員","正",IF($E77="契約上の就業時間を記載","","実績を入力")),"-"))</f>
        <v/>
      </c>
      <c r="L77" s="9" t="str">
        <f>IF($B77="","",IF(OR('②-1職員名簿'!AI77="○",'②-1職員名簿'!AI77="●"),IF($E77="正規職員","正",IF($E77="契約上の就業時間を記載","","実績を入力")),"-"))</f>
        <v/>
      </c>
      <c r="M77" s="9" t="str">
        <f>IF($B77="","",IF(OR('②-1職員名簿'!AJ77="○",'②-1職員名簿'!AJ77="●"),IF($E77="正規職員","正",IF($E77="契約上の就業時間を記載","","実績を入力")),"-"))</f>
        <v/>
      </c>
      <c r="N77" s="9" t="str">
        <f>IF($B77="","",IF(OR('②-1職員名簿'!AK77="○",'②-1職員名簿'!AK77="●"),IF($E77="正規職員","正",IF($E77="契約上の就業時間を記載","","実績を入力")),"-"))</f>
        <v/>
      </c>
      <c r="O77" s="9" t="str">
        <f>IF($B77="","",IF(OR('②-1職員名簿'!AL77="○",'②-1職員名簿'!AL77="●"),IF($E77="正規職員","正",IF($E77="契約上の就業時間を記載","","実績を入力")),"-"))</f>
        <v/>
      </c>
      <c r="P77" s="9" t="str">
        <f>IF($B77="","",IF(OR('②-1職員名簿'!AM77="○",'②-1職員名簿'!AM77="●"),IF($E77="正規職員","正",IF($E77="契約上の就業時間を記載","","実績を入力")),"-"))</f>
        <v/>
      </c>
      <c r="Q77" s="9" t="str">
        <f>IF($B77="","",IF(OR('②-1職員名簿'!AN77="○",'②-1職員名簿'!AN77="●"),IF($E77="正規職員","正",IF($E77="契約上の就業時間を記載","","見込を入力")),"-"))</f>
        <v/>
      </c>
      <c r="R77" s="88" t="str">
        <f>IF($B77="","",IF(OR('②-1職員名簿'!AC77="○",'②-1職員名簿'!AC77="●"),IF($E77="正規職員","正",IF($E77="契約上の就業時間を記載","",IF($E77&gt;=F$5,"常",F77))),"-"))</f>
        <v/>
      </c>
      <c r="S77" s="88" t="str">
        <f>IF($B77="","",IF(OR('②-1職員名簿'!AD77="○",'②-1職員名簿'!AD77="●"),IF($E77="正規職員","正",IF($E77="契約上の就業時間を記載","",IF($E77&gt;=G$5,"常",G77))),"-"))</f>
        <v/>
      </c>
      <c r="T77" s="88" t="str">
        <f>IF($B77="","",IF(OR('②-1職員名簿'!AE77="○",'②-1職員名簿'!AE77="●"),IF($E77="正規職員","正",IF($E77="契約上の就業時間を記載","",IF($E77&gt;=H$5,"常",H77))),"-"))</f>
        <v/>
      </c>
      <c r="U77" s="88" t="str">
        <f>IF($B77="","",IF(OR('②-1職員名簿'!AF77="○",'②-1職員名簿'!AF77="●"),IF($E77="正規職員","正",IF($E77="契約上の就業時間を記載","",IF($E77&gt;=I$5,"常",I77))),"-"))</f>
        <v/>
      </c>
      <c r="V77" s="88" t="str">
        <f>IF($B77="","",IF(OR('②-1職員名簿'!AG77="○",'②-1職員名簿'!AG77="●"),IF($E77="正規職員","正",IF($E77="契約上の就業時間を記載","",IF($E77&gt;=J$5,"常",J77))),"-"))</f>
        <v/>
      </c>
      <c r="W77" s="88" t="str">
        <f>IF($B77="","",IF(OR('②-1職員名簿'!AH77="○",'②-1職員名簿'!AH77="●"),IF($E77="正規職員","正",IF($E77="契約上の就業時間を記載","",IF($E77&gt;=K$5,"常",K77))),"-"))</f>
        <v/>
      </c>
      <c r="X77" s="88" t="str">
        <f>IF($B77="","",IF(OR('②-1職員名簿'!AI77="○",'②-1職員名簿'!AI77="●"),IF($E77="正規職員","正",IF($E77="契約上の就業時間を記載","",IF($E77&gt;=L$5,"常",L77))),"-"))</f>
        <v/>
      </c>
      <c r="Y77" s="88" t="str">
        <f>IF($B77="","",IF(OR('②-1職員名簿'!AJ77="○",'②-1職員名簿'!AJ77="●"),IF($E77="正規職員","正",IF($E77="契約上の就業時間を記載","",IF($E77&gt;=M$5,"常",M77))),"-"))</f>
        <v/>
      </c>
      <c r="Z77" s="88" t="str">
        <f>IF($B77="","",IF(OR('②-1職員名簿'!AK77="○",'②-1職員名簿'!AK77="●"),IF($E77="正規職員","正",IF($E77="契約上の就業時間を記載","",IF($E77&gt;=N$5,"常",N77))),"-"))</f>
        <v/>
      </c>
      <c r="AA77" s="88" t="str">
        <f>IF($B77="","",IF(OR('②-1職員名簿'!AL77="○",'②-1職員名簿'!AL77="●"),IF($E77="正規職員","正",IF($E77="契約上の就業時間を記載","",IF($E77&gt;=O$5,"常",O77))),"-"))</f>
        <v/>
      </c>
      <c r="AB77" s="88" t="str">
        <f>IF($B77="","",IF(OR('②-1職員名簿'!AM77="○",'②-1職員名簿'!AM77="●"),IF($E77="正規職員","正",IF($E77="契約上の就業時間を記載","",IF($E77&gt;=P$5,"常",P77))),"-"))</f>
        <v/>
      </c>
      <c r="AC77" s="88" t="str">
        <f>IF($B77="","",IF(OR('②-1職員名簿'!AN77="○",'②-1職員名簿'!AN77="●"),IF($E77="正規職員","正",IF($E77="契約上の就業時間を記載","",IF($E77&gt;=Q$5,"常",Q77))),"-"))</f>
        <v/>
      </c>
      <c r="AE77" s="86" t="str">
        <f>IF('②-1職員名簿'!W77="","",'②-1職員名簿'!W77)</f>
        <v/>
      </c>
      <c r="AJ77" s="17" t="str">
        <f t="shared" si="25"/>
        <v>○</v>
      </c>
      <c r="AK77" s="17" t="str">
        <f t="shared" si="13"/>
        <v>○</v>
      </c>
      <c r="AL77" s="17" t="str">
        <f t="shared" si="14"/>
        <v>○</v>
      </c>
      <c r="AM77" s="17" t="str">
        <f t="shared" si="15"/>
        <v>○</v>
      </c>
      <c r="AN77" s="17" t="str">
        <f t="shared" si="16"/>
        <v>○</v>
      </c>
      <c r="AO77" s="17" t="str">
        <f t="shared" si="17"/>
        <v>○</v>
      </c>
      <c r="AP77" s="17" t="str">
        <f t="shared" si="18"/>
        <v>○</v>
      </c>
      <c r="AQ77" s="17" t="str">
        <f t="shared" si="19"/>
        <v>○</v>
      </c>
      <c r="AR77" s="17" t="str">
        <f t="shared" si="20"/>
        <v>○</v>
      </c>
      <c r="AS77" s="17" t="str">
        <f t="shared" si="21"/>
        <v>○</v>
      </c>
      <c r="AT77" s="17" t="str">
        <f t="shared" si="22"/>
        <v>○</v>
      </c>
      <c r="AU77" s="17" t="str">
        <f t="shared" si="23"/>
        <v>○</v>
      </c>
    </row>
    <row r="78" spans="1:47" s="90" customFormat="1" ht="23.15" customHeight="1">
      <c r="A78" s="87">
        <v>72</v>
      </c>
      <c r="B78" s="86" t="str">
        <f>IF('②-1職員名簿'!E78="","",'②-1職員名簿'!Y78)</f>
        <v/>
      </c>
      <c r="C78" s="88" t="str">
        <f>'②-1職員名簿'!BE78</f>
        <v/>
      </c>
      <c r="D78" s="117" t="str">
        <f t="shared" si="24"/>
        <v/>
      </c>
      <c r="E78" s="18" t="str">
        <f>IF($B78="","",IF(AND('②-1職員名簿'!C78="正",'②-1職員名簿'!D78="常"),"正規職員","契約上の就業時間を記載"))</f>
        <v/>
      </c>
      <c r="F78" s="9" t="str">
        <f>IF($B78="","",IF(OR('②-1職員名簿'!AC78="○",'②-1職員名簿'!AC78="●"),IF($E78="正規職員","正",IF($E78="契約上の就業時間を記載","","見込を入力")),"-"))</f>
        <v/>
      </c>
      <c r="G78" s="9" t="str">
        <f>IF($B78="","",IF(OR('②-1職員名簿'!AD78="○",'②-1職員名簿'!AD78="●"),IF($E78="正規職員","正",IF($E78="契約上の就業時間を記載","","実績を入力")),"-"))</f>
        <v/>
      </c>
      <c r="H78" s="9" t="str">
        <f>IF($B78="","",IF(OR('②-1職員名簿'!AE78="○",'②-1職員名簿'!AE78="●"),IF($E78="正規職員","正",IF($E78="契約上の就業時間を記載","","実績を入力")),"-"))</f>
        <v/>
      </c>
      <c r="I78" s="9" t="str">
        <f>IF($B78="","",IF(OR('②-1職員名簿'!AF78="○",'②-1職員名簿'!AF78="●"),IF($E78="正規職員","正",IF($E78="契約上の就業時間を記載","","実績を入力")),"-"))</f>
        <v/>
      </c>
      <c r="J78" s="9" t="str">
        <f>IF($B78="","",IF(OR('②-1職員名簿'!AG78="○",'②-1職員名簿'!AG78="●"),IF($E78="正規職員","正",IF($E78="契約上の就業時間を記載","","実績を入力")),"-"))</f>
        <v/>
      </c>
      <c r="K78" s="9" t="str">
        <f>IF($B78="","",IF(OR('②-1職員名簿'!AH78="○",'②-1職員名簿'!AH78="●"),IF($E78="正規職員","正",IF($E78="契約上の就業時間を記載","","実績を入力")),"-"))</f>
        <v/>
      </c>
      <c r="L78" s="9" t="str">
        <f>IF($B78="","",IF(OR('②-1職員名簿'!AI78="○",'②-1職員名簿'!AI78="●"),IF($E78="正規職員","正",IF($E78="契約上の就業時間を記載","","実績を入力")),"-"))</f>
        <v/>
      </c>
      <c r="M78" s="9" t="str">
        <f>IF($B78="","",IF(OR('②-1職員名簿'!AJ78="○",'②-1職員名簿'!AJ78="●"),IF($E78="正規職員","正",IF($E78="契約上の就業時間を記載","","実績を入力")),"-"))</f>
        <v/>
      </c>
      <c r="N78" s="9" t="str">
        <f>IF($B78="","",IF(OR('②-1職員名簿'!AK78="○",'②-1職員名簿'!AK78="●"),IF($E78="正規職員","正",IF($E78="契約上の就業時間を記載","","実績を入力")),"-"))</f>
        <v/>
      </c>
      <c r="O78" s="9" t="str">
        <f>IF($B78="","",IF(OR('②-1職員名簿'!AL78="○",'②-1職員名簿'!AL78="●"),IF($E78="正規職員","正",IF($E78="契約上の就業時間を記載","","実績を入力")),"-"))</f>
        <v/>
      </c>
      <c r="P78" s="9" t="str">
        <f>IF($B78="","",IF(OR('②-1職員名簿'!AM78="○",'②-1職員名簿'!AM78="●"),IF($E78="正規職員","正",IF($E78="契約上の就業時間を記載","","実績を入力")),"-"))</f>
        <v/>
      </c>
      <c r="Q78" s="9" t="str">
        <f>IF($B78="","",IF(OR('②-1職員名簿'!AN78="○",'②-1職員名簿'!AN78="●"),IF($E78="正規職員","正",IF($E78="契約上の就業時間を記載","","見込を入力")),"-"))</f>
        <v/>
      </c>
      <c r="R78" s="88" t="str">
        <f>IF($B78="","",IF(OR('②-1職員名簿'!AC78="○",'②-1職員名簿'!AC78="●"),IF($E78="正規職員","正",IF($E78="契約上の就業時間を記載","",IF($E78&gt;=F$5,"常",F78))),"-"))</f>
        <v/>
      </c>
      <c r="S78" s="88" t="str">
        <f>IF($B78="","",IF(OR('②-1職員名簿'!AD78="○",'②-1職員名簿'!AD78="●"),IF($E78="正規職員","正",IF($E78="契約上の就業時間を記載","",IF($E78&gt;=G$5,"常",G78))),"-"))</f>
        <v/>
      </c>
      <c r="T78" s="88" t="str">
        <f>IF($B78="","",IF(OR('②-1職員名簿'!AE78="○",'②-1職員名簿'!AE78="●"),IF($E78="正規職員","正",IF($E78="契約上の就業時間を記載","",IF($E78&gt;=H$5,"常",H78))),"-"))</f>
        <v/>
      </c>
      <c r="U78" s="88" t="str">
        <f>IF($B78="","",IF(OR('②-1職員名簿'!AF78="○",'②-1職員名簿'!AF78="●"),IF($E78="正規職員","正",IF($E78="契約上の就業時間を記載","",IF($E78&gt;=I$5,"常",I78))),"-"))</f>
        <v/>
      </c>
      <c r="V78" s="88" t="str">
        <f>IF($B78="","",IF(OR('②-1職員名簿'!AG78="○",'②-1職員名簿'!AG78="●"),IF($E78="正規職員","正",IF($E78="契約上の就業時間を記載","",IF($E78&gt;=J$5,"常",J78))),"-"))</f>
        <v/>
      </c>
      <c r="W78" s="88" t="str">
        <f>IF($B78="","",IF(OR('②-1職員名簿'!AH78="○",'②-1職員名簿'!AH78="●"),IF($E78="正規職員","正",IF($E78="契約上の就業時間を記載","",IF($E78&gt;=K$5,"常",K78))),"-"))</f>
        <v/>
      </c>
      <c r="X78" s="88" t="str">
        <f>IF($B78="","",IF(OR('②-1職員名簿'!AI78="○",'②-1職員名簿'!AI78="●"),IF($E78="正規職員","正",IF($E78="契約上の就業時間を記載","",IF($E78&gt;=L$5,"常",L78))),"-"))</f>
        <v/>
      </c>
      <c r="Y78" s="88" t="str">
        <f>IF($B78="","",IF(OR('②-1職員名簿'!AJ78="○",'②-1職員名簿'!AJ78="●"),IF($E78="正規職員","正",IF($E78="契約上の就業時間を記載","",IF($E78&gt;=M$5,"常",M78))),"-"))</f>
        <v/>
      </c>
      <c r="Z78" s="88" t="str">
        <f>IF($B78="","",IF(OR('②-1職員名簿'!AK78="○",'②-1職員名簿'!AK78="●"),IF($E78="正規職員","正",IF($E78="契約上の就業時間を記載","",IF($E78&gt;=N$5,"常",N78))),"-"))</f>
        <v/>
      </c>
      <c r="AA78" s="88" t="str">
        <f>IF($B78="","",IF(OR('②-1職員名簿'!AL78="○",'②-1職員名簿'!AL78="●"),IF($E78="正規職員","正",IF($E78="契約上の就業時間を記載","",IF($E78&gt;=O$5,"常",O78))),"-"))</f>
        <v/>
      </c>
      <c r="AB78" s="88" t="str">
        <f>IF($B78="","",IF(OR('②-1職員名簿'!AM78="○",'②-1職員名簿'!AM78="●"),IF($E78="正規職員","正",IF($E78="契約上の就業時間を記載","",IF($E78&gt;=P$5,"常",P78))),"-"))</f>
        <v/>
      </c>
      <c r="AC78" s="88" t="str">
        <f>IF($B78="","",IF(OR('②-1職員名簿'!AN78="○",'②-1職員名簿'!AN78="●"),IF($E78="正規職員","正",IF($E78="契約上の就業時間を記載","",IF($E78&gt;=Q$5,"常",Q78))),"-"))</f>
        <v/>
      </c>
      <c r="AE78" s="86" t="str">
        <f>IF('②-1職員名簿'!W78="","",'②-1職員名簿'!W78)</f>
        <v/>
      </c>
      <c r="AJ78" s="17" t="str">
        <f t="shared" si="25"/>
        <v>○</v>
      </c>
      <c r="AK78" s="17" t="str">
        <f t="shared" si="13"/>
        <v>○</v>
      </c>
      <c r="AL78" s="17" t="str">
        <f t="shared" si="14"/>
        <v>○</v>
      </c>
      <c r="AM78" s="17" t="str">
        <f t="shared" si="15"/>
        <v>○</v>
      </c>
      <c r="AN78" s="17" t="str">
        <f t="shared" si="16"/>
        <v>○</v>
      </c>
      <c r="AO78" s="17" t="str">
        <f t="shared" si="17"/>
        <v>○</v>
      </c>
      <c r="AP78" s="17" t="str">
        <f t="shared" si="18"/>
        <v>○</v>
      </c>
      <c r="AQ78" s="17" t="str">
        <f t="shared" si="19"/>
        <v>○</v>
      </c>
      <c r="AR78" s="17" t="str">
        <f t="shared" si="20"/>
        <v>○</v>
      </c>
      <c r="AS78" s="17" t="str">
        <f t="shared" si="21"/>
        <v>○</v>
      </c>
      <c r="AT78" s="17" t="str">
        <f t="shared" si="22"/>
        <v>○</v>
      </c>
      <c r="AU78" s="17" t="str">
        <f t="shared" si="23"/>
        <v>○</v>
      </c>
    </row>
    <row r="79" spans="1:47" s="90" customFormat="1" ht="23.15" customHeight="1">
      <c r="A79" s="87">
        <v>73</v>
      </c>
      <c r="B79" s="86" t="str">
        <f>IF('②-1職員名簿'!E79="","",'②-1職員名簿'!Y79)</f>
        <v/>
      </c>
      <c r="C79" s="88" t="str">
        <f>'②-1職員名簿'!BE79</f>
        <v/>
      </c>
      <c r="D79" s="117" t="str">
        <f t="shared" si="24"/>
        <v/>
      </c>
      <c r="E79" s="18" t="str">
        <f>IF($B79="","",IF(AND('②-1職員名簿'!C79="正",'②-1職員名簿'!D79="常"),"正規職員","契約上の就業時間を記載"))</f>
        <v/>
      </c>
      <c r="F79" s="9" t="str">
        <f>IF($B79="","",IF(OR('②-1職員名簿'!AC79="○",'②-1職員名簿'!AC79="●"),IF($E79="正規職員","正",IF($E79="契約上の就業時間を記載","","見込を入力")),"-"))</f>
        <v/>
      </c>
      <c r="G79" s="9" t="str">
        <f>IF($B79="","",IF(OR('②-1職員名簿'!AD79="○",'②-1職員名簿'!AD79="●"),IF($E79="正規職員","正",IF($E79="契約上の就業時間を記載","","実績を入力")),"-"))</f>
        <v/>
      </c>
      <c r="H79" s="9" t="str">
        <f>IF($B79="","",IF(OR('②-1職員名簿'!AE79="○",'②-1職員名簿'!AE79="●"),IF($E79="正規職員","正",IF($E79="契約上の就業時間を記載","","実績を入力")),"-"))</f>
        <v/>
      </c>
      <c r="I79" s="9" t="str">
        <f>IF($B79="","",IF(OR('②-1職員名簿'!AF79="○",'②-1職員名簿'!AF79="●"),IF($E79="正規職員","正",IF($E79="契約上の就業時間を記載","","実績を入力")),"-"))</f>
        <v/>
      </c>
      <c r="J79" s="9" t="str">
        <f>IF($B79="","",IF(OR('②-1職員名簿'!AG79="○",'②-1職員名簿'!AG79="●"),IF($E79="正規職員","正",IF($E79="契約上の就業時間を記載","","実績を入力")),"-"))</f>
        <v/>
      </c>
      <c r="K79" s="9" t="str">
        <f>IF($B79="","",IF(OR('②-1職員名簿'!AH79="○",'②-1職員名簿'!AH79="●"),IF($E79="正規職員","正",IF($E79="契約上の就業時間を記載","","実績を入力")),"-"))</f>
        <v/>
      </c>
      <c r="L79" s="9" t="str">
        <f>IF($B79="","",IF(OR('②-1職員名簿'!AI79="○",'②-1職員名簿'!AI79="●"),IF($E79="正規職員","正",IF($E79="契約上の就業時間を記載","","実績を入力")),"-"))</f>
        <v/>
      </c>
      <c r="M79" s="9" t="str">
        <f>IF($B79="","",IF(OR('②-1職員名簿'!AJ79="○",'②-1職員名簿'!AJ79="●"),IF($E79="正規職員","正",IF($E79="契約上の就業時間を記載","","実績を入力")),"-"))</f>
        <v/>
      </c>
      <c r="N79" s="9" t="str">
        <f>IF($B79="","",IF(OR('②-1職員名簿'!AK79="○",'②-1職員名簿'!AK79="●"),IF($E79="正規職員","正",IF($E79="契約上の就業時間を記載","","実績を入力")),"-"))</f>
        <v/>
      </c>
      <c r="O79" s="9" t="str">
        <f>IF($B79="","",IF(OR('②-1職員名簿'!AL79="○",'②-1職員名簿'!AL79="●"),IF($E79="正規職員","正",IF($E79="契約上の就業時間を記載","","実績を入力")),"-"))</f>
        <v/>
      </c>
      <c r="P79" s="9" t="str">
        <f>IF($B79="","",IF(OR('②-1職員名簿'!AM79="○",'②-1職員名簿'!AM79="●"),IF($E79="正規職員","正",IF($E79="契約上の就業時間を記載","","実績を入力")),"-"))</f>
        <v/>
      </c>
      <c r="Q79" s="9" t="str">
        <f>IF($B79="","",IF(OR('②-1職員名簿'!AN79="○",'②-1職員名簿'!AN79="●"),IF($E79="正規職員","正",IF($E79="契約上の就業時間を記載","","見込を入力")),"-"))</f>
        <v/>
      </c>
      <c r="R79" s="88" t="str">
        <f>IF($B79="","",IF(OR('②-1職員名簿'!AC79="○",'②-1職員名簿'!AC79="●"),IF($E79="正規職員","正",IF($E79="契約上の就業時間を記載","",IF($E79&gt;=F$5,"常",F79))),"-"))</f>
        <v/>
      </c>
      <c r="S79" s="88" t="str">
        <f>IF($B79="","",IF(OR('②-1職員名簿'!AD79="○",'②-1職員名簿'!AD79="●"),IF($E79="正規職員","正",IF($E79="契約上の就業時間を記載","",IF($E79&gt;=G$5,"常",G79))),"-"))</f>
        <v/>
      </c>
      <c r="T79" s="88" t="str">
        <f>IF($B79="","",IF(OR('②-1職員名簿'!AE79="○",'②-1職員名簿'!AE79="●"),IF($E79="正規職員","正",IF($E79="契約上の就業時間を記載","",IF($E79&gt;=H$5,"常",H79))),"-"))</f>
        <v/>
      </c>
      <c r="U79" s="88" t="str">
        <f>IF($B79="","",IF(OR('②-1職員名簿'!AF79="○",'②-1職員名簿'!AF79="●"),IF($E79="正規職員","正",IF($E79="契約上の就業時間を記載","",IF($E79&gt;=I$5,"常",I79))),"-"))</f>
        <v/>
      </c>
      <c r="V79" s="88" t="str">
        <f>IF($B79="","",IF(OR('②-1職員名簿'!AG79="○",'②-1職員名簿'!AG79="●"),IF($E79="正規職員","正",IF($E79="契約上の就業時間を記載","",IF($E79&gt;=J$5,"常",J79))),"-"))</f>
        <v/>
      </c>
      <c r="W79" s="88" t="str">
        <f>IF($B79="","",IF(OR('②-1職員名簿'!AH79="○",'②-1職員名簿'!AH79="●"),IF($E79="正規職員","正",IF($E79="契約上の就業時間を記載","",IF($E79&gt;=K$5,"常",K79))),"-"))</f>
        <v/>
      </c>
      <c r="X79" s="88" t="str">
        <f>IF($B79="","",IF(OR('②-1職員名簿'!AI79="○",'②-1職員名簿'!AI79="●"),IF($E79="正規職員","正",IF($E79="契約上の就業時間を記載","",IF($E79&gt;=L$5,"常",L79))),"-"))</f>
        <v/>
      </c>
      <c r="Y79" s="88" t="str">
        <f>IF($B79="","",IF(OR('②-1職員名簿'!AJ79="○",'②-1職員名簿'!AJ79="●"),IF($E79="正規職員","正",IF($E79="契約上の就業時間を記載","",IF($E79&gt;=M$5,"常",M79))),"-"))</f>
        <v/>
      </c>
      <c r="Z79" s="88" t="str">
        <f>IF($B79="","",IF(OR('②-1職員名簿'!AK79="○",'②-1職員名簿'!AK79="●"),IF($E79="正規職員","正",IF($E79="契約上の就業時間を記載","",IF($E79&gt;=N$5,"常",N79))),"-"))</f>
        <v/>
      </c>
      <c r="AA79" s="88" t="str">
        <f>IF($B79="","",IF(OR('②-1職員名簿'!AL79="○",'②-1職員名簿'!AL79="●"),IF($E79="正規職員","正",IF($E79="契約上の就業時間を記載","",IF($E79&gt;=O$5,"常",O79))),"-"))</f>
        <v/>
      </c>
      <c r="AB79" s="88" t="str">
        <f>IF($B79="","",IF(OR('②-1職員名簿'!AM79="○",'②-1職員名簿'!AM79="●"),IF($E79="正規職員","正",IF($E79="契約上の就業時間を記載","",IF($E79&gt;=P$5,"常",P79))),"-"))</f>
        <v/>
      </c>
      <c r="AC79" s="88" t="str">
        <f>IF($B79="","",IF(OR('②-1職員名簿'!AN79="○",'②-1職員名簿'!AN79="●"),IF($E79="正規職員","正",IF($E79="契約上の就業時間を記載","",IF($E79&gt;=Q$5,"常",Q79))),"-"))</f>
        <v/>
      </c>
      <c r="AE79" s="86" t="str">
        <f>IF('②-1職員名簿'!W79="","",'②-1職員名簿'!W79)</f>
        <v/>
      </c>
      <c r="AJ79" s="17" t="str">
        <f t="shared" si="25"/>
        <v>○</v>
      </c>
      <c r="AK79" s="17" t="str">
        <f t="shared" si="13"/>
        <v>○</v>
      </c>
      <c r="AL79" s="17" t="str">
        <f t="shared" si="14"/>
        <v>○</v>
      </c>
      <c r="AM79" s="17" t="str">
        <f t="shared" si="15"/>
        <v>○</v>
      </c>
      <c r="AN79" s="17" t="str">
        <f t="shared" si="16"/>
        <v>○</v>
      </c>
      <c r="AO79" s="17" t="str">
        <f t="shared" si="17"/>
        <v>○</v>
      </c>
      <c r="AP79" s="17" t="str">
        <f t="shared" si="18"/>
        <v>○</v>
      </c>
      <c r="AQ79" s="17" t="str">
        <f t="shared" si="19"/>
        <v>○</v>
      </c>
      <c r="AR79" s="17" t="str">
        <f t="shared" si="20"/>
        <v>○</v>
      </c>
      <c r="AS79" s="17" t="str">
        <f t="shared" si="21"/>
        <v>○</v>
      </c>
      <c r="AT79" s="17" t="str">
        <f t="shared" si="22"/>
        <v>○</v>
      </c>
      <c r="AU79" s="17" t="str">
        <f t="shared" si="23"/>
        <v>○</v>
      </c>
    </row>
    <row r="80" spans="1:47" s="90" customFormat="1" ht="23.15" customHeight="1">
      <c r="A80" s="87">
        <v>74</v>
      </c>
      <c r="B80" s="86" t="str">
        <f>IF('②-1職員名簿'!E80="","",'②-1職員名簿'!Y80)</f>
        <v/>
      </c>
      <c r="C80" s="88" t="str">
        <f>'②-1職員名簿'!BE80</f>
        <v/>
      </c>
      <c r="D80" s="117" t="str">
        <f t="shared" si="24"/>
        <v/>
      </c>
      <c r="E80" s="18" t="str">
        <f>IF($B80="","",IF(AND('②-1職員名簿'!C80="正",'②-1職員名簿'!D80="常"),"正規職員","契約上の就業時間を記載"))</f>
        <v/>
      </c>
      <c r="F80" s="9" t="str">
        <f>IF($B80="","",IF(OR('②-1職員名簿'!AC80="○",'②-1職員名簿'!AC80="●"),IF($E80="正規職員","正",IF($E80="契約上の就業時間を記載","","見込を入力")),"-"))</f>
        <v/>
      </c>
      <c r="G80" s="9" t="str">
        <f>IF($B80="","",IF(OR('②-1職員名簿'!AD80="○",'②-1職員名簿'!AD80="●"),IF($E80="正規職員","正",IF($E80="契約上の就業時間を記載","","実績を入力")),"-"))</f>
        <v/>
      </c>
      <c r="H80" s="9" t="str">
        <f>IF($B80="","",IF(OR('②-1職員名簿'!AE80="○",'②-1職員名簿'!AE80="●"),IF($E80="正規職員","正",IF($E80="契約上の就業時間を記載","","実績を入力")),"-"))</f>
        <v/>
      </c>
      <c r="I80" s="9" t="str">
        <f>IF($B80="","",IF(OR('②-1職員名簿'!AF80="○",'②-1職員名簿'!AF80="●"),IF($E80="正規職員","正",IF($E80="契約上の就業時間を記載","","実績を入力")),"-"))</f>
        <v/>
      </c>
      <c r="J80" s="9" t="str">
        <f>IF($B80="","",IF(OR('②-1職員名簿'!AG80="○",'②-1職員名簿'!AG80="●"),IF($E80="正規職員","正",IF($E80="契約上の就業時間を記載","","実績を入力")),"-"))</f>
        <v/>
      </c>
      <c r="K80" s="9" t="str">
        <f>IF($B80="","",IF(OR('②-1職員名簿'!AH80="○",'②-1職員名簿'!AH80="●"),IF($E80="正規職員","正",IF($E80="契約上の就業時間を記載","","実績を入力")),"-"))</f>
        <v/>
      </c>
      <c r="L80" s="9" t="str">
        <f>IF($B80="","",IF(OR('②-1職員名簿'!AI80="○",'②-1職員名簿'!AI80="●"),IF($E80="正規職員","正",IF($E80="契約上の就業時間を記載","","実績を入力")),"-"))</f>
        <v/>
      </c>
      <c r="M80" s="9" t="str">
        <f>IF($B80="","",IF(OR('②-1職員名簿'!AJ80="○",'②-1職員名簿'!AJ80="●"),IF($E80="正規職員","正",IF($E80="契約上の就業時間を記載","","実績を入力")),"-"))</f>
        <v/>
      </c>
      <c r="N80" s="9" t="str">
        <f>IF($B80="","",IF(OR('②-1職員名簿'!AK80="○",'②-1職員名簿'!AK80="●"),IF($E80="正規職員","正",IF($E80="契約上の就業時間を記載","","実績を入力")),"-"))</f>
        <v/>
      </c>
      <c r="O80" s="9" t="str">
        <f>IF($B80="","",IF(OR('②-1職員名簿'!AL80="○",'②-1職員名簿'!AL80="●"),IF($E80="正規職員","正",IF($E80="契約上の就業時間を記載","","実績を入力")),"-"))</f>
        <v/>
      </c>
      <c r="P80" s="9" t="str">
        <f>IF($B80="","",IF(OR('②-1職員名簿'!AM80="○",'②-1職員名簿'!AM80="●"),IF($E80="正規職員","正",IF($E80="契約上の就業時間を記載","","実績を入力")),"-"))</f>
        <v/>
      </c>
      <c r="Q80" s="9" t="str">
        <f>IF($B80="","",IF(OR('②-1職員名簿'!AN80="○",'②-1職員名簿'!AN80="●"),IF($E80="正規職員","正",IF($E80="契約上の就業時間を記載","","見込を入力")),"-"))</f>
        <v/>
      </c>
      <c r="R80" s="88" t="str">
        <f>IF($B80="","",IF(OR('②-1職員名簿'!AC80="○",'②-1職員名簿'!AC80="●"),IF($E80="正規職員","正",IF($E80="契約上の就業時間を記載","",IF($E80&gt;=F$5,"常",F80))),"-"))</f>
        <v/>
      </c>
      <c r="S80" s="88" t="str">
        <f>IF($B80="","",IF(OR('②-1職員名簿'!AD80="○",'②-1職員名簿'!AD80="●"),IF($E80="正規職員","正",IF($E80="契約上の就業時間を記載","",IF($E80&gt;=G$5,"常",G80))),"-"))</f>
        <v/>
      </c>
      <c r="T80" s="88" t="str">
        <f>IF($B80="","",IF(OR('②-1職員名簿'!AE80="○",'②-1職員名簿'!AE80="●"),IF($E80="正規職員","正",IF($E80="契約上の就業時間を記載","",IF($E80&gt;=H$5,"常",H80))),"-"))</f>
        <v/>
      </c>
      <c r="U80" s="88" t="str">
        <f>IF($B80="","",IF(OR('②-1職員名簿'!AF80="○",'②-1職員名簿'!AF80="●"),IF($E80="正規職員","正",IF($E80="契約上の就業時間を記載","",IF($E80&gt;=I$5,"常",I80))),"-"))</f>
        <v/>
      </c>
      <c r="V80" s="88" t="str">
        <f>IF($B80="","",IF(OR('②-1職員名簿'!AG80="○",'②-1職員名簿'!AG80="●"),IF($E80="正規職員","正",IF($E80="契約上の就業時間を記載","",IF($E80&gt;=J$5,"常",J80))),"-"))</f>
        <v/>
      </c>
      <c r="W80" s="88" t="str">
        <f>IF($B80="","",IF(OR('②-1職員名簿'!AH80="○",'②-1職員名簿'!AH80="●"),IF($E80="正規職員","正",IF($E80="契約上の就業時間を記載","",IF($E80&gt;=K$5,"常",K80))),"-"))</f>
        <v/>
      </c>
      <c r="X80" s="88" t="str">
        <f>IF($B80="","",IF(OR('②-1職員名簿'!AI80="○",'②-1職員名簿'!AI80="●"),IF($E80="正規職員","正",IF($E80="契約上の就業時間を記載","",IF($E80&gt;=L$5,"常",L80))),"-"))</f>
        <v/>
      </c>
      <c r="Y80" s="88" t="str">
        <f>IF($B80="","",IF(OR('②-1職員名簿'!AJ80="○",'②-1職員名簿'!AJ80="●"),IF($E80="正規職員","正",IF($E80="契約上の就業時間を記載","",IF($E80&gt;=M$5,"常",M80))),"-"))</f>
        <v/>
      </c>
      <c r="Z80" s="88" t="str">
        <f>IF($B80="","",IF(OR('②-1職員名簿'!AK80="○",'②-1職員名簿'!AK80="●"),IF($E80="正規職員","正",IF($E80="契約上の就業時間を記載","",IF($E80&gt;=N$5,"常",N80))),"-"))</f>
        <v/>
      </c>
      <c r="AA80" s="88" t="str">
        <f>IF($B80="","",IF(OR('②-1職員名簿'!AL80="○",'②-1職員名簿'!AL80="●"),IF($E80="正規職員","正",IF($E80="契約上の就業時間を記載","",IF($E80&gt;=O$5,"常",O80))),"-"))</f>
        <v/>
      </c>
      <c r="AB80" s="88" t="str">
        <f>IF($B80="","",IF(OR('②-1職員名簿'!AM80="○",'②-1職員名簿'!AM80="●"),IF($E80="正規職員","正",IF($E80="契約上の就業時間を記載","",IF($E80&gt;=P$5,"常",P80))),"-"))</f>
        <v/>
      </c>
      <c r="AC80" s="88" t="str">
        <f>IF($B80="","",IF(OR('②-1職員名簿'!AN80="○",'②-1職員名簿'!AN80="●"),IF($E80="正規職員","正",IF($E80="契約上の就業時間を記載","",IF($E80&gt;=Q$5,"常",Q80))),"-"))</f>
        <v/>
      </c>
      <c r="AE80" s="86" t="str">
        <f>IF('②-1職員名簿'!W80="","",'②-1職員名簿'!W80)</f>
        <v/>
      </c>
      <c r="AJ80" s="17" t="str">
        <f t="shared" si="25"/>
        <v>○</v>
      </c>
      <c r="AK80" s="17" t="str">
        <f t="shared" si="13"/>
        <v>○</v>
      </c>
      <c r="AL80" s="17" t="str">
        <f t="shared" si="14"/>
        <v>○</v>
      </c>
      <c r="AM80" s="17" t="str">
        <f t="shared" si="15"/>
        <v>○</v>
      </c>
      <c r="AN80" s="17" t="str">
        <f t="shared" si="16"/>
        <v>○</v>
      </c>
      <c r="AO80" s="17" t="str">
        <f t="shared" si="17"/>
        <v>○</v>
      </c>
      <c r="AP80" s="17" t="str">
        <f t="shared" si="18"/>
        <v>○</v>
      </c>
      <c r="AQ80" s="17" t="str">
        <f t="shared" si="19"/>
        <v>○</v>
      </c>
      <c r="AR80" s="17" t="str">
        <f t="shared" si="20"/>
        <v>○</v>
      </c>
      <c r="AS80" s="17" t="str">
        <f t="shared" si="21"/>
        <v>○</v>
      </c>
      <c r="AT80" s="17" t="str">
        <f t="shared" si="22"/>
        <v>○</v>
      </c>
      <c r="AU80" s="17" t="str">
        <f t="shared" si="23"/>
        <v>○</v>
      </c>
    </row>
    <row r="81" spans="1:47" s="90" customFormat="1" ht="23.15" customHeight="1">
      <c r="A81" s="87">
        <v>75</v>
      </c>
      <c r="B81" s="86" t="str">
        <f>IF('②-1職員名簿'!E81="","",'②-1職員名簿'!Y81)</f>
        <v/>
      </c>
      <c r="C81" s="88" t="str">
        <f>'②-1職員名簿'!BE81</f>
        <v/>
      </c>
      <c r="D81" s="117" t="str">
        <f t="shared" si="24"/>
        <v/>
      </c>
      <c r="E81" s="18" t="str">
        <f>IF($B81="","",IF(AND('②-1職員名簿'!C81="正",'②-1職員名簿'!D81="常"),"正規職員","契約上の就業時間を記載"))</f>
        <v/>
      </c>
      <c r="F81" s="9" t="str">
        <f>IF($B81="","",IF(OR('②-1職員名簿'!AC81="○",'②-1職員名簿'!AC81="●"),IF($E81="正規職員","正",IF($E81="契約上の就業時間を記載","","見込を入力")),"-"))</f>
        <v/>
      </c>
      <c r="G81" s="9" t="str">
        <f>IF($B81="","",IF(OR('②-1職員名簿'!AD81="○",'②-1職員名簿'!AD81="●"),IF($E81="正規職員","正",IF($E81="契約上の就業時間を記載","","実績を入力")),"-"))</f>
        <v/>
      </c>
      <c r="H81" s="9" t="str">
        <f>IF($B81="","",IF(OR('②-1職員名簿'!AE81="○",'②-1職員名簿'!AE81="●"),IF($E81="正規職員","正",IF($E81="契約上の就業時間を記載","","実績を入力")),"-"))</f>
        <v/>
      </c>
      <c r="I81" s="9" t="str">
        <f>IF($B81="","",IF(OR('②-1職員名簿'!AF81="○",'②-1職員名簿'!AF81="●"),IF($E81="正規職員","正",IF($E81="契約上の就業時間を記載","","実績を入力")),"-"))</f>
        <v/>
      </c>
      <c r="J81" s="9" t="str">
        <f>IF($B81="","",IF(OR('②-1職員名簿'!AG81="○",'②-1職員名簿'!AG81="●"),IF($E81="正規職員","正",IF($E81="契約上の就業時間を記載","","実績を入力")),"-"))</f>
        <v/>
      </c>
      <c r="K81" s="9" t="str">
        <f>IF($B81="","",IF(OR('②-1職員名簿'!AH81="○",'②-1職員名簿'!AH81="●"),IF($E81="正規職員","正",IF($E81="契約上の就業時間を記載","","実績を入力")),"-"))</f>
        <v/>
      </c>
      <c r="L81" s="9" t="str">
        <f>IF($B81="","",IF(OR('②-1職員名簿'!AI81="○",'②-1職員名簿'!AI81="●"),IF($E81="正規職員","正",IF($E81="契約上の就業時間を記載","","実績を入力")),"-"))</f>
        <v/>
      </c>
      <c r="M81" s="9" t="str">
        <f>IF($B81="","",IF(OR('②-1職員名簿'!AJ81="○",'②-1職員名簿'!AJ81="●"),IF($E81="正規職員","正",IF($E81="契約上の就業時間を記載","","実績を入力")),"-"))</f>
        <v/>
      </c>
      <c r="N81" s="9" t="str">
        <f>IF($B81="","",IF(OR('②-1職員名簿'!AK81="○",'②-1職員名簿'!AK81="●"),IF($E81="正規職員","正",IF($E81="契約上の就業時間を記載","","実績を入力")),"-"))</f>
        <v/>
      </c>
      <c r="O81" s="9" t="str">
        <f>IF($B81="","",IF(OR('②-1職員名簿'!AL81="○",'②-1職員名簿'!AL81="●"),IF($E81="正規職員","正",IF($E81="契約上の就業時間を記載","","実績を入力")),"-"))</f>
        <v/>
      </c>
      <c r="P81" s="9" t="str">
        <f>IF($B81="","",IF(OR('②-1職員名簿'!AM81="○",'②-1職員名簿'!AM81="●"),IF($E81="正規職員","正",IF($E81="契約上の就業時間を記載","","実績を入力")),"-"))</f>
        <v/>
      </c>
      <c r="Q81" s="9" t="str">
        <f>IF($B81="","",IF(OR('②-1職員名簿'!AN81="○",'②-1職員名簿'!AN81="●"),IF($E81="正規職員","正",IF($E81="契約上の就業時間を記載","","見込を入力")),"-"))</f>
        <v/>
      </c>
      <c r="R81" s="88" t="str">
        <f>IF($B81="","",IF(OR('②-1職員名簿'!AC81="○",'②-1職員名簿'!AC81="●"),IF($E81="正規職員","正",IF($E81="契約上の就業時間を記載","",IF($E81&gt;=F$5,"常",F81))),"-"))</f>
        <v/>
      </c>
      <c r="S81" s="88" t="str">
        <f>IF($B81="","",IF(OR('②-1職員名簿'!AD81="○",'②-1職員名簿'!AD81="●"),IF($E81="正規職員","正",IF($E81="契約上の就業時間を記載","",IF($E81&gt;=G$5,"常",G81))),"-"))</f>
        <v/>
      </c>
      <c r="T81" s="88" t="str">
        <f>IF($B81="","",IF(OR('②-1職員名簿'!AE81="○",'②-1職員名簿'!AE81="●"),IF($E81="正規職員","正",IF($E81="契約上の就業時間を記載","",IF($E81&gt;=H$5,"常",H81))),"-"))</f>
        <v/>
      </c>
      <c r="U81" s="88" t="str">
        <f>IF($B81="","",IF(OR('②-1職員名簿'!AF81="○",'②-1職員名簿'!AF81="●"),IF($E81="正規職員","正",IF($E81="契約上の就業時間を記載","",IF($E81&gt;=I$5,"常",I81))),"-"))</f>
        <v/>
      </c>
      <c r="V81" s="88" t="str">
        <f>IF($B81="","",IF(OR('②-1職員名簿'!AG81="○",'②-1職員名簿'!AG81="●"),IF($E81="正規職員","正",IF($E81="契約上の就業時間を記載","",IF($E81&gt;=J$5,"常",J81))),"-"))</f>
        <v/>
      </c>
      <c r="W81" s="88" t="str">
        <f>IF($B81="","",IF(OR('②-1職員名簿'!AH81="○",'②-1職員名簿'!AH81="●"),IF($E81="正規職員","正",IF($E81="契約上の就業時間を記載","",IF($E81&gt;=K$5,"常",K81))),"-"))</f>
        <v/>
      </c>
      <c r="X81" s="88" t="str">
        <f>IF($B81="","",IF(OR('②-1職員名簿'!AI81="○",'②-1職員名簿'!AI81="●"),IF($E81="正規職員","正",IF($E81="契約上の就業時間を記載","",IF($E81&gt;=L$5,"常",L81))),"-"))</f>
        <v/>
      </c>
      <c r="Y81" s="88" t="str">
        <f>IF($B81="","",IF(OR('②-1職員名簿'!AJ81="○",'②-1職員名簿'!AJ81="●"),IF($E81="正規職員","正",IF($E81="契約上の就業時間を記載","",IF($E81&gt;=M$5,"常",M81))),"-"))</f>
        <v/>
      </c>
      <c r="Z81" s="88" t="str">
        <f>IF($B81="","",IF(OR('②-1職員名簿'!AK81="○",'②-1職員名簿'!AK81="●"),IF($E81="正規職員","正",IF($E81="契約上の就業時間を記載","",IF($E81&gt;=N$5,"常",N81))),"-"))</f>
        <v/>
      </c>
      <c r="AA81" s="88" t="str">
        <f>IF($B81="","",IF(OR('②-1職員名簿'!AL81="○",'②-1職員名簿'!AL81="●"),IF($E81="正規職員","正",IF($E81="契約上の就業時間を記載","",IF($E81&gt;=O$5,"常",O81))),"-"))</f>
        <v/>
      </c>
      <c r="AB81" s="88" t="str">
        <f>IF($B81="","",IF(OR('②-1職員名簿'!AM81="○",'②-1職員名簿'!AM81="●"),IF($E81="正規職員","正",IF($E81="契約上の就業時間を記載","",IF($E81&gt;=P$5,"常",P81))),"-"))</f>
        <v/>
      </c>
      <c r="AC81" s="88" t="str">
        <f>IF($B81="","",IF(OR('②-1職員名簿'!AN81="○",'②-1職員名簿'!AN81="●"),IF($E81="正規職員","正",IF($E81="契約上の就業時間を記載","",IF($E81&gt;=Q$5,"常",Q81))),"-"))</f>
        <v/>
      </c>
      <c r="AE81" s="86" t="str">
        <f>IF('②-1職員名簿'!W81="","",'②-1職員名簿'!W81)</f>
        <v/>
      </c>
      <c r="AJ81" s="17" t="str">
        <f t="shared" si="25"/>
        <v>○</v>
      </c>
      <c r="AK81" s="17" t="str">
        <f t="shared" si="13"/>
        <v>○</v>
      </c>
      <c r="AL81" s="17" t="str">
        <f t="shared" si="14"/>
        <v>○</v>
      </c>
      <c r="AM81" s="17" t="str">
        <f t="shared" si="15"/>
        <v>○</v>
      </c>
      <c r="AN81" s="17" t="str">
        <f t="shared" si="16"/>
        <v>○</v>
      </c>
      <c r="AO81" s="17" t="str">
        <f t="shared" si="17"/>
        <v>○</v>
      </c>
      <c r="AP81" s="17" t="str">
        <f t="shared" si="18"/>
        <v>○</v>
      </c>
      <c r="AQ81" s="17" t="str">
        <f t="shared" si="19"/>
        <v>○</v>
      </c>
      <c r="AR81" s="17" t="str">
        <f t="shared" si="20"/>
        <v>○</v>
      </c>
      <c r="AS81" s="17" t="str">
        <f t="shared" si="21"/>
        <v>○</v>
      </c>
      <c r="AT81" s="17" t="str">
        <f t="shared" si="22"/>
        <v>○</v>
      </c>
      <c r="AU81" s="17" t="str">
        <f t="shared" si="23"/>
        <v>○</v>
      </c>
    </row>
    <row r="82" spans="1:47" s="90" customFormat="1" ht="23.15" customHeight="1">
      <c r="A82" s="87">
        <v>76</v>
      </c>
      <c r="B82" s="86" t="str">
        <f>IF('②-1職員名簿'!E82="","",'②-1職員名簿'!Y82)</f>
        <v/>
      </c>
      <c r="C82" s="88" t="str">
        <f>'②-1職員名簿'!BE82</f>
        <v/>
      </c>
      <c r="D82" s="117" t="str">
        <f t="shared" si="24"/>
        <v/>
      </c>
      <c r="E82" s="18" t="str">
        <f>IF($B82="","",IF(AND('②-1職員名簿'!C82="正",'②-1職員名簿'!D82="常"),"正規職員","契約上の就業時間を記載"))</f>
        <v/>
      </c>
      <c r="F82" s="9" t="str">
        <f>IF($B82="","",IF(OR('②-1職員名簿'!AC82="○",'②-1職員名簿'!AC82="●"),IF($E82="正規職員","正",IF($E82="契約上の就業時間を記載","","見込を入力")),"-"))</f>
        <v/>
      </c>
      <c r="G82" s="9" t="str">
        <f>IF($B82="","",IF(OR('②-1職員名簿'!AD82="○",'②-1職員名簿'!AD82="●"),IF($E82="正規職員","正",IF($E82="契約上の就業時間を記載","","実績を入力")),"-"))</f>
        <v/>
      </c>
      <c r="H82" s="9" t="str">
        <f>IF($B82="","",IF(OR('②-1職員名簿'!AE82="○",'②-1職員名簿'!AE82="●"),IF($E82="正規職員","正",IF($E82="契約上の就業時間を記載","","実績を入力")),"-"))</f>
        <v/>
      </c>
      <c r="I82" s="9" t="str">
        <f>IF($B82="","",IF(OR('②-1職員名簿'!AF82="○",'②-1職員名簿'!AF82="●"),IF($E82="正規職員","正",IF($E82="契約上の就業時間を記載","","実績を入力")),"-"))</f>
        <v/>
      </c>
      <c r="J82" s="9" t="str">
        <f>IF($B82="","",IF(OR('②-1職員名簿'!AG82="○",'②-1職員名簿'!AG82="●"),IF($E82="正規職員","正",IF($E82="契約上の就業時間を記載","","実績を入力")),"-"))</f>
        <v/>
      </c>
      <c r="K82" s="9" t="str">
        <f>IF($B82="","",IF(OR('②-1職員名簿'!AH82="○",'②-1職員名簿'!AH82="●"),IF($E82="正規職員","正",IF($E82="契約上の就業時間を記載","","実績を入力")),"-"))</f>
        <v/>
      </c>
      <c r="L82" s="9" t="str">
        <f>IF($B82="","",IF(OR('②-1職員名簿'!AI82="○",'②-1職員名簿'!AI82="●"),IF($E82="正規職員","正",IF($E82="契約上の就業時間を記載","","実績を入力")),"-"))</f>
        <v/>
      </c>
      <c r="M82" s="9" t="str">
        <f>IF($B82="","",IF(OR('②-1職員名簿'!AJ82="○",'②-1職員名簿'!AJ82="●"),IF($E82="正規職員","正",IF($E82="契約上の就業時間を記載","","実績を入力")),"-"))</f>
        <v/>
      </c>
      <c r="N82" s="9" t="str">
        <f>IF($B82="","",IF(OR('②-1職員名簿'!AK82="○",'②-1職員名簿'!AK82="●"),IF($E82="正規職員","正",IF($E82="契約上の就業時間を記載","","実績を入力")),"-"))</f>
        <v/>
      </c>
      <c r="O82" s="9" t="str">
        <f>IF($B82="","",IF(OR('②-1職員名簿'!AL82="○",'②-1職員名簿'!AL82="●"),IF($E82="正規職員","正",IF($E82="契約上の就業時間を記載","","実績を入力")),"-"))</f>
        <v/>
      </c>
      <c r="P82" s="9" t="str">
        <f>IF($B82="","",IF(OR('②-1職員名簿'!AM82="○",'②-1職員名簿'!AM82="●"),IF($E82="正規職員","正",IF($E82="契約上の就業時間を記載","","実績を入力")),"-"))</f>
        <v/>
      </c>
      <c r="Q82" s="9" t="str">
        <f>IF($B82="","",IF(OR('②-1職員名簿'!AN82="○",'②-1職員名簿'!AN82="●"),IF($E82="正規職員","正",IF($E82="契約上の就業時間を記載","","見込を入力")),"-"))</f>
        <v/>
      </c>
      <c r="R82" s="88" t="str">
        <f>IF($B82="","",IF(OR('②-1職員名簿'!AC82="○",'②-1職員名簿'!AC82="●"),IF($E82="正規職員","正",IF($E82="契約上の就業時間を記載","",IF($E82&gt;=F$5,"常",F82))),"-"))</f>
        <v/>
      </c>
      <c r="S82" s="88" t="str">
        <f>IF($B82="","",IF(OR('②-1職員名簿'!AD82="○",'②-1職員名簿'!AD82="●"),IF($E82="正規職員","正",IF($E82="契約上の就業時間を記載","",IF($E82&gt;=G$5,"常",G82))),"-"))</f>
        <v/>
      </c>
      <c r="T82" s="88" t="str">
        <f>IF($B82="","",IF(OR('②-1職員名簿'!AE82="○",'②-1職員名簿'!AE82="●"),IF($E82="正規職員","正",IF($E82="契約上の就業時間を記載","",IF($E82&gt;=H$5,"常",H82))),"-"))</f>
        <v/>
      </c>
      <c r="U82" s="88" t="str">
        <f>IF($B82="","",IF(OR('②-1職員名簿'!AF82="○",'②-1職員名簿'!AF82="●"),IF($E82="正規職員","正",IF($E82="契約上の就業時間を記載","",IF($E82&gt;=I$5,"常",I82))),"-"))</f>
        <v/>
      </c>
      <c r="V82" s="88" t="str">
        <f>IF($B82="","",IF(OR('②-1職員名簿'!AG82="○",'②-1職員名簿'!AG82="●"),IF($E82="正規職員","正",IF($E82="契約上の就業時間を記載","",IF($E82&gt;=J$5,"常",J82))),"-"))</f>
        <v/>
      </c>
      <c r="W82" s="88" t="str">
        <f>IF($B82="","",IF(OR('②-1職員名簿'!AH82="○",'②-1職員名簿'!AH82="●"),IF($E82="正規職員","正",IF($E82="契約上の就業時間を記載","",IF($E82&gt;=K$5,"常",K82))),"-"))</f>
        <v/>
      </c>
      <c r="X82" s="88" t="str">
        <f>IF($B82="","",IF(OR('②-1職員名簿'!AI82="○",'②-1職員名簿'!AI82="●"),IF($E82="正規職員","正",IF($E82="契約上の就業時間を記載","",IF($E82&gt;=L$5,"常",L82))),"-"))</f>
        <v/>
      </c>
      <c r="Y82" s="88" t="str">
        <f>IF($B82="","",IF(OR('②-1職員名簿'!AJ82="○",'②-1職員名簿'!AJ82="●"),IF($E82="正規職員","正",IF($E82="契約上の就業時間を記載","",IF($E82&gt;=M$5,"常",M82))),"-"))</f>
        <v/>
      </c>
      <c r="Z82" s="88" t="str">
        <f>IF($B82="","",IF(OR('②-1職員名簿'!AK82="○",'②-1職員名簿'!AK82="●"),IF($E82="正規職員","正",IF($E82="契約上の就業時間を記載","",IF($E82&gt;=N$5,"常",N82))),"-"))</f>
        <v/>
      </c>
      <c r="AA82" s="88" t="str">
        <f>IF($B82="","",IF(OR('②-1職員名簿'!AL82="○",'②-1職員名簿'!AL82="●"),IF($E82="正規職員","正",IF($E82="契約上の就業時間を記載","",IF($E82&gt;=O$5,"常",O82))),"-"))</f>
        <v/>
      </c>
      <c r="AB82" s="88" t="str">
        <f>IF($B82="","",IF(OR('②-1職員名簿'!AM82="○",'②-1職員名簿'!AM82="●"),IF($E82="正規職員","正",IF($E82="契約上の就業時間を記載","",IF($E82&gt;=P$5,"常",P82))),"-"))</f>
        <v/>
      </c>
      <c r="AC82" s="88" t="str">
        <f>IF($B82="","",IF(OR('②-1職員名簿'!AN82="○",'②-1職員名簿'!AN82="●"),IF($E82="正規職員","正",IF($E82="契約上の就業時間を記載","",IF($E82&gt;=Q$5,"常",Q82))),"-"))</f>
        <v/>
      </c>
      <c r="AE82" s="86" t="str">
        <f>IF('②-1職員名簿'!W82="","",'②-1職員名簿'!W82)</f>
        <v/>
      </c>
      <c r="AJ82" s="17" t="str">
        <f t="shared" si="25"/>
        <v>○</v>
      </c>
      <c r="AK82" s="17" t="str">
        <f t="shared" si="13"/>
        <v>○</v>
      </c>
      <c r="AL82" s="17" t="str">
        <f t="shared" si="14"/>
        <v>○</v>
      </c>
      <c r="AM82" s="17" t="str">
        <f t="shared" si="15"/>
        <v>○</v>
      </c>
      <c r="AN82" s="17" t="str">
        <f t="shared" si="16"/>
        <v>○</v>
      </c>
      <c r="AO82" s="17" t="str">
        <f t="shared" si="17"/>
        <v>○</v>
      </c>
      <c r="AP82" s="17" t="str">
        <f t="shared" si="18"/>
        <v>○</v>
      </c>
      <c r="AQ82" s="17" t="str">
        <f t="shared" si="19"/>
        <v>○</v>
      </c>
      <c r="AR82" s="17" t="str">
        <f t="shared" si="20"/>
        <v>○</v>
      </c>
      <c r="AS82" s="17" t="str">
        <f t="shared" si="21"/>
        <v>○</v>
      </c>
      <c r="AT82" s="17" t="str">
        <f t="shared" si="22"/>
        <v>○</v>
      </c>
      <c r="AU82" s="17" t="str">
        <f t="shared" si="23"/>
        <v>○</v>
      </c>
    </row>
    <row r="83" spans="1:47" s="90" customFormat="1" ht="23.15" customHeight="1">
      <c r="A83" s="87">
        <v>77</v>
      </c>
      <c r="B83" s="86" t="str">
        <f>IF('②-1職員名簿'!E83="","",'②-1職員名簿'!Y83)</f>
        <v/>
      </c>
      <c r="C83" s="88" t="str">
        <f>'②-1職員名簿'!BE83</f>
        <v/>
      </c>
      <c r="D83" s="117" t="str">
        <f t="shared" si="24"/>
        <v/>
      </c>
      <c r="E83" s="18" t="str">
        <f>IF($B83="","",IF(AND('②-1職員名簿'!C83="正",'②-1職員名簿'!D83="常"),"正規職員","契約上の就業時間を記載"))</f>
        <v/>
      </c>
      <c r="F83" s="9" t="str">
        <f>IF($B83="","",IF(OR('②-1職員名簿'!AC83="○",'②-1職員名簿'!AC83="●"),IF($E83="正規職員","正",IF($E83="契約上の就業時間を記載","","見込を入力")),"-"))</f>
        <v/>
      </c>
      <c r="G83" s="9" t="str">
        <f>IF($B83="","",IF(OR('②-1職員名簿'!AD83="○",'②-1職員名簿'!AD83="●"),IF($E83="正規職員","正",IF($E83="契約上の就業時間を記載","","実績を入力")),"-"))</f>
        <v/>
      </c>
      <c r="H83" s="9" t="str">
        <f>IF($B83="","",IF(OR('②-1職員名簿'!AE83="○",'②-1職員名簿'!AE83="●"),IF($E83="正規職員","正",IF($E83="契約上の就業時間を記載","","実績を入力")),"-"))</f>
        <v/>
      </c>
      <c r="I83" s="9" t="str">
        <f>IF($B83="","",IF(OR('②-1職員名簿'!AF83="○",'②-1職員名簿'!AF83="●"),IF($E83="正規職員","正",IF($E83="契約上の就業時間を記載","","実績を入力")),"-"))</f>
        <v/>
      </c>
      <c r="J83" s="9" t="str">
        <f>IF($B83="","",IF(OR('②-1職員名簿'!AG83="○",'②-1職員名簿'!AG83="●"),IF($E83="正規職員","正",IF($E83="契約上の就業時間を記載","","実績を入力")),"-"))</f>
        <v/>
      </c>
      <c r="K83" s="9" t="str">
        <f>IF($B83="","",IF(OR('②-1職員名簿'!AH83="○",'②-1職員名簿'!AH83="●"),IF($E83="正規職員","正",IF($E83="契約上の就業時間を記載","","実績を入力")),"-"))</f>
        <v/>
      </c>
      <c r="L83" s="9" t="str">
        <f>IF($B83="","",IF(OR('②-1職員名簿'!AI83="○",'②-1職員名簿'!AI83="●"),IF($E83="正規職員","正",IF($E83="契約上の就業時間を記載","","実績を入力")),"-"))</f>
        <v/>
      </c>
      <c r="M83" s="9" t="str">
        <f>IF($B83="","",IF(OR('②-1職員名簿'!AJ83="○",'②-1職員名簿'!AJ83="●"),IF($E83="正規職員","正",IF($E83="契約上の就業時間を記載","","実績を入力")),"-"))</f>
        <v/>
      </c>
      <c r="N83" s="9" t="str">
        <f>IF($B83="","",IF(OR('②-1職員名簿'!AK83="○",'②-1職員名簿'!AK83="●"),IF($E83="正規職員","正",IF($E83="契約上の就業時間を記載","","実績を入力")),"-"))</f>
        <v/>
      </c>
      <c r="O83" s="9" t="str">
        <f>IF($B83="","",IF(OR('②-1職員名簿'!AL83="○",'②-1職員名簿'!AL83="●"),IF($E83="正規職員","正",IF($E83="契約上の就業時間を記載","","実績を入力")),"-"))</f>
        <v/>
      </c>
      <c r="P83" s="9" t="str">
        <f>IF($B83="","",IF(OR('②-1職員名簿'!AM83="○",'②-1職員名簿'!AM83="●"),IF($E83="正規職員","正",IF($E83="契約上の就業時間を記載","","実績を入力")),"-"))</f>
        <v/>
      </c>
      <c r="Q83" s="9" t="str">
        <f>IF($B83="","",IF(OR('②-1職員名簿'!AN83="○",'②-1職員名簿'!AN83="●"),IF($E83="正規職員","正",IF($E83="契約上の就業時間を記載","","見込を入力")),"-"))</f>
        <v/>
      </c>
      <c r="R83" s="88" t="str">
        <f>IF($B83="","",IF(OR('②-1職員名簿'!AC83="○",'②-1職員名簿'!AC83="●"),IF($E83="正規職員","正",IF($E83="契約上の就業時間を記載","",IF($E83&gt;=F$5,"常",F83))),"-"))</f>
        <v/>
      </c>
      <c r="S83" s="88" t="str">
        <f>IF($B83="","",IF(OR('②-1職員名簿'!AD83="○",'②-1職員名簿'!AD83="●"),IF($E83="正規職員","正",IF($E83="契約上の就業時間を記載","",IF($E83&gt;=G$5,"常",G83))),"-"))</f>
        <v/>
      </c>
      <c r="T83" s="88" t="str">
        <f>IF($B83="","",IF(OR('②-1職員名簿'!AE83="○",'②-1職員名簿'!AE83="●"),IF($E83="正規職員","正",IF($E83="契約上の就業時間を記載","",IF($E83&gt;=H$5,"常",H83))),"-"))</f>
        <v/>
      </c>
      <c r="U83" s="88" t="str">
        <f>IF($B83="","",IF(OR('②-1職員名簿'!AF83="○",'②-1職員名簿'!AF83="●"),IF($E83="正規職員","正",IF($E83="契約上の就業時間を記載","",IF($E83&gt;=I$5,"常",I83))),"-"))</f>
        <v/>
      </c>
      <c r="V83" s="88" t="str">
        <f>IF($B83="","",IF(OR('②-1職員名簿'!AG83="○",'②-1職員名簿'!AG83="●"),IF($E83="正規職員","正",IF($E83="契約上の就業時間を記載","",IF($E83&gt;=J$5,"常",J83))),"-"))</f>
        <v/>
      </c>
      <c r="W83" s="88" t="str">
        <f>IF($B83="","",IF(OR('②-1職員名簿'!AH83="○",'②-1職員名簿'!AH83="●"),IF($E83="正規職員","正",IF($E83="契約上の就業時間を記載","",IF($E83&gt;=K$5,"常",K83))),"-"))</f>
        <v/>
      </c>
      <c r="X83" s="88" t="str">
        <f>IF($B83="","",IF(OR('②-1職員名簿'!AI83="○",'②-1職員名簿'!AI83="●"),IF($E83="正規職員","正",IF($E83="契約上の就業時間を記載","",IF($E83&gt;=L$5,"常",L83))),"-"))</f>
        <v/>
      </c>
      <c r="Y83" s="88" t="str">
        <f>IF($B83="","",IF(OR('②-1職員名簿'!AJ83="○",'②-1職員名簿'!AJ83="●"),IF($E83="正規職員","正",IF($E83="契約上の就業時間を記載","",IF($E83&gt;=M$5,"常",M83))),"-"))</f>
        <v/>
      </c>
      <c r="Z83" s="88" t="str">
        <f>IF($B83="","",IF(OR('②-1職員名簿'!AK83="○",'②-1職員名簿'!AK83="●"),IF($E83="正規職員","正",IF($E83="契約上の就業時間を記載","",IF($E83&gt;=N$5,"常",N83))),"-"))</f>
        <v/>
      </c>
      <c r="AA83" s="88" t="str">
        <f>IF($B83="","",IF(OR('②-1職員名簿'!AL83="○",'②-1職員名簿'!AL83="●"),IF($E83="正規職員","正",IF($E83="契約上の就業時間を記載","",IF($E83&gt;=O$5,"常",O83))),"-"))</f>
        <v/>
      </c>
      <c r="AB83" s="88" t="str">
        <f>IF($B83="","",IF(OR('②-1職員名簿'!AM83="○",'②-1職員名簿'!AM83="●"),IF($E83="正規職員","正",IF($E83="契約上の就業時間を記載","",IF($E83&gt;=P$5,"常",P83))),"-"))</f>
        <v/>
      </c>
      <c r="AC83" s="88" t="str">
        <f>IF($B83="","",IF(OR('②-1職員名簿'!AN83="○",'②-1職員名簿'!AN83="●"),IF($E83="正規職員","正",IF($E83="契約上の就業時間を記載","",IF($E83&gt;=Q$5,"常",Q83))),"-"))</f>
        <v/>
      </c>
      <c r="AE83" s="86" t="str">
        <f>IF('②-1職員名簿'!W83="","",'②-1職員名簿'!W83)</f>
        <v/>
      </c>
      <c r="AJ83" s="17" t="str">
        <f t="shared" si="25"/>
        <v>○</v>
      </c>
      <c r="AK83" s="17" t="str">
        <f t="shared" si="13"/>
        <v>○</v>
      </c>
      <c r="AL83" s="17" t="str">
        <f t="shared" si="14"/>
        <v>○</v>
      </c>
      <c r="AM83" s="17" t="str">
        <f t="shared" si="15"/>
        <v>○</v>
      </c>
      <c r="AN83" s="17" t="str">
        <f t="shared" si="16"/>
        <v>○</v>
      </c>
      <c r="AO83" s="17" t="str">
        <f t="shared" si="17"/>
        <v>○</v>
      </c>
      <c r="AP83" s="17" t="str">
        <f t="shared" si="18"/>
        <v>○</v>
      </c>
      <c r="AQ83" s="17" t="str">
        <f t="shared" si="19"/>
        <v>○</v>
      </c>
      <c r="AR83" s="17" t="str">
        <f t="shared" si="20"/>
        <v>○</v>
      </c>
      <c r="AS83" s="17" t="str">
        <f t="shared" si="21"/>
        <v>○</v>
      </c>
      <c r="AT83" s="17" t="str">
        <f t="shared" si="22"/>
        <v>○</v>
      </c>
      <c r="AU83" s="17" t="str">
        <f t="shared" si="23"/>
        <v>○</v>
      </c>
    </row>
    <row r="84" spans="1:47" s="90" customFormat="1" ht="23.15" customHeight="1">
      <c r="A84" s="87">
        <v>78</v>
      </c>
      <c r="B84" s="86" t="str">
        <f>IF('②-1職員名簿'!E84="","",'②-1職員名簿'!Y84)</f>
        <v/>
      </c>
      <c r="C84" s="88" t="str">
        <f>'②-1職員名簿'!BE84</f>
        <v/>
      </c>
      <c r="D84" s="117" t="str">
        <f t="shared" si="24"/>
        <v/>
      </c>
      <c r="E84" s="18" t="str">
        <f>IF($B84="","",IF(AND('②-1職員名簿'!C84="正",'②-1職員名簿'!D84="常"),"正規職員","契約上の就業時間を記載"))</f>
        <v/>
      </c>
      <c r="F84" s="9" t="str">
        <f>IF($B84="","",IF(OR('②-1職員名簿'!AC84="○",'②-1職員名簿'!AC84="●"),IF($E84="正規職員","正",IF($E84="契約上の就業時間を記載","","見込を入力")),"-"))</f>
        <v/>
      </c>
      <c r="G84" s="9" t="str">
        <f>IF($B84="","",IF(OR('②-1職員名簿'!AD84="○",'②-1職員名簿'!AD84="●"),IF($E84="正規職員","正",IF($E84="契約上の就業時間を記載","","実績を入力")),"-"))</f>
        <v/>
      </c>
      <c r="H84" s="9" t="str">
        <f>IF($B84="","",IF(OR('②-1職員名簿'!AE84="○",'②-1職員名簿'!AE84="●"),IF($E84="正規職員","正",IF($E84="契約上の就業時間を記載","","実績を入力")),"-"))</f>
        <v/>
      </c>
      <c r="I84" s="9" t="str">
        <f>IF($B84="","",IF(OR('②-1職員名簿'!AF84="○",'②-1職員名簿'!AF84="●"),IF($E84="正規職員","正",IF($E84="契約上の就業時間を記載","","実績を入力")),"-"))</f>
        <v/>
      </c>
      <c r="J84" s="9" t="str">
        <f>IF($B84="","",IF(OR('②-1職員名簿'!AG84="○",'②-1職員名簿'!AG84="●"),IF($E84="正規職員","正",IF($E84="契約上の就業時間を記載","","実績を入力")),"-"))</f>
        <v/>
      </c>
      <c r="K84" s="9" t="str">
        <f>IF($B84="","",IF(OR('②-1職員名簿'!AH84="○",'②-1職員名簿'!AH84="●"),IF($E84="正規職員","正",IF($E84="契約上の就業時間を記載","","実績を入力")),"-"))</f>
        <v/>
      </c>
      <c r="L84" s="9" t="str">
        <f>IF($B84="","",IF(OR('②-1職員名簿'!AI84="○",'②-1職員名簿'!AI84="●"),IF($E84="正規職員","正",IF($E84="契約上の就業時間を記載","","実績を入力")),"-"))</f>
        <v/>
      </c>
      <c r="M84" s="9" t="str">
        <f>IF($B84="","",IF(OR('②-1職員名簿'!AJ84="○",'②-1職員名簿'!AJ84="●"),IF($E84="正規職員","正",IF($E84="契約上の就業時間を記載","","実績を入力")),"-"))</f>
        <v/>
      </c>
      <c r="N84" s="9" t="str">
        <f>IF($B84="","",IF(OR('②-1職員名簿'!AK84="○",'②-1職員名簿'!AK84="●"),IF($E84="正規職員","正",IF($E84="契約上の就業時間を記載","","実績を入力")),"-"))</f>
        <v/>
      </c>
      <c r="O84" s="9" t="str">
        <f>IF($B84="","",IF(OR('②-1職員名簿'!AL84="○",'②-1職員名簿'!AL84="●"),IF($E84="正規職員","正",IF($E84="契約上の就業時間を記載","","実績を入力")),"-"))</f>
        <v/>
      </c>
      <c r="P84" s="9" t="str">
        <f>IF($B84="","",IF(OR('②-1職員名簿'!AM84="○",'②-1職員名簿'!AM84="●"),IF($E84="正規職員","正",IF($E84="契約上の就業時間を記載","","実績を入力")),"-"))</f>
        <v/>
      </c>
      <c r="Q84" s="9" t="str">
        <f>IF($B84="","",IF(OR('②-1職員名簿'!AN84="○",'②-1職員名簿'!AN84="●"),IF($E84="正規職員","正",IF($E84="契約上の就業時間を記載","","見込を入力")),"-"))</f>
        <v/>
      </c>
      <c r="R84" s="88" t="str">
        <f>IF($B84="","",IF(OR('②-1職員名簿'!AC84="○",'②-1職員名簿'!AC84="●"),IF($E84="正規職員","正",IF($E84="契約上の就業時間を記載","",IF($E84&gt;=F$5,"常",F84))),"-"))</f>
        <v/>
      </c>
      <c r="S84" s="88" t="str">
        <f>IF($B84="","",IF(OR('②-1職員名簿'!AD84="○",'②-1職員名簿'!AD84="●"),IF($E84="正規職員","正",IF($E84="契約上の就業時間を記載","",IF($E84&gt;=G$5,"常",G84))),"-"))</f>
        <v/>
      </c>
      <c r="T84" s="88" t="str">
        <f>IF($B84="","",IF(OR('②-1職員名簿'!AE84="○",'②-1職員名簿'!AE84="●"),IF($E84="正規職員","正",IF($E84="契約上の就業時間を記載","",IF($E84&gt;=H$5,"常",H84))),"-"))</f>
        <v/>
      </c>
      <c r="U84" s="88" t="str">
        <f>IF($B84="","",IF(OR('②-1職員名簿'!AF84="○",'②-1職員名簿'!AF84="●"),IF($E84="正規職員","正",IF($E84="契約上の就業時間を記載","",IF($E84&gt;=I$5,"常",I84))),"-"))</f>
        <v/>
      </c>
      <c r="V84" s="88" t="str">
        <f>IF($B84="","",IF(OR('②-1職員名簿'!AG84="○",'②-1職員名簿'!AG84="●"),IF($E84="正規職員","正",IF($E84="契約上の就業時間を記載","",IF($E84&gt;=J$5,"常",J84))),"-"))</f>
        <v/>
      </c>
      <c r="W84" s="88" t="str">
        <f>IF($B84="","",IF(OR('②-1職員名簿'!AH84="○",'②-1職員名簿'!AH84="●"),IF($E84="正規職員","正",IF($E84="契約上の就業時間を記載","",IF($E84&gt;=K$5,"常",K84))),"-"))</f>
        <v/>
      </c>
      <c r="X84" s="88" t="str">
        <f>IF($B84="","",IF(OR('②-1職員名簿'!AI84="○",'②-1職員名簿'!AI84="●"),IF($E84="正規職員","正",IF($E84="契約上の就業時間を記載","",IF($E84&gt;=L$5,"常",L84))),"-"))</f>
        <v/>
      </c>
      <c r="Y84" s="88" t="str">
        <f>IF($B84="","",IF(OR('②-1職員名簿'!AJ84="○",'②-1職員名簿'!AJ84="●"),IF($E84="正規職員","正",IF($E84="契約上の就業時間を記載","",IF($E84&gt;=M$5,"常",M84))),"-"))</f>
        <v/>
      </c>
      <c r="Z84" s="88" t="str">
        <f>IF($B84="","",IF(OR('②-1職員名簿'!AK84="○",'②-1職員名簿'!AK84="●"),IF($E84="正規職員","正",IF($E84="契約上の就業時間を記載","",IF($E84&gt;=N$5,"常",N84))),"-"))</f>
        <v/>
      </c>
      <c r="AA84" s="88" t="str">
        <f>IF($B84="","",IF(OR('②-1職員名簿'!AL84="○",'②-1職員名簿'!AL84="●"),IF($E84="正規職員","正",IF($E84="契約上の就業時間を記載","",IF($E84&gt;=O$5,"常",O84))),"-"))</f>
        <v/>
      </c>
      <c r="AB84" s="88" t="str">
        <f>IF($B84="","",IF(OR('②-1職員名簿'!AM84="○",'②-1職員名簿'!AM84="●"),IF($E84="正規職員","正",IF($E84="契約上の就業時間を記載","",IF($E84&gt;=P$5,"常",P84))),"-"))</f>
        <v/>
      </c>
      <c r="AC84" s="88" t="str">
        <f>IF($B84="","",IF(OR('②-1職員名簿'!AN84="○",'②-1職員名簿'!AN84="●"),IF($E84="正規職員","正",IF($E84="契約上の就業時間を記載","",IF($E84&gt;=Q$5,"常",Q84))),"-"))</f>
        <v/>
      </c>
      <c r="AE84" s="86" t="str">
        <f>IF('②-1職員名簿'!W84="","",'②-1職員名簿'!W84)</f>
        <v/>
      </c>
      <c r="AJ84" s="17" t="str">
        <f t="shared" si="25"/>
        <v>○</v>
      </c>
      <c r="AK84" s="17" t="str">
        <f t="shared" si="13"/>
        <v>○</v>
      </c>
      <c r="AL84" s="17" t="str">
        <f t="shared" si="14"/>
        <v>○</v>
      </c>
      <c r="AM84" s="17" t="str">
        <f t="shared" si="15"/>
        <v>○</v>
      </c>
      <c r="AN84" s="17" t="str">
        <f t="shared" si="16"/>
        <v>○</v>
      </c>
      <c r="AO84" s="17" t="str">
        <f t="shared" si="17"/>
        <v>○</v>
      </c>
      <c r="AP84" s="17" t="str">
        <f t="shared" si="18"/>
        <v>○</v>
      </c>
      <c r="AQ84" s="17" t="str">
        <f t="shared" si="19"/>
        <v>○</v>
      </c>
      <c r="AR84" s="17" t="str">
        <f t="shared" si="20"/>
        <v>○</v>
      </c>
      <c r="AS84" s="17" t="str">
        <f t="shared" si="21"/>
        <v>○</v>
      </c>
      <c r="AT84" s="17" t="str">
        <f t="shared" si="22"/>
        <v>○</v>
      </c>
      <c r="AU84" s="17" t="str">
        <f t="shared" si="23"/>
        <v>○</v>
      </c>
    </row>
    <row r="85" spans="1:47" s="90" customFormat="1" ht="23.15" customHeight="1">
      <c r="A85" s="87">
        <v>79</v>
      </c>
      <c r="B85" s="86" t="str">
        <f>IF('②-1職員名簿'!E85="","",'②-1職員名簿'!Y85)</f>
        <v/>
      </c>
      <c r="C85" s="88" t="str">
        <f>'②-1職員名簿'!BE85</f>
        <v/>
      </c>
      <c r="D85" s="117" t="str">
        <f t="shared" si="24"/>
        <v/>
      </c>
      <c r="E85" s="18" t="str">
        <f>IF($B85="","",IF(AND('②-1職員名簿'!C85="正",'②-1職員名簿'!D85="常"),"正規職員","契約上の就業時間を記載"))</f>
        <v/>
      </c>
      <c r="F85" s="9" t="str">
        <f>IF($B85="","",IF(OR('②-1職員名簿'!AC85="○",'②-1職員名簿'!AC85="●"),IF($E85="正規職員","正",IF($E85="契約上の就業時間を記載","","見込を入力")),"-"))</f>
        <v/>
      </c>
      <c r="G85" s="9" t="str">
        <f>IF($B85="","",IF(OR('②-1職員名簿'!AD85="○",'②-1職員名簿'!AD85="●"),IF($E85="正規職員","正",IF($E85="契約上の就業時間を記載","","実績を入力")),"-"))</f>
        <v/>
      </c>
      <c r="H85" s="9" t="str">
        <f>IF($B85="","",IF(OR('②-1職員名簿'!AE85="○",'②-1職員名簿'!AE85="●"),IF($E85="正規職員","正",IF($E85="契約上の就業時間を記載","","実績を入力")),"-"))</f>
        <v/>
      </c>
      <c r="I85" s="9" t="str">
        <f>IF($B85="","",IF(OR('②-1職員名簿'!AF85="○",'②-1職員名簿'!AF85="●"),IF($E85="正規職員","正",IF($E85="契約上の就業時間を記載","","実績を入力")),"-"))</f>
        <v/>
      </c>
      <c r="J85" s="9" t="str">
        <f>IF($B85="","",IF(OR('②-1職員名簿'!AG85="○",'②-1職員名簿'!AG85="●"),IF($E85="正規職員","正",IF($E85="契約上の就業時間を記載","","実績を入力")),"-"))</f>
        <v/>
      </c>
      <c r="K85" s="9" t="str">
        <f>IF($B85="","",IF(OR('②-1職員名簿'!AH85="○",'②-1職員名簿'!AH85="●"),IF($E85="正規職員","正",IF($E85="契約上の就業時間を記載","","実績を入力")),"-"))</f>
        <v/>
      </c>
      <c r="L85" s="9" t="str">
        <f>IF($B85="","",IF(OR('②-1職員名簿'!AI85="○",'②-1職員名簿'!AI85="●"),IF($E85="正規職員","正",IF($E85="契約上の就業時間を記載","","実績を入力")),"-"))</f>
        <v/>
      </c>
      <c r="M85" s="9" t="str">
        <f>IF($B85="","",IF(OR('②-1職員名簿'!AJ85="○",'②-1職員名簿'!AJ85="●"),IF($E85="正規職員","正",IF($E85="契約上の就業時間を記載","","実績を入力")),"-"))</f>
        <v/>
      </c>
      <c r="N85" s="9" t="str">
        <f>IF($B85="","",IF(OR('②-1職員名簿'!AK85="○",'②-1職員名簿'!AK85="●"),IF($E85="正規職員","正",IF($E85="契約上の就業時間を記載","","実績を入力")),"-"))</f>
        <v/>
      </c>
      <c r="O85" s="9" t="str">
        <f>IF($B85="","",IF(OR('②-1職員名簿'!AL85="○",'②-1職員名簿'!AL85="●"),IF($E85="正規職員","正",IF($E85="契約上の就業時間を記載","","実績を入力")),"-"))</f>
        <v/>
      </c>
      <c r="P85" s="9" t="str">
        <f>IF($B85="","",IF(OR('②-1職員名簿'!AM85="○",'②-1職員名簿'!AM85="●"),IF($E85="正規職員","正",IF($E85="契約上の就業時間を記載","","実績を入力")),"-"))</f>
        <v/>
      </c>
      <c r="Q85" s="9" t="str">
        <f>IF($B85="","",IF(OR('②-1職員名簿'!AN85="○",'②-1職員名簿'!AN85="●"),IF($E85="正規職員","正",IF($E85="契約上の就業時間を記載","","見込を入力")),"-"))</f>
        <v/>
      </c>
      <c r="R85" s="88" t="str">
        <f>IF($B85="","",IF(OR('②-1職員名簿'!AC85="○",'②-1職員名簿'!AC85="●"),IF($E85="正規職員","正",IF($E85="契約上の就業時間を記載","",IF($E85&gt;=F$5,"常",F85))),"-"))</f>
        <v/>
      </c>
      <c r="S85" s="88" t="str">
        <f>IF($B85="","",IF(OR('②-1職員名簿'!AD85="○",'②-1職員名簿'!AD85="●"),IF($E85="正規職員","正",IF($E85="契約上の就業時間を記載","",IF($E85&gt;=G$5,"常",G85))),"-"))</f>
        <v/>
      </c>
      <c r="T85" s="88" t="str">
        <f>IF($B85="","",IF(OR('②-1職員名簿'!AE85="○",'②-1職員名簿'!AE85="●"),IF($E85="正規職員","正",IF($E85="契約上の就業時間を記載","",IF($E85&gt;=H$5,"常",H85))),"-"))</f>
        <v/>
      </c>
      <c r="U85" s="88" t="str">
        <f>IF($B85="","",IF(OR('②-1職員名簿'!AF85="○",'②-1職員名簿'!AF85="●"),IF($E85="正規職員","正",IF($E85="契約上の就業時間を記載","",IF($E85&gt;=I$5,"常",I85))),"-"))</f>
        <v/>
      </c>
      <c r="V85" s="88" t="str">
        <f>IF($B85="","",IF(OR('②-1職員名簿'!AG85="○",'②-1職員名簿'!AG85="●"),IF($E85="正規職員","正",IF($E85="契約上の就業時間を記載","",IF($E85&gt;=J$5,"常",J85))),"-"))</f>
        <v/>
      </c>
      <c r="W85" s="88" t="str">
        <f>IF($B85="","",IF(OR('②-1職員名簿'!AH85="○",'②-1職員名簿'!AH85="●"),IF($E85="正規職員","正",IF($E85="契約上の就業時間を記載","",IF($E85&gt;=K$5,"常",K85))),"-"))</f>
        <v/>
      </c>
      <c r="X85" s="88" t="str">
        <f>IF($B85="","",IF(OR('②-1職員名簿'!AI85="○",'②-1職員名簿'!AI85="●"),IF($E85="正規職員","正",IF($E85="契約上の就業時間を記載","",IF($E85&gt;=L$5,"常",L85))),"-"))</f>
        <v/>
      </c>
      <c r="Y85" s="88" t="str">
        <f>IF($B85="","",IF(OR('②-1職員名簿'!AJ85="○",'②-1職員名簿'!AJ85="●"),IF($E85="正規職員","正",IF($E85="契約上の就業時間を記載","",IF($E85&gt;=M$5,"常",M85))),"-"))</f>
        <v/>
      </c>
      <c r="Z85" s="88" t="str">
        <f>IF($B85="","",IF(OR('②-1職員名簿'!AK85="○",'②-1職員名簿'!AK85="●"),IF($E85="正規職員","正",IF($E85="契約上の就業時間を記載","",IF($E85&gt;=N$5,"常",N85))),"-"))</f>
        <v/>
      </c>
      <c r="AA85" s="88" t="str">
        <f>IF($B85="","",IF(OR('②-1職員名簿'!AL85="○",'②-1職員名簿'!AL85="●"),IF($E85="正規職員","正",IF($E85="契約上の就業時間を記載","",IF($E85&gt;=O$5,"常",O85))),"-"))</f>
        <v/>
      </c>
      <c r="AB85" s="88" t="str">
        <f>IF($B85="","",IF(OR('②-1職員名簿'!AM85="○",'②-1職員名簿'!AM85="●"),IF($E85="正規職員","正",IF($E85="契約上の就業時間を記載","",IF($E85&gt;=P$5,"常",P85))),"-"))</f>
        <v/>
      </c>
      <c r="AC85" s="88" t="str">
        <f>IF($B85="","",IF(OR('②-1職員名簿'!AN85="○",'②-1職員名簿'!AN85="●"),IF($E85="正規職員","正",IF($E85="契約上の就業時間を記載","",IF($E85&gt;=Q$5,"常",Q85))),"-"))</f>
        <v/>
      </c>
      <c r="AE85" s="86" t="str">
        <f>IF('②-1職員名簿'!W85="","",'②-1職員名簿'!W85)</f>
        <v/>
      </c>
      <c r="AJ85" s="17" t="str">
        <f t="shared" si="25"/>
        <v>○</v>
      </c>
      <c r="AK85" s="17" t="str">
        <f t="shared" si="13"/>
        <v>○</v>
      </c>
      <c r="AL85" s="17" t="str">
        <f t="shared" si="14"/>
        <v>○</v>
      </c>
      <c r="AM85" s="17" t="str">
        <f t="shared" si="15"/>
        <v>○</v>
      </c>
      <c r="AN85" s="17" t="str">
        <f t="shared" si="16"/>
        <v>○</v>
      </c>
      <c r="AO85" s="17" t="str">
        <f t="shared" si="17"/>
        <v>○</v>
      </c>
      <c r="AP85" s="17" t="str">
        <f t="shared" si="18"/>
        <v>○</v>
      </c>
      <c r="AQ85" s="17" t="str">
        <f t="shared" si="19"/>
        <v>○</v>
      </c>
      <c r="AR85" s="17" t="str">
        <f t="shared" si="20"/>
        <v>○</v>
      </c>
      <c r="AS85" s="17" t="str">
        <f t="shared" si="21"/>
        <v>○</v>
      </c>
      <c r="AT85" s="17" t="str">
        <f t="shared" si="22"/>
        <v>○</v>
      </c>
      <c r="AU85" s="17" t="str">
        <f t="shared" si="23"/>
        <v>○</v>
      </c>
    </row>
    <row r="86" spans="1:47" s="90" customFormat="1" ht="23.15" customHeight="1">
      <c r="A86" s="87">
        <v>80</v>
      </c>
      <c r="B86" s="86" t="str">
        <f>IF('②-1職員名簿'!E86="","",'②-1職員名簿'!Y86)</f>
        <v/>
      </c>
      <c r="C86" s="88" t="str">
        <f>'②-1職員名簿'!BE86</f>
        <v/>
      </c>
      <c r="D86" s="117" t="str">
        <f t="shared" si="24"/>
        <v/>
      </c>
      <c r="E86" s="18" t="str">
        <f>IF($B86="","",IF(AND('②-1職員名簿'!C86="正",'②-1職員名簿'!D86="常"),"正規職員","契約上の就業時間を記載"))</f>
        <v/>
      </c>
      <c r="F86" s="9" t="str">
        <f>IF($B86="","",IF(OR('②-1職員名簿'!AC86="○",'②-1職員名簿'!AC86="●"),IF($E86="正規職員","正",IF($E86="契約上の就業時間を記載","","見込を入力")),"-"))</f>
        <v/>
      </c>
      <c r="G86" s="9" t="str">
        <f>IF($B86="","",IF(OR('②-1職員名簿'!AD86="○",'②-1職員名簿'!AD86="●"),IF($E86="正規職員","正",IF($E86="契約上の就業時間を記載","","実績を入力")),"-"))</f>
        <v/>
      </c>
      <c r="H86" s="9" t="str">
        <f>IF($B86="","",IF(OR('②-1職員名簿'!AE86="○",'②-1職員名簿'!AE86="●"),IF($E86="正規職員","正",IF($E86="契約上の就業時間を記載","","実績を入力")),"-"))</f>
        <v/>
      </c>
      <c r="I86" s="9" t="str">
        <f>IF($B86="","",IF(OR('②-1職員名簿'!AF86="○",'②-1職員名簿'!AF86="●"),IF($E86="正規職員","正",IF($E86="契約上の就業時間を記載","","実績を入力")),"-"))</f>
        <v/>
      </c>
      <c r="J86" s="9" t="str">
        <f>IF($B86="","",IF(OR('②-1職員名簿'!AG86="○",'②-1職員名簿'!AG86="●"),IF($E86="正規職員","正",IF($E86="契約上の就業時間を記載","","実績を入力")),"-"))</f>
        <v/>
      </c>
      <c r="K86" s="9" t="str">
        <f>IF($B86="","",IF(OR('②-1職員名簿'!AH86="○",'②-1職員名簿'!AH86="●"),IF($E86="正規職員","正",IF($E86="契約上の就業時間を記載","","実績を入力")),"-"))</f>
        <v/>
      </c>
      <c r="L86" s="9" t="str">
        <f>IF($B86="","",IF(OR('②-1職員名簿'!AI86="○",'②-1職員名簿'!AI86="●"),IF($E86="正規職員","正",IF($E86="契約上の就業時間を記載","","実績を入力")),"-"))</f>
        <v/>
      </c>
      <c r="M86" s="9" t="str">
        <f>IF($B86="","",IF(OR('②-1職員名簿'!AJ86="○",'②-1職員名簿'!AJ86="●"),IF($E86="正規職員","正",IF($E86="契約上の就業時間を記載","","実績を入力")),"-"))</f>
        <v/>
      </c>
      <c r="N86" s="9" t="str">
        <f>IF($B86="","",IF(OR('②-1職員名簿'!AK86="○",'②-1職員名簿'!AK86="●"),IF($E86="正規職員","正",IF($E86="契約上の就業時間を記載","","実績を入力")),"-"))</f>
        <v/>
      </c>
      <c r="O86" s="9" t="str">
        <f>IF($B86="","",IF(OR('②-1職員名簿'!AL86="○",'②-1職員名簿'!AL86="●"),IF($E86="正規職員","正",IF($E86="契約上の就業時間を記載","","実績を入力")),"-"))</f>
        <v/>
      </c>
      <c r="P86" s="9" t="str">
        <f>IF($B86="","",IF(OR('②-1職員名簿'!AM86="○",'②-1職員名簿'!AM86="●"),IF($E86="正規職員","正",IF($E86="契約上の就業時間を記載","","実績を入力")),"-"))</f>
        <v/>
      </c>
      <c r="Q86" s="9" t="str">
        <f>IF($B86="","",IF(OR('②-1職員名簿'!AN86="○",'②-1職員名簿'!AN86="●"),IF($E86="正規職員","正",IF($E86="契約上の就業時間を記載","","見込を入力")),"-"))</f>
        <v/>
      </c>
      <c r="R86" s="88" t="str">
        <f>IF($B86="","",IF(OR('②-1職員名簿'!AC86="○",'②-1職員名簿'!AC86="●"),IF($E86="正規職員","正",IF($E86="契約上の就業時間を記載","",IF($E86&gt;=F$5,"常",F86))),"-"))</f>
        <v/>
      </c>
      <c r="S86" s="88" t="str">
        <f>IF($B86="","",IF(OR('②-1職員名簿'!AD86="○",'②-1職員名簿'!AD86="●"),IF($E86="正規職員","正",IF($E86="契約上の就業時間を記載","",IF($E86&gt;=G$5,"常",G86))),"-"))</f>
        <v/>
      </c>
      <c r="T86" s="88" t="str">
        <f>IF($B86="","",IF(OR('②-1職員名簿'!AE86="○",'②-1職員名簿'!AE86="●"),IF($E86="正規職員","正",IF($E86="契約上の就業時間を記載","",IF($E86&gt;=H$5,"常",H86))),"-"))</f>
        <v/>
      </c>
      <c r="U86" s="88" t="str">
        <f>IF($B86="","",IF(OR('②-1職員名簿'!AF86="○",'②-1職員名簿'!AF86="●"),IF($E86="正規職員","正",IF($E86="契約上の就業時間を記載","",IF($E86&gt;=I$5,"常",I86))),"-"))</f>
        <v/>
      </c>
      <c r="V86" s="88" t="str">
        <f>IF($B86="","",IF(OR('②-1職員名簿'!AG86="○",'②-1職員名簿'!AG86="●"),IF($E86="正規職員","正",IF($E86="契約上の就業時間を記載","",IF($E86&gt;=J$5,"常",J86))),"-"))</f>
        <v/>
      </c>
      <c r="W86" s="88" t="str">
        <f>IF($B86="","",IF(OR('②-1職員名簿'!AH86="○",'②-1職員名簿'!AH86="●"),IF($E86="正規職員","正",IF($E86="契約上の就業時間を記載","",IF($E86&gt;=K$5,"常",K86))),"-"))</f>
        <v/>
      </c>
      <c r="X86" s="88" t="str">
        <f>IF($B86="","",IF(OR('②-1職員名簿'!AI86="○",'②-1職員名簿'!AI86="●"),IF($E86="正規職員","正",IF($E86="契約上の就業時間を記載","",IF($E86&gt;=L$5,"常",L86))),"-"))</f>
        <v/>
      </c>
      <c r="Y86" s="88" t="str">
        <f>IF($B86="","",IF(OR('②-1職員名簿'!AJ86="○",'②-1職員名簿'!AJ86="●"),IF($E86="正規職員","正",IF($E86="契約上の就業時間を記載","",IF($E86&gt;=M$5,"常",M86))),"-"))</f>
        <v/>
      </c>
      <c r="Z86" s="88" t="str">
        <f>IF($B86="","",IF(OR('②-1職員名簿'!AK86="○",'②-1職員名簿'!AK86="●"),IF($E86="正規職員","正",IF($E86="契約上の就業時間を記載","",IF($E86&gt;=N$5,"常",N86))),"-"))</f>
        <v/>
      </c>
      <c r="AA86" s="88" t="str">
        <f>IF($B86="","",IF(OR('②-1職員名簿'!AL86="○",'②-1職員名簿'!AL86="●"),IF($E86="正規職員","正",IF($E86="契約上の就業時間を記載","",IF($E86&gt;=O$5,"常",O86))),"-"))</f>
        <v/>
      </c>
      <c r="AB86" s="88" t="str">
        <f>IF($B86="","",IF(OR('②-1職員名簿'!AM86="○",'②-1職員名簿'!AM86="●"),IF($E86="正規職員","正",IF($E86="契約上の就業時間を記載","",IF($E86&gt;=P$5,"常",P86))),"-"))</f>
        <v/>
      </c>
      <c r="AC86" s="88" t="str">
        <f>IF($B86="","",IF(OR('②-1職員名簿'!AN86="○",'②-1職員名簿'!AN86="●"),IF($E86="正規職員","正",IF($E86="契約上の就業時間を記載","",IF($E86&gt;=Q$5,"常",Q86))),"-"))</f>
        <v/>
      </c>
      <c r="AE86" s="86" t="str">
        <f>IF('②-1職員名簿'!W86="","",'②-1職員名簿'!W86)</f>
        <v/>
      </c>
      <c r="AJ86" s="17" t="str">
        <f t="shared" si="25"/>
        <v>○</v>
      </c>
      <c r="AK86" s="17" t="str">
        <f t="shared" si="13"/>
        <v>○</v>
      </c>
      <c r="AL86" s="17" t="str">
        <f t="shared" si="14"/>
        <v>○</v>
      </c>
      <c r="AM86" s="17" t="str">
        <f t="shared" si="15"/>
        <v>○</v>
      </c>
      <c r="AN86" s="17" t="str">
        <f t="shared" si="16"/>
        <v>○</v>
      </c>
      <c r="AO86" s="17" t="str">
        <f t="shared" si="17"/>
        <v>○</v>
      </c>
      <c r="AP86" s="17" t="str">
        <f t="shared" si="18"/>
        <v>○</v>
      </c>
      <c r="AQ86" s="17" t="str">
        <f t="shared" si="19"/>
        <v>○</v>
      </c>
      <c r="AR86" s="17" t="str">
        <f t="shared" si="20"/>
        <v>○</v>
      </c>
      <c r="AS86" s="17" t="str">
        <f t="shared" si="21"/>
        <v>○</v>
      </c>
      <c r="AT86" s="17" t="str">
        <f t="shared" si="22"/>
        <v>○</v>
      </c>
      <c r="AU86" s="17" t="str">
        <f t="shared" si="23"/>
        <v>○</v>
      </c>
    </row>
    <row r="87" spans="1:47" s="90" customFormat="1" ht="23.15" customHeight="1">
      <c r="A87" s="87">
        <v>81</v>
      </c>
      <c r="B87" s="86" t="str">
        <f>IF('②-1職員名簿'!E87="","",'②-1職員名簿'!Y87)</f>
        <v/>
      </c>
      <c r="C87" s="88" t="str">
        <f>'②-1職員名簿'!BE87</f>
        <v/>
      </c>
      <c r="D87" s="117" t="str">
        <f t="shared" si="24"/>
        <v/>
      </c>
      <c r="E87" s="18" t="str">
        <f>IF($B87="","",IF(AND('②-1職員名簿'!C87="正",'②-1職員名簿'!D87="常"),"正規職員","契約上の就業時間を記載"))</f>
        <v/>
      </c>
      <c r="F87" s="9" t="str">
        <f>IF($B87="","",IF(OR('②-1職員名簿'!AC87="○",'②-1職員名簿'!AC87="●"),IF($E87="正規職員","正",IF($E87="契約上の就業時間を記載","","見込を入力")),"-"))</f>
        <v/>
      </c>
      <c r="G87" s="9" t="str">
        <f>IF($B87="","",IF(OR('②-1職員名簿'!AD87="○",'②-1職員名簿'!AD87="●"),IF($E87="正規職員","正",IF($E87="契約上の就業時間を記載","","実績を入力")),"-"))</f>
        <v/>
      </c>
      <c r="H87" s="9" t="str">
        <f>IF($B87="","",IF(OR('②-1職員名簿'!AE87="○",'②-1職員名簿'!AE87="●"),IF($E87="正規職員","正",IF($E87="契約上の就業時間を記載","","実績を入力")),"-"))</f>
        <v/>
      </c>
      <c r="I87" s="9" t="str">
        <f>IF($B87="","",IF(OR('②-1職員名簿'!AF87="○",'②-1職員名簿'!AF87="●"),IF($E87="正規職員","正",IF($E87="契約上の就業時間を記載","","実績を入力")),"-"))</f>
        <v/>
      </c>
      <c r="J87" s="9" t="str">
        <f>IF($B87="","",IF(OR('②-1職員名簿'!AG87="○",'②-1職員名簿'!AG87="●"),IF($E87="正規職員","正",IF($E87="契約上の就業時間を記載","","実績を入力")),"-"))</f>
        <v/>
      </c>
      <c r="K87" s="9" t="str">
        <f>IF($B87="","",IF(OR('②-1職員名簿'!AH87="○",'②-1職員名簿'!AH87="●"),IF($E87="正規職員","正",IF($E87="契約上の就業時間を記載","","実績を入力")),"-"))</f>
        <v/>
      </c>
      <c r="L87" s="9" t="str">
        <f>IF($B87="","",IF(OR('②-1職員名簿'!AI87="○",'②-1職員名簿'!AI87="●"),IF($E87="正規職員","正",IF($E87="契約上の就業時間を記載","","実績を入力")),"-"))</f>
        <v/>
      </c>
      <c r="M87" s="9" t="str">
        <f>IF($B87="","",IF(OR('②-1職員名簿'!AJ87="○",'②-1職員名簿'!AJ87="●"),IF($E87="正規職員","正",IF($E87="契約上の就業時間を記載","","実績を入力")),"-"))</f>
        <v/>
      </c>
      <c r="N87" s="9" t="str">
        <f>IF($B87="","",IF(OR('②-1職員名簿'!AK87="○",'②-1職員名簿'!AK87="●"),IF($E87="正規職員","正",IF($E87="契約上の就業時間を記載","","実績を入力")),"-"))</f>
        <v/>
      </c>
      <c r="O87" s="9" t="str">
        <f>IF($B87="","",IF(OR('②-1職員名簿'!AL87="○",'②-1職員名簿'!AL87="●"),IF($E87="正規職員","正",IF($E87="契約上の就業時間を記載","","実績を入力")),"-"))</f>
        <v/>
      </c>
      <c r="P87" s="9" t="str">
        <f>IF($B87="","",IF(OR('②-1職員名簿'!AM87="○",'②-1職員名簿'!AM87="●"),IF($E87="正規職員","正",IF($E87="契約上の就業時間を記載","","実績を入力")),"-"))</f>
        <v/>
      </c>
      <c r="Q87" s="9" t="str">
        <f>IF($B87="","",IF(OR('②-1職員名簿'!AN87="○",'②-1職員名簿'!AN87="●"),IF($E87="正規職員","正",IF($E87="契約上の就業時間を記載","","見込を入力")),"-"))</f>
        <v/>
      </c>
      <c r="R87" s="88" t="str">
        <f>IF($B87="","",IF(OR('②-1職員名簿'!AC87="○",'②-1職員名簿'!AC87="●"),IF($E87="正規職員","正",IF($E87="契約上の就業時間を記載","",IF($E87&gt;=F$5,"常",F87))),"-"))</f>
        <v/>
      </c>
      <c r="S87" s="88" t="str">
        <f>IF($B87="","",IF(OR('②-1職員名簿'!AD87="○",'②-1職員名簿'!AD87="●"),IF($E87="正規職員","正",IF($E87="契約上の就業時間を記載","",IF($E87&gt;=G$5,"常",G87))),"-"))</f>
        <v/>
      </c>
      <c r="T87" s="88" t="str">
        <f>IF($B87="","",IF(OR('②-1職員名簿'!AE87="○",'②-1職員名簿'!AE87="●"),IF($E87="正規職員","正",IF($E87="契約上の就業時間を記載","",IF($E87&gt;=H$5,"常",H87))),"-"))</f>
        <v/>
      </c>
      <c r="U87" s="88" t="str">
        <f>IF($B87="","",IF(OR('②-1職員名簿'!AF87="○",'②-1職員名簿'!AF87="●"),IF($E87="正規職員","正",IF($E87="契約上の就業時間を記載","",IF($E87&gt;=I$5,"常",I87))),"-"))</f>
        <v/>
      </c>
      <c r="V87" s="88" t="str">
        <f>IF($B87="","",IF(OR('②-1職員名簿'!AG87="○",'②-1職員名簿'!AG87="●"),IF($E87="正規職員","正",IF($E87="契約上の就業時間を記載","",IF($E87&gt;=J$5,"常",J87))),"-"))</f>
        <v/>
      </c>
      <c r="W87" s="88" t="str">
        <f>IF($B87="","",IF(OR('②-1職員名簿'!AH87="○",'②-1職員名簿'!AH87="●"),IF($E87="正規職員","正",IF($E87="契約上の就業時間を記載","",IF($E87&gt;=K$5,"常",K87))),"-"))</f>
        <v/>
      </c>
      <c r="X87" s="88" t="str">
        <f>IF($B87="","",IF(OR('②-1職員名簿'!AI87="○",'②-1職員名簿'!AI87="●"),IF($E87="正規職員","正",IF($E87="契約上の就業時間を記載","",IF($E87&gt;=L$5,"常",L87))),"-"))</f>
        <v/>
      </c>
      <c r="Y87" s="88" t="str">
        <f>IF($B87="","",IF(OR('②-1職員名簿'!AJ87="○",'②-1職員名簿'!AJ87="●"),IF($E87="正規職員","正",IF($E87="契約上の就業時間を記載","",IF($E87&gt;=M$5,"常",M87))),"-"))</f>
        <v/>
      </c>
      <c r="Z87" s="88" t="str">
        <f>IF($B87="","",IF(OR('②-1職員名簿'!AK87="○",'②-1職員名簿'!AK87="●"),IF($E87="正規職員","正",IF($E87="契約上の就業時間を記載","",IF($E87&gt;=N$5,"常",N87))),"-"))</f>
        <v/>
      </c>
      <c r="AA87" s="88" t="str">
        <f>IF($B87="","",IF(OR('②-1職員名簿'!AL87="○",'②-1職員名簿'!AL87="●"),IF($E87="正規職員","正",IF($E87="契約上の就業時間を記載","",IF($E87&gt;=O$5,"常",O87))),"-"))</f>
        <v/>
      </c>
      <c r="AB87" s="88" t="str">
        <f>IF($B87="","",IF(OR('②-1職員名簿'!AM87="○",'②-1職員名簿'!AM87="●"),IF($E87="正規職員","正",IF($E87="契約上の就業時間を記載","",IF($E87&gt;=P$5,"常",P87))),"-"))</f>
        <v/>
      </c>
      <c r="AC87" s="88" t="str">
        <f>IF($B87="","",IF(OR('②-1職員名簿'!AN87="○",'②-1職員名簿'!AN87="●"),IF($E87="正規職員","正",IF($E87="契約上の就業時間を記載","",IF($E87&gt;=Q$5,"常",Q87))),"-"))</f>
        <v/>
      </c>
      <c r="AE87" s="86" t="str">
        <f>IF('②-1職員名簿'!W87="","",'②-1職員名簿'!W87)</f>
        <v/>
      </c>
      <c r="AJ87" s="17" t="str">
        <f t="shared" si="25"/>
        <v>○</v>
      </c>
      <c r="AK87" s="17" t="str">
        <f t="shared" ref="AK87:AK106" si="26">IF(AND($C87="常勤的非常勤",$E87&lt;G$5),"×",IF(AND($C87="短時間非常勤",G$5&lt;=$E87),"×",IF(AND($C87="嘱託常勤",$E87&lt;G$5),"×",IF(AND($C87="嘱託非常勤",G$5&lt;=$E87),"×","○"))))</f>
        <v>○</v>
      </c>
      <c r="AL87" s="17" t="str">
        <f t="shared" ref="AL87:AL106" si="27">IF(AND($C87="常勤的非常勤",$E87&lt;H$5),"×",IF(AND($C87="短時間非常勤",H$5&lt;=$E87),"×",IF(AND($C87="嘱託常勤",$E87&lt;H$5),"×",IF(AND($C87="嘱託非常勤",H$5&lt;=$E87),"×","○"))))</f>
        <v>○</v>
      </c>
      <c r="AM87" s="17" t="str">
        <f t="shared" ref="AM87:AM106" si="28">IF(AND($C87="常勤的非常勤",$E87&lt;I$5),"×",IF(AND($C87="短時間非常勤",I$5&lt;=$E87),"×",IF(AND($C87="嘱託常勤",$E87&lt;I$5),"×",IF(AND($C87="嘱託非常勤",I$5&lt;=$E87),"×","○"))))</f>
        <v>○</v>
      </c>
      <c r="AN87" s="17" t="str">
        <f t="shared" ref="AN87:AN106" si="29">IF(AND($C87="常勤的非常勤",$E87&lt;J$5),"×",IF(AND($C87="短時間非常勤",J$5&lt;=$E87),"×",IF(AND($C87="嘱託常勤",$E87&lt;J$5),"×",IF(AND($C87="嘱託非常勤",J$5&lt;=$E87),"×","○"))))</f>
        <v>○</v>
      </c>
      <c r="AO87" s="17" t="str">
        <f t="shared" ref="AO87:AO106" si="30">IF(AND($C87="常勤的非常勤",$E87&lt;K$5),"×",IF(AND($C87="短時間非常勤",K$5&lt;=$E87),"×",IF(AND($C87="嘱託常勤",$E87&lt;K$5),"×",IF(AND($C87="嘱託非常勤",K$5&lt;=$E87),"×","○"))))</f>
        <v>○</v>
      </c>
      <c r="AP87" s="17" t="str">
        <f t="shared" ref="AP87:AP106" si="31">IF(AND($C87="常勤的非常勤",$E87&lt;L$5),"×",IF(AND($C87="短時間非常勤",L$5&lt;=$E87),"×",IF(AND($C87="嘱託常勤",$E87&lt;L$5),"×",IF(AND($C87="嘱託非常勤",L$5&lt;=$E87),"×","○"))))</f>
        <v>○</v>
      </c>
      <c r="AQ87" s="17" t="str">
        <f t="shared" ref="AQ87:AQ106" si="32">IF(AND($C87="常勤的非常勤",$E87&lt;M$5),"×",IF(AND($C87="短時間非常勤",M$5&lt;=$E87),"×",IF(AND($C87="嘱託常勤",$E87&lt;M$5),"×",IF(AND($C87="嘱託非常勤",M$5&lt;=$E87),"×","○"))))</f>
        <v>○</v>
      </c>
      <c r="AR87" s="17" t="str">
        <f t="shared" ref="AR87:AR106" si="33">IF(AND($C87="常勤的非常勤",$E87&lt;N$5),"×",IF(AND($C87="短時間非常勤",N$5&lt;=$E87),"×",IF(AND($C87="嘱託常勤",$E87&lt;N$5),"×",IF(AND($C87="嘱託非常勤",N$5&lt;=$E87),"×","○"))))</f>
        <v>○</v>
      </c>
      <c r="AS87" s="17" t="str">
        <f t="shared" ref="AS87:AS106" si="34">IF(AND($C87="常勤的非常勤",$E87&lt;O$5),"×",IF(AND($C87="短時間非常勤",O$5&lt;=$E87),"×",IF(AND($C87="嘱託常勤",$E87&lt;O$5),"×",IF(AND($C87="嘱託非常勤",O$5&lt;=$E87),"×","○"))))</f>
        <v>○</v>
      </c>
      <c r="AT87" s="17" t="str">
        <f t="shared" ref="AT87:AT106" si="35">IF(AND($C87="常勤的非常勤",$E87&lt;P$5),"×",IF(AND($C87="短時間非常勤",P$5&lt;=$E87),"×",IF(AND($C87="嘱託常勤",$E87&lt;P$5),"×",IF(AND($C87="嘱託非常勤",P$5&lt;=$E87),"×","○"))))</f>
        <v>○</v>
      </c>
      <c r="AU87" s="17" t="str">
        <f t="shared" ref="AU87:AU106" si="36">IF(AND($C87="常勤的非常勤",$E87&lt;Q$5),"×",IF(AND($C87="短時間非常勤",Q$5&lt;=$E87),"×",IF(AND($C87="嘱託常勤",$E87&lt;Q$5),"×",IF(AND($C87="嘱託非常勤",Q$5&lt;=$E87),"×","○"))))</f>
        <v>○</v>
      </c>
    </row>
    <row r="88" spans="1:47" s="90" customFormat="1" ht="23.15" customHeight="1">
      <c r="A88" s="87">
        <v>82</v>
      </c>
      <c r="B88" s="86" t="str">
        <f>IF('②-1職員名簿'!E88="","",'②-1職員名簿'!Y88)</f>
        <v/>
      </c>
      <c r="C88" s="88" t="str">
        <f>'②-1職員名簿'!BE88</f>
        <v/>
      </c>
      <c r="D88" s="117" t="str">
        <f t="shared" si="24"/>
        <v/>
      </c>
      <c r="E88" s="18" t="str">
        <f>IF($B88="","",IF(AND('②-1職員名簿'!C88="正",'②-1職員名簿'!D88="常"),"正規職員","契約上の就業時間を記載"))</f>
        <v/>
      </c>
      <c r="F88" s="9" t="str">
        <f>IF($B88="","",IF(OR('②-1職員名簿'!AC88="○",'②-1職員名簿'!AC88="●"),IF($E88="正規職員","正",IF($E88="契約上の就業時間を記載","","見込を入力")),"-"))</f>
        <v/>
      </c>
      <c r="G88" s="9" t="str">
        <f>IF($B88="","",IF(OR('②-1職員名簿'!AD88="○",'②-1職員名簿'!AD88="●"),IF($E88="正規職員","正",IF($E88="契約上の就業時間を記載","","実績を入力")),"-"))</f>
        <v/>
      </c>
      <c r="H88" s="9" t="str">
        <f>IF($B88="","",IF(OR('②-1職員名簿'!AE88="○",'②-1職員名簿'!AE88="●"),IF($E88="正規職員","正",IF($E88="契約上の就業時間を記載","","実績を入力")),"-"))</f>
        <v/>
      </c>
      <c r="I88" s="9" t="str">
        <f>IF($B88="","",IF(OR('②-1職員名簿'!AF88="○",'②-1職員名簿'!AF88="●"),IF($E88="正規職員","正",IF($E88="契約上の就業時間を記載","","実績を入力")),"-"))</f>
        <v/>
      </c>
      <c r="J88" s="9" t="str">
        <f>IF($B88="","",IF(OR('②-1職員名簿'!AG88="○",'②-1職員名簿'!AG88="●"),IF($E88="正規職員","正",IF($E88="契約上の就業時間を記載","","実績を入力")),"-"))</f>
        <v/>
      </c>
      <c r="K88" s="9" t="str">
        <f>IF($B88="","",IF(OR('②-1職員名簿'!AH88="○",'②-1職員名簿'!AH88="●"),IF($E88="正規職員","正",IF($E88="契約上の就業時間を記載","","実績を入力")),"-"))</f>
        <v/>
      </c>
      <c r="L88" s="9" t="str">
        <f>IF($B88="","",IF(OR('②-1職員名簿'!AI88="○",'②-1職員名簿'!AI88="●"),IF($E88="正規職員","正",IF($E88="契約上の就業時間を記載","","実績を入力")),"-"))</f>
        <v/>
      </c>
      <c r="M88" s="9" t="str">
        <f>IF($B88="","",IF(OR('②-1職員名簿'!AJ88="○",'②-1職員名簿'!AJ88="●"),IF($E88="正規職員","正",IF($E88="契約上の就業時間を記載","","実績を入力")),"-"))</f>
        <v/>
      </c>
      <c r="N88" s="9" t="str">
        <f>IF($B88="","",IF(OR('②-1職員名簿'!AK88="○",'②-1職員名簿'!AK88="●"),IF($E88="正規職員","正",IF($E88="契約上の就業時間を記載","","実績を入力")),"-"))</f>
        <v/>
      </c>
      <c r="O88" s="9" t="str">
        <f>IF($B88="","",IF(OR('②-1職員名簿'!AL88="○",'②-1職員名簿'!AL88="●"),IF($E88="正規職員","正",IF($E88="契約上の就業時間を記載","","実績を入力")),"-"))</f>
        <v/>
      </c>
      <c r="P88" s="9" t="str">
        <f>IF($B88="","",IF(OR('②-1職員名簿'!AM88="○",'②-1職員名簿'!AM88="●"),IF($E88="正規職員","正",IF($E88="契約上の就業時間を記載","","実績を入力")),"-"))</f>
        <v/>
      </c>
      <c r="Q88" s="9" t="str">
        <f>IF($B88="","",IF(OR('②-1職員名簿'!AN88="○",'②-1職員名簿'!AN88="●"),IF($E88="正規職員","正",IF($E88="契約上の就業時間を記載","","見込を入力")),"-"))</f>
        <v/>
      </c>
      <c r="R88" s="88" t="str">
        <f>IF($B88="","",IF(OR('②-1職員名簿'!AC88="○",'②-1職員名簿'!AC88="●"),IF($E88="正規職員","正",IF($E88="契約上の就業時間を記載","",IF($E88&gt;=F$5,"常",F88))),"-"))</f>
        <v/>
      </c>
      <c r="S88" s="88" t="str">
        <f>IF($B88="","",IF(OR('②-1職員名簿'!AD88="○",'②-1職員名簿'!AD88="●"),IF($E88="正規職員","正",IF($E88="契約上の就業時間を記載","",IF($E88&gt;=G$5,"常",G88))),"-"))</f>
        <v/>
      </c>
      <c r="T88" s="88" t="str">
        <f>IF($B88="","",IF(OR('②-1職員名簿'!AE88="○",'②-1職員名簿'!AE88="●"),IF($E88="正規職員","正",IF($E88="契約上の就業時間を記載","",IF($E88&gt;=H$5,"常",H88))),"-"))</f>
        <v/>
      </c>
      <c r="U88" s="88" t="str">
        <f>IF($B88="","",IF(OR('②-1職員名簿'!AF88="○",'②-1職員名簿'!AF88="●"),IF($E88="正規職員","正",IF($E88="契約上の就業時間を記載","",IF($E88&gt;=I$5,"常",I88))),"-"))</f>
        <v/>
      </c>
      <c r="V88" s="88" t="str">
        <f>IF($B88="","",IF(OR('②-1職員名簿'!AG88="○",'②-1職員名簿'!AG88="●"),IF($E88="正規職員","正",IF($E88="契約上の就業時間を記載","",IF($E88&gt;=J$5,"常",J88))),"-"))</f>
        <v/>
      </c>
      <c r="W88" s="88" t="str">
        <f>IF($B88="","",IF(OR('②-1職員名簿'!AH88="○",'②-1職員名簿'!AH88="●"),IF($E88="正規職員","正",IF($E88="契約上の就業時間を記載","",IF($E88&gt;=K$5,"常",K88))),"-"))</f>
        <v/>
      </c>
      <c r="X88" s="88" t="str">
        <f>IF($B88="","",IF(OR('②-1職員名簿'!AI88="○",'②-1職員名簿'!AI88="●"),IF($E88="正規職員","正",IF($E88="契約上の就業時間を記載","",IF($E88&gt;=L$5,"常",L88))),"-"))</f>
        <v/>
      </c>
      <c r="Y88" s="88" t="str">
        <f>IF($B88="","",IF(OR('②-1職員名簿'!AJ88="○",'②-1職員名簿'!AJ88="●"),IF($E88="正規職員","正",IF($E88="契約上の就業時間を記載","",IF($E88&gt;=M$5,"常",M88))),"-"))</f>
        <v/>
      </c>
      <c r="Z88" s="88" t="str">
        <f>IF($B88="","",IF(OR('②-1職員名簿'!AK88="○",'②-1職員名簿'!AK88="●"),IF($E88="正規職員","正",IF($E88="契約上の就業時間を記載","",IF($E88&gt;=N$5,"常",N88))),"-"))</f>
        <v/>
      </c>
      <c r="AA88" s="88" t="str">
        <f>IF($B88="","",IF(OR('②-1職員名簿'!AL88="○",'②-1職員名簿'!AL88="●"),IF($E88="正規職員","正",IF($E88="契約上の就業時間を記載","",IF($E88&gt;=O$5,"常",O88))),"-"))</f>
        <v/>
      </c>
      <c r="AB88" s="88" t="str">
        <f>IF($B88="","",IF(OR('②-1職員名簿'!AM88="○",'②-1職員名簿'!AM88="●"),IF($E88="正規職員","正",IF($E88="契約上の就業時間を記載","",IF($E88&gt;=P$5,"常",P88))),"-"))</f>
        <v/>
      </c>
      <c r="AC88" s="88" t="str">
        <f>IF($B88="","",IF(OR('②-1職員名簿'!AN88="○",'②-1職員名簿'!AN88="●"),IF($E88="正規職員","正",IF($E88="契約上の就業時間を記載","",IF($E88&gt;=Q$5,"常",Q88))),"-"))</f>
        <v/>
      </c>
      <c r="AE88" s="86" t="str">
        <f>IF('②-1職員名簿'!W88="","",'②-1職員名簿'!W88)</f>
        <v/>
      </c>
      <c r="AJ88" s="17" t="str">
        <f t="shared" si="25"/>
        <v>○</v>
      </c>
      <c r="AK88" s="17" t="str">
        <f t="shared" si="26"/>
        <v>○</v>
      </c>
      <c r="AL88" s="17" t="str">
        <f t="shared" si="27"/>
        <v>○</v>
      </c>
      <c r="AM88" s="17" t="str">
        <f t="shared" si="28"/>
        <v>○</v>
      </c>
      <c r="AN88" s="17" t="str">
        <f t="shared" si="29"/>
        <v>○</v>
      </c>
      <c r="AO88" s="17" t="str">
        <f t="shared" si="30"/>
        <v>○</v>
      </c>
      <c r="AP88" s="17" t="str">
        <f t="shared" si="31"/>
        <v>○</v>
      </c>
      <c r="AQ88" s="17" t="str">
        <f t="shared" si="32"/>
        <v>○</v>
      </c>
      <c r="AR88" s="17" t="str">
        <f t="shared" si="33"/>
        <v>○</v>
      </c>
      <c r="AS88" s="17" t="str">
        <f t="shared" si="34"/>
        <v>○</v>
      </c>
      <c r="AT88" s="17" t="str">
        <f t="shared" si="35"/>
        <v>○</v>
      </c>
      <c r="AU88" s="17" t="str">
        <f t="shared" si="36"/>
        <v>○</v>
      </c>
    </row>
    <row r="89" spans="1:47" s="90" customFormat="1" ht="23.15" customHeight="1">
      <c r="A89" s="87">
        <v>83</v>
      </c>
      <c r="B89" s="86" t="str">
        <f>IF('②-1職員名簿'!E89="","",'②-1職員名簿'!Y89)</f>
        <v/>
      </c>
      <c r="C89" s="88" t="str">
        <f>'②-1職員名簿'!BE89</f>
        <v/>
      </c>
      <c r="D89" s="117" t="str">
        <f t="shared" si="24"/>
        <v/>
      </c>
      <c r="E89" s="18" t="str">
        <f>IF($B89="","",IF(AND('②-1職員名簿'!C89="正",'②-1職員名簿'!D89="常"),"正規職員","契約上の就業時間を記載"))</f>
        <v/>
      </c>
      <c r="F89" s="9" t="str">
        <f>IF($B89="","",IF(OR('②-1職員名簿'!AC89="○",'②-1職員名簿'!AC89="●"),IF($E89="正規職員","正",IF($E89="契約上の就業時間を記載","","見込を入力")),"-"))</f>
        <v/>
      </c>
      <c r="G89" s="9" t="str">
        <f>IF($B89="","",IF(OR('②-1職員名簿'!AD89="○",'②-1職員名簿'!AD89="●"),IF($E89="正規職員","正",IF($E89="契約上の就業時間を記載","","実績を入力")),"-"))</f>
        <v/>
      </c>
      <c r="H89" s="9" t="str">
        <f>IF($B89="","",IF(OR('②-1職員名簿'!AE89="○",'②-1職員名簿'!AE89="●"),IF($E89="正規職員","正",IF($E89="契約上の就業時間を記載","","実績を入力")),"-"))</f>
        <v/>
      </c>
      <c r="I89" s="9" t="str">
        <f>IF($B89="","",IF(OR('②-1職員名簿'!AF89="○",'②-1職員名簿'!AF89="●"),IF($E89="正規職員","正",IF($E89="契約上の就業時間を記載","","実績を入力")),"-"))</f>
        <v/>
      </c>
      <c r="J89" s="9" t="str">
        <f>IF($B89="","",IF(OR('②-1職員名簿'!AG89="○",'②-1職員名簿'!AG89="●"),IF($E89="正規職員","正",IF($E89="契約上の就業時間を記載","","実績を入力")),"-"))</f>
        <v/>
      </c>
      <c r="K89" s="9" t="str">
        <f>IF($B89="","",IF(OR('②-1職員名簿'!AH89="○",'②-1職員名簿'!AH89="●"),IF($E89="正規職員","正",IF($E89="契約上の就業時間を記載","","実績を入力")),"-"))</f>
        <v/>
      </c>
      <c r="L89" s="9" t="str">
        <f>IF($B89="","",IF(OR('②-1職員名簿'!AI89="○",'②-1職員名簿'!AI89="●"),IF($E89="正規職員","正",IF($E89="契約上の就業時間を記載","","実績を入力")),"-"))</f>
        <v/>
      </c>
      <c r="M89" s="9" t="str">
        <f>IF($B89="","",IF(OR('②-1職員名簿'!AJ89="○",'②-1職員名簿'!AJ89="●"),IF($E89="正規職員","正",IF($E89="契約上の就業時間を記載","","実績を入力")),"-"))</f>
        <v/>
      </c>
      <c r="N89" s="9" t="str">
        <f>IF($B89="","",IF(OR('②-1職員名簿'!AK89="○",'②-1職員名簿'!AK89="●"),IF($E89="正規職員","正",IF($E89="契約上の就業時間を記載","","実績を入力")),"-"))</f>
        <v/>
      </c>
      <c r="O89" s="9" t="str">
        <f>IF($B89="","",IF(OR('②-1職員名簿'!AL89="○",'②-1職員名簿'!AL89="●"),IF($E89="正規職員","正",IF($E89="契約上の就業時間を記載","","実績を入力")),"-"))</f>
        <v/>
      </c>
      <c r="P89" s="9" t="str">
        <f>IF($B89="","",IF(OR('②-1職員名簿'!AM89="○",'②-1職員名簿'!AM89="●"),IF($E89="正規職員","正",IF($E89="契約上の就業時間を記載","","実績を入力")),"-"))</f>
        <v/>
      </c>
      <c r="Q89" s="9" t="str">
        <f>IF($B89="","",IF(OR('②-1職員名簿'!AN89="○",'②-1職員名簿'!AN89="●"),IF($E89="正規職員","正",IF($E89="契約上の就業時間を記載","","見込を入力")),"-"))</f>
        <v/>
      </c>
      <c r="R89" s="88" t="str">
        <f>IF($B89="","",IF(OR('②-1職員名簿'!AC89="○",'②-1職員名簿'!AC89="●"),IF($E89="正規職員","正",IF($E89="契約上の就業時間を記載","",IF($E89&gt;=F$5,"常",F89))),"-"))</f>
        <v/>
      </c>
      <c r="S89" s="88" t="str">
        <f>IF($B89="","",IF(OR('②-1職員名簿'!AD89="○",'②-1職員名簿'!AD89="●"),IF($E89="正規職員","正",IF($E89="契約上の就業時間を記載","",IF($E89&gt;=G$5,"常",G89))),"-"))</f>
        <v/>
      </c>
      <c r="T89" s="88" t="str">
        <f>IF($B89="","",IF(OR('②-1職員名簿'!AE89="○",'②-1職員名簿'!AE89="●"),IF($E89="正規職員","正",IF($E89="契約上の就業時間を記載","",IF($E89&gt;=H$5,"常",H89))),"-"))</f>
        <v/>
      </c>
      <c r="U89" s="88" t="str">
        <f>IF($B89="","",IF(OR('②-1職員名簿'!AF89="○",'②-1職員名簿'!AF89="●"),IF($E89="正規職員","正",IF($E89="契約上の就業時間を記載","",IF($E89&gt;=I$5,"常",I89))),"-"))</f>
        <v/>
      </c>
      <c r="V89" s="88" t="str">
        <f>IF($B89="","",IF(OR('②-1職員名簿'!AG89="○",'②-1職員名簿'!AG89="●"),IF($E89="正規職員","正",IF($E89="契約上の就業時間を記載","",IF($E89&gt;=J$5,"常",J89))),"-"))</f>
        <v/>
      </c>
      <c r="W89" s="88" t="str">
        <f>IF($B89="","",IF(OR('②-1職員名簿'!AH89="○",'②-1職員名簿'!AH89="●"),IF($E89="正規職員","正",IF($E89="契約上の就業時間を記載","",IF($E89&gt;=K$5,"常",K89))),"-"))</f>
        <v/>
      </c>
      <c r="X89" s="88" t="str">
        <f>IF($B89="","",IF(OR('②-1職員名簿'!AI89="○",'②-1職員名簿'!AI89="●"),IF($E89="正規職員","正",IF($E89="契約上の就業時間を記載","",IF($E89&gt;=L$5,"常",L89))),"-"))</f>
        <v/>
      </c>
      <c r="Y89" s="88" t="str">
        <f>IF($B89="","",IF(OR('②-1職員名簿'!AJ89="○",'②-1職員名簿'!AJ89="●"),IF($E89="正規職員","正",IF($E89="契約上の就業時間を記載","",IF($E89&gt;=M$5,"常",M89))),"-"))</f>
        <v/>
      </c>
      <c r="Z89" s="88" t="str">
        <f>IF($B89="","",IF(OR('②-1職員名簿'!AK89="○",'②-1職員名簿'!AK89="●"),IF($E89="正規職員","正",IF($E89="契約上の就業時間を記載","",IF($E89&gt;=N$5,"常",N89))),"-"))</f>
        <v/>
      </c>
      <c r="AA89" s="88" t="str">
        <f>IF($B89="","",IF(OR('②-1職員名簿'!AL89="○",'②-1職員名簿'!AL89="●"),IF($E89="正規職員","正",IF($E89="契約上の就業時間を記載","",IF($E89&gt;=O$5,"常",O89))),"-"))</f>
        <v/>
      </c>
      <c r="AB89" s="88" t="str">
        <f>IF($B89="","",IF(OR('②-1職員名簿'!AM89="○",'②-1職員名簿'!AM89="●"),IF($E89="正規職員","正",IF($E89="契約上の就業時間を記載","",IF($E89&gt;=P$5,"常",P89))),"-"))</f>
        <v/>
      </c>
      <c r="AC89" s="88" t="str">
        <f>IF($B89="","",IF(OR('②-1職員名簿'!AN89="○",'②-1職員名簿'!AN89="●"),IF($E89="正規職員","正",IF($E89="契約上の就業時間を記載","",IF($E89&gt;=Q$5,"常",Q89))),"-"))</f>
        <v/>
      </c>
      <c r="AE89" s="86" t="str">
        <f>IF('②-1職員名簿'!W89="","",'②-1職員名簿'!W89)</f>
        <v/>
      </c>
      <c r="AJ89" s="17" t="str">
        <f t="shared" si="25"/>
        <v>○</v>
      </c>
      <c r="AK89" s="17" t="str">
        <f t="shared" si="26"/>
        <v>○</v>
      </c>
      <c r="AL89" s="17" t="str">
        <f t="shared" si="27"/>
        <v>○</v>
      </c>
      <c r="AM89" s="17" t="str">
        <f t="shared" si="28"/>
        <v>○</v>
      </c>
      <c r="AN89" s="17" t="str">
        <f t="shared" si="29"/>
        <v>○</v>
      </c>
      <c r="AO89" s="17" t="str">
        <f t="shared" si="30"/>
        <v>○</v>
      </c>
      <c r="AP89" s="17" t="str">
        <f t="shared" si="31"/>
        <v>○</v>
      </c>
      <c r="AQ89" s="17" t="str">
        <f t="shared" si="32"/>
        <v>○</v>
      </c>
      <c r="AR89" s="17" t="str">
        <f t="shared" si="33"/>
        <v>○</v>
      </c>
      <c r="AS89" s="17" t="str">
        <f t="shared" si="34"/>
        <v>○</v>
      </c>
      <c r="AT89" s="17" t="str">
        <f t="shared" si="35"/>
        <v>○</v>
      </c>
      <c r="AU89" s="17" t="str">
        <f t="shared" si="36"/>
        <v>○</v>
      </c>
    </row>
    <row r="90" spans="1:47" s="90" customFormat="1" ht="23.15" customHeight="1">
      <c r="A90" s="87">
        <v>84</v>
      </c>
      <c r="B90" s="86" t="str">
        <f>IF('②-1職員名簿'!E90="","",'②-1職員名簿'!Y90)</f>
        <v/>
      </c>
      <c r="C90" s="88" t="str">
        <f>'②-1職員名簿'!BE90</f>
        <v/>
      </c>
      <c r="D90" s="117" t="str">
        <f t="shared" si="24"/>
        <v/>
      </c>
      <c r="E90" s="18" t="str">
        <f>IF($B90="","",IF(AND('②-1職員名簿'!C90="正",'②-1職員名簿'!D90="常"),"正規職員","契約上の就業時間を記載"))</f>
        <v/>
      </c>
      <c r="F90" s="9" t="str">
        <f>IF($B90="","",IF(OR('②-1職員名簿'!AC90="○",'②-1職員名簿'!AC90="●"),IF($E90="正規職員","正",IF($E90="契約上の就業時間を記載","","見込を入力")),"-"))</f>
        <v/>
      </c>
      <c r="G90" s="9" t="str">
        <f>IF($B90="","",IF(OR('②-1職員名簿'!AD90="○",'②-1職員名簿'!AD90="●"),IF($E90="正規職員","正",IF($E90="契約上の就業時間を記載","","実績を入力")),"-"))</f>
        <v/>
      </c>
      <c r="H90" s="9" t="str">
        <f>IF($B90="","",IF(OR('②-1職員名簿'!AE90="○",'②-1職員名簿'!AE90="●"),IF($E90="正規職員","正",IF($E90="契約上の就業時間を記載","","実績を入力")),"-"))</f>
        <v/>
      </c>
      <c r="I90" s="9" t="str">
        <f>IF($B90="","",IF(OR('②-1職員名簿'!AF90="○",'②-1職員名簿'!AF90="●"),IF($E90="正規職員","正",IF($E90="契約上の就業時間を記載","","実績を入力")),"-"))</f>
        <v/>
      </c>
      <c r="J90" s="9" t="str">
        <f>IF($B90="","",IF(OR('②-1職員名簿'!AG90="○",'②-1職員名簿'!AG90="●"),IF($E90="正規職員","正",IF($E90="契約上の就業時間を記載","","実績を入力")),"-"))</f>
        <v/>
      </c>
      <c r="K90" s="9" t="str">
        <f>IF($B90="","",IF(OR('②-1職員名簿'!AH90="○",'②-1職員名簿'!AH90="●"),IF($E90="正規職員","正",IF($E90="契約上の就業時間を記載","","実績を入力")),"-"))</f>
        <v/>
      </c>
      <c r="L90" s="9" t="str">
        <f>IF($B90="","",IF(OR('②-1職員名簿'!AI90="○",'②-1職員名簿'!AI90="●"),IF($E90="正規職員","正",IF($E90="契約上の就業時間を記載","","実績を入力")),"-"))</f>
        <v/>
      </c>
      <c r="M90" s="9" t="str">
        <f>IF($B90="","",IF(OR('②-1職員名簿'!AJ90="○",'②-1職員名簿'!AJ90="●"),IF($E90="正規職員","正",IF($E90="契約上の就業時間を記載","","実績を入力")),"-"))</f>
        <v/>
      </c>
      <c r="N90" s="9" t="str">
        <f>IF($B90="","",IF(OR('②-1職員名簿'!AK90="○",'②-1職員名簿'!AK90="●"),IF($E90="正規職員","正",IF($E90="契約上の就業時間を記載","","実績を入力")),"-"))</f>
        <v/>
      </c>
      <c r="O90" s="9" t="str">
        <f>IF($B90="","",IF(OR('②-1職員名簿'!AL90="○",'②-1職員名簿'!AL90="●"),IF($E90="正規職員","正",IF($E90="契約上の就業時間を記載","","実績を入力")),"-"))</f>
        <v/>
      </c>
      <c r="P90" s="9" t="str">
        <f>IF($B90="","",IF(OR('②-1職員名簿'!AM90="○",'②-1職員名簿'!AM90="●"),IF($E90="正規職員","正",IF($E90="契約上の就業時間を記載","","実績を入力")),"-"))</f>
        <v/>
      </c>
      <c r="Q90" s="9" t="str">
        <f>IF($B90="","",IF(OR('②-1職員名簿'!AN90="○",'②-1職員名簿'!AN90="●"),IF($E90="正規職員","正",IF($E90="契約上の就業時間を記載","","見込を入力")),"-"))</f>
        <v/>
      </c>
      <c r="R90" s="88" t="str">
        <f>IF($B90="","",IF(OR('②-1職員名簿'!AC90="○",'②-1職員名簿'!AC90="●"),IF($E90="正規職員","正",IF($E90="契約上の就業時間を記載","",IF($E90&gt;=F$5,"常",F90))),"-"))</f>
        <v/>
      </c>
      <c r="S90" s="88" t="str">
        <f>IF($B90="","",IF(OR('②-1職員名簿'!AD90="○",'②-1職員名簿'!AD90="●"),IF($E90="正規職員","正",IF($E90="契約上の就業時間を記載","",IF($E90&gt;=G$5,"常",G90))),"-"))</f>
        <v/>
      </c>
      <c r="T90" s="88" t="str">
        <f>IF($B90="","",IF(OR('②-1職員名簿'!AE90="○",'②-1職員名簿'!AE90="●"),IF($E90="正規職員","正",IF($E90="契約上の就業時間を記載","",IF($E90&gt;=H$5,"常",H90))),"-"))</f>
        <v/>
      </c>
      <c r="U90" s="88" t="str">
        <f>IF($B90="","",IF(OR('②-1職員名簿'!AF90="○",'②-1職員名簿'!AF90="●"),IF($E90="正規職員","正",IF($E90="契約上の就業時間を記載","",IF($E90&gt;=I$5,"常",I90))),"-"))</f>
        <v/>
      </c>
      <c r="V90" s="88" t="str">
        <f>IF($B90="","",IF(OR('②-1職員名簿'!AG90="○",'②-1職員名簿'!AG90="●"),IF($E90="正規職員","正",IF($E90="契約上の就業時間を記載","",IF($E90&gt;=J$5,"常",J90))),"-"))</f>
        <v/>
      </c>
      <c r="W90" s="88" t="str">
        <f>IF($B90="","",IF(OR('②-1職員名簿'!AH90="○",'②-1職員名簿'!AH90="●"),IF($E90="正規職員","正",IF($E90="契約上の就業時間を記載","",IF($E90&gt;=K$5,"常",K90))),"-"))</f>
        <v/>
      </c>
      <c r="X90" s="88" t="str">
        <f>IF($B90="","",IF(OR('②-1職員名簿'!AI90="○",'②-1職員名簿'!AI90="●"),IF($E90="正規職員","正",IF($E90="契約上の就業時間を記載","",IF($E90&gt;=L$5,"常",L90))),"-"))</f>
        <v/>
      </c>
      <c r="Y90" s="88" t="str">
        <f>IF($B90="","",IF(OR('②-1職員名簿'!AJ90="○",'②-1職員名簿'!AJ90="●"),IF($E90="正規職員","正",IF($E90="契約上の就業時間を記載","",IF($E90&gt;=M$5,"常",M90))),"-"))</f>
        <v/>
      </c>
      <c r="Z90" s="88" t="str">
        <f>IF($B90="","",IF(OR('②-1職員名簿'!AK90="○",'②-1職員名簿'!AK90="●"),IF($E90="正規職員","正",IF($E90="契約上の就業時間を記載","",IF($E90&gt;=N$5,"常",N90))),"-"))</f>
        <v/>
      </c>
      <c r="AA90" s="88" t="str">
        <f>IF($B90="","",IF(OR('②-1職員名簿'!AL90="○",'②-1職員名簿'!AL90="●"),IF($E90="正規職員","正",IF($E90="契約上の就業時間を記載","",IF($E90&gt;=O$5,"常",O90))),"-"))</f>
        <v/>
      </c>
      <c r="AB90" s="88" t="str">
        <f>IF($B90="","",IF(OR('②-1職員名簿'!AM90="○",'②-1職員名簿'!AM90="●"),IF($E90="正規職員","正",IF($E90="契約上の就業時間を記載","",IF($E90&gt;=P$5,"常",P90))),"-"))</f>
        <v/>
      </c>
      <c r="AC90" s="88" t="str">
        <f>IF($B90="","",IF(OR('②-1職員名簿'!AN90="○",'②-1職員名簿'!AN90="●"),IF($E90="正規職員","正",IF($E90="契約上の就業時間を記載","",IF($E90&gt;=Q$5,"常",Q90))),"-"))</f>
        <v/>
      </c>
      <c r="AE90" s="86" t="str">
        <f>IF('②-1職員名簿'!W90="","",'②-1職員名簿'!W90)</f>
        <v/>
      </c>
      <c r="AJ90" s="17" t="str">
        <f t="shared" si="25"/>
        <v>○</v>
      </c>
      <c r="AK90" s="17" t="str">
        <f t="shared" si="26"/>
        <v>○</v>
      </c>
      <c r="AL90" s="17" t="str">
        <f t="shared" si="27"/>
        <v>○</v>
      </c>
      <c r="AM90" s="17" t="str">
        <f t="shared" si="28"/>
        <v>○</v>
      </c>
      <c r="AN90" s="17" t="str">
        <f t="shared" si="29"/>
        <v>○</v>
      </c>
      <c r="AO90" s="17" t="str">
        <f t="shared" si="30"/>
        <v>○</v>
      </c>
      <c r="AP90" s="17" t="str">
        <f t="shared" si="31"/>
        <v>○</v>
      </c>
      <c r="AQ90" s="17" t="str">
        <f t="shared" si="32"/>
        <v>○</v>
      </c>
      <c r="AR90" s="17" t="str">
        <f t="shared" si="33"/>
        <v>○</v>
      </c>
      <c r="AS90" s="17" t="str">
        <f t="shared" si="34"/>
        <v>○</v>
      </c>
      <c r="AT90" s="17" t="str">
        <f t="shared" si="35"/>
        <v>○</v>
      </c>
      <c r="AU90" s="17" t="str">
        <f t="shared" si="36"/>
        <v>○</v>
      </c>
    </row>
    <row r="91" spans="1:47" s="90" customFormat="1" ht="23.15" customHeight="1">
      <c r="A91" s="87">
        <v>85</v>
      </c>
      <c r="B91" s="86" t="str">
        <f>IF('②-1職員名簿'!E91="","",'②-1職員名簿'!Y91)</f>
        <v/>
      </c>
      <c r="C91" s="88" t="str">
        <f>'②-1職員名簿'!BE91</f>
        <v/>
      </c>
      <c r="D91" s="117" t="str">
        <f t="shared" si="24"/>
        <v/>
      </c>
      <c r="E91" s="18" t="str">
        <f>IF($B91="","",IF(AND('②-1職員名簿'!C91="正",'②-1職員名簿'!D91="常"),"正規職員","契約上の就業時間を記載"))</f>
        <v/>
      </c>
      <c r="F91" s="9" t="str">
        <f>IF($B91="","",IF(OR('②-1職員名簿'!AC91="○",'②-1職員名簿'!AC91="●"),IF($E91="正規職員","正",IF($E91="契約上の就業時間を記載","","見込を入力")),"-"))</f>
        <v/>
      </c>
      <c r="G91" s="9" t="str">
        <f>IF($B91="","",IF(OR('②-1職員名簿'!AD91="○",'②-1職員名簿'!AD91="●"),IF($E91="正規職員","正",IF($E91="契約上の就業時間を記載","","実績を入力")),"-"))</f>
        <v/>
      </c>
      <c r="H91" s="9" t="str">
        <f>IF($B91="","",IF(OR('②-1職員名簿'!AE91="○",'②-1職員名簿'!AE91="●"),IF($E91="正規職員","正",IF($E91="契約上の就業時間を記載","","実績を入力")),"-"))</f>
        <v/>
      </c>
      <c r="I91" s="9" t="str">
        <f>IF($B91="","",IF(OR('②-1職員名簿'!AF91="○",'②-1職員名簿'!AF91="●"),IF($E91="正規職員","正",IF($E91="契約上の就業時間を記載","","実績を入力")),"-"))</f>
        <v/>
      </c>
      <c r="J91" s="9" t="str">
        <f>IF($B91="","",IF(OR('②-1職員名簿'!AG91="○",'②-1職員名簿'!AG91="●"),IF($E91="正規職員","正",IF($E91="契約上の就業時間を記載","","実績を入力")),"-"))</f>
        <v/>
      </c>
      <c r="K91" s="9" t="str">
        <f>IF($B91="","",IF(OR('②-1職員名簿'!AH91="○",'②-1職員名簿'!AH91="●"),IF($E91="正規職員","正",IF($E91="契約上の就業時間を記載","","実績を入力")),"-"))</f>
        <v/>
      </c>
      <c r="L91" s="9" t="str">
        <f>IF($B91="","",IF(OR('②-1職員名簿'!AI91="○",'②-1職員名簿'!AI91="●"),IF($E91="正規職員","正",IF($E91="契約上の就業時間を記載","","実績を入力")),"-"))</f>
        <v/>
      </c>
      <c r="M91" s="9" t="str">
        <f>IF($B91="","",IF(OR('②-1職員名簿'!AJ91="○",'②-1職員名簿'!AJ91="●"),IF($E91="正規職員","正",IF($E91="契約上の就業時間を記載","","実績を入力")),"-"))</f>
        <v/>
      </c>
      <c r="N91" s="9" t="str">
        <f>IF($B91="","",IF(OR('②-1職員名簿'!AK91="○",'②-1職員名簿'!AK91="●"),IF($E91="正規職員","正",IF($E91="契約上の就業時間を記載","","実績を入力")),"-"))</f>
        <v/>
      </c>
      <c r="O91" s="9" t="str">
        <f>IF($B91="","",IF(OR('②-1職員名簿'!AL91="○",'②-1職員名簿'!AL91="●"),IF($E91="正規職員","正",IF($E91="契約上の就業時間を記載","","実績を入力")),"-"))</f>
        <v/>
      </c>
      <c r="P91" s="9" t="str">
        <f>IF($B91="","",IF(OR('②-1職員名簿'!AM91="○",'②-1職員名簿'!AM91="●"),IF($E91="正規職員","正",IF($E91="契約上の就業時間を記載","","実績を入力")),"-"))</f>
        <v/>
      </c>
      <c r="Q91" s="9" t="str">
        <f>IF($B91="","",IF(OR('②-1職員名簿'!AN91="○",'②-1職員名簿'!AN91="●"),IF($E91="正規職員","正",IF($E91="契約上の就業時間を記載","","見込を入力")),"-"))</f>
        <v/>
      </c>
      <c r="R91" s="88" t="str">
        <f>IF($B91="","",IF(OR('②-1職員名簿'!AC91="○",'②-1職員名簿'!AC91="●"),IF($E91="正規職員","正",IF($E91="契約上の就業時間を記載","",IF($E91&gt;=F$5,"常",F91))),"-"))</f>
        <v/>
      </c>
      <c r="S91" s="88" t="str">
        <f>IF($B91="","",IF(OR('②-1職員名簿'!AD91="○",'②-1職員名簿'!AD91="●"),IF($E91="正規職員","正",IF($E91="契約上の就業時間を記載","",IF($E91&gt;=G$5,"常",G91))),"-"))</f>
        <v/>
      </c>
      <c r="T91" s="88" t="str">
        <f>IF($B91="","",IF(OR('②-1職員名簿'!AE91="○",'②-1職員名簿'!AE91="●"),IF($E91="正規職員","正",IF($E91="契約上の就業時間を記載","",IF($E91&gt;=H$5,"常",H91))),"-"))</f>
        <v/>
      </c>
      <c r="U91" s="88" t="str">
        <f>IF($B91="","",IF(OR('②-1職員名簿'!AF91="○",'②-1職員名簿'!AF91="●"),IF($E91="正規職員","正",IF($E91="契約上の就業時間を記載","",IF($E91&gt;=I$5,"常",I91))),"-"))</f>
        <v/>
      </c>
      <c r="V91" s="88" t="str">
        <f>IF($B91="","",IF(OR('②-1職員名簿'!AG91="○",'②-1職員名簿'!AG91="●"),IF($E91="正規職員","正",IF($E91="契約上の就業時間を記載","",IF($E91&gt;=J$5,"常",J91))),"-"))</f>
        <v/>
      </c>
      <c r="W91" s="88" t="str">
        <f>IF($B91="","",IF(OR('②-1職員名簿'!AH91="○",'②-1職員名簿'!AH91="●"),IF($E91="正規職員","正",IF($E91="契約上の就業時間を記載","",IF($E91&gt;=K$5,"常",K91))),"-"))</f>
        <v/>
      </c>
      <c r="X91" s="88" t="str">
        <f>IF($B91="","",IF(OR('②-1職員名簿'!AI91="○",'②-1職員名簿'!AI91="●"),IF($E91="正規職員","正",IF($E91="契約上の就業時間を記載","",IF($E91&gt;=L$5,"常",L91))),"-"))</f>
        <v/>
      </c>
      <c r="Y91" s="88" t="str">
        <f>IF($B91="","",IF(OR('②-1職員名簿'!AJ91="○",'②-1職員名簿'!AJ91="●"),IF($E91="正規職員","正",IF($E91="契約上の就業時間を記載","",IF($E91&gt;=M$5,"常",M91))),"-"))</f>
        <v/>
      </c>
      <c r="Z91" s="88" t="str">
        <f>IF($B91="","",IF(OR('②-1職員名簿'!AK91="○",'②-1職員名簿'!AK91="●"),IF($E91="正規職員","正",IF($E91="契約上の就業時間を記載","",IF($E91&gt;=N$5,"常",N91))),"-"))</f>
        <v/>
      </c>
      <c r="AA91" s="88" t="str">
        <f>IF($B91="","",IF(OR('②-1職員名簿'!AL91="○",'②-1職員名簿'!AL91="●"),IF($E91="正規職員","正",IF($E91="契約上の就業時間を記載","",IF($E91&gt;=O$5,"常",O91))),"-"))</f>
        <v/>
      </c>
      <c r="AB91" s="88" t="str">
        <f>IF($B91="","",IF(OR('②-1職員名簿'!AM91="○",'②-1職員名簿'!AM91="●"),IF($E91="正規職員","正",IF($E91="契約上の就業時間を記載","",IF($E91&gt;=P$5,"常",P91))),"-"))</f>
        <v/>
      </c>
      <c r="AC91" s="88" t="str">
        <f>IF($B91="","",IF(OR('②-1職員名簿'!AN91="○",'②-1職員名簿'!AN91="●"),IF($E91="正規職員","正",IF($E91="契約上の就業時間を記載","",IF($E91&gt;=Q$5,"常",Q91))),"-"))</f>
        <v/>
      </c>
      <c r="AE91" s="86" t="str">
        <f>IF('②-1職員名簿'!W91="","",'②-1職員名簿'!W91)</f>
        <v/>
      </c>
      <c r="AJ91" s="17" t="str">
        <f t="shared" si="25"/>
        <v>○</v>
      </c>
      <c r="AK91" s="17" t="str">
        <f t="shared" si="26"/>
        <v>○</v>
      </c>
      <c r="AL91" s="17" t="str">
        <f t="shared" si="27"/>
        <v>○</v>
      </c>
      <c r="AM91" s="17" t="str">
        <f t="shared" si="28"/>
        <v>○</v>
      </c>
      <c r="AN91" s="17" t="str">
        <f t="shared" si="29"/>
        <v>○</v>
      </c>
      <c r="AO91" s="17" t="str">
        <f t="shared" si="30"/>
        <v>○</v>
      </c>
      <c r="AP91" s="17" t="str">
        <f t="shared" si="31"/>
        <v>○</v>
      </c>
      <c r="AQ91" s="17" t="str">
        <f t="shared" si="32"/>
        <v>○</v>
      </c>
      <c r="AR91" s="17" t="str">
        <f t="shared" si="33"/>
        <v>○</v>
      </c>
      <c r="AS91" s="17" t="str">
        <f t="shared" si="34"/>
        <v>○</v>
      </c>
      <c r="AT91" s="17" t="str">
        <f t="shared" si="35"/>
        <v>○</v>
      </c>
      <c r="AU91" s="17" t="str">
        <f t="shared" si="36"/>
        <v>○</v>
      </c>
    </row>
    <row r="92" spans="1:47" s="90" customFormat="1" ht="23.15" customHeight="1">
      <c r="A92" s="87">
        <v>86</v>
      </c>
      <c r="B92" s="86" t="str">
        <f>IF('②-1職員名簿'!E92="","",'②-1職員名簿'!Y92)</f>
        <v/>
      </c>
      <c r="C92" s="88" t="str">
        <f>'②-1職員名簿'!BE92</f>
        <v/>
      </c>
      <c r="D92" s="117" t="str">
        <f t="shared" si="24"/>
        <v/>
      </c>
      <c r="E92" s="18" t="str">
        <f>IF($B92="","",IF(AND('②-1職員名簿'!C92="正",'②-1職員名簿'!D92="常"),"正規職員","契約上の就業時間を記載"))</f>
        <v/>
      </c>
      <c r="F92" s="9" t="str">
        <f>IF($B92="","",IF(OR('②-1職員名簿'!AC92="○",'②-1職員名簿'!AC92="●"),IF($E92="正規職員","正",IF($E92="契約上の就業時間を記載","","見込を入力")),"-"))</f>
        <v/>
      </c>
      <c r="G92" s="9" t="str">
        <f>IF($B92="","",IF(OR('②-1職員名簿'!AD92="○",'②-1職員名簿'!AD92="●"),IF($E92="正規職員","正",IF($E92="契約上の就業時間を記載","","実績を入力")),"-"))</f>
        <v/>
      </c>
      <c r="H92" s="9" t="str">
        <f>IF($B92="","",IF(OR('②-1職員名簿'!AE92="○",'②-1職員名簿'!AE92="●"),IF($E92="正規職員","正",IF($E92="契約上の就業時間を記載","","実績を入力")),"-"))</f>
        <v/>
      </c>
      <c r="I92" s="9" t="str">
        <f>IF($B92="","",IF(OR('②-1職員名簿'!AF92="○",'②-1職員名簿'!AF92="●"),IF($E92="正規職員","正",IF($E92="契約上の就業時間を記載","","実績を入力")),"-"))</f>
        <v/>
      </c>
      <c r="J92" s="9" t="str">
        <f>IF($B92="","",IF(OR('②-1職員名簿'!AG92="○",'②-1職員名簿'!AG92="●"),IF($E92="正規職員","正",IF($E92="契約上の就業時間を記載","","実績を入力")),"-"))</f>
        <v/>
      </c>
      <c r="K92" s="9" t="str">
        <f>IF($B92="","",IF(OR('②-1職員名簿'!AH92="○",'②-1職員名簿'!AH92="●"),IF($E92="正規職員","正",IF($E92="契約上の就業時間を記載","","実績を入力")),"-"))</f>
        <v/>
      </c>
      <c r="L92" s="9" t="str">
        <f>IF($B92="","",IF(OR('②-1職員名簿'!AI92="○",'②-1職員名簿'!AI92="●"),IF($E92="正規職員","正",IF($E92="契約上の就業時間を記載","","実績を入力")),"-"))</f>
        <v/>
      </c>
      <c r="M92" s="9" t="str">
        <f>IF($B92="","",IF(OR('②-1職員名簿'!AJ92="○",'②-1職員名簿'!AJ92="●"),IF($E92="正規職員","正",IF($E92="契約上の就業時間を記載","","実績を入力")),"-"))</f>
        <v/>
      </c>
      <c r="N92" s="9" t="str">
        <f>IF($B92="","",IF(OR('②-1職員名簿'!AK92="○",'②-1職員名簿'!AK92="●"),IF($E92="正規職員","正",IF($E92="契約上の就業時間を記載","","実績を入力")),"-"))</f>
        <v/>
      </c>
      <c r="O92" s="9" t="str">
        <f>IF($B92="","",IF(OR('②-1職員名簿'!AL92="○",'②-1職員名簿'!AL92="●"),IF($E92="正規職員","正",IF($E92="契約上の就業時間を記載","","実績を入力")),"-"))</f>
        <v/>
      </c>
      <c r="P92" s="9" t="str">
        <f>IF($B92="","",IF(OR('②-1職員名簿'!AM92="○",'②-1職員名簿'!AM92="●"),IF($E92="正規職員","正",IF($E92="契約上の就業時間を記載","","実績を入力")),"-"))</f>
        <v/>
      </c>
      <c r="Q92" s="9" t="str">
        <f>IF($B92="","",IF(OR('②-1職員名簿'!AN92="○",'②-1職員名簿'!AN92="●"),IF($E92="正規職員","正",IF($E92="契約上の就業時間を記載","","見込を入力")),"-"))</f>
        <v/>
      </c>
      <c r="R92" s="88" t="str">
        <f>IF($B92="","",IF(OR('②-1職員名簿'!AC92="○",'②-1職員名簿'!AC92="●"),IF($E92="正規職員","正",IF($E92="契約上の就業時間を記載","",IF($E92&gt;=F$5,"常",F92))),"-"))</f>
        <v/>
      </c>
      <c r="S92" s="88" t="str">
        <f>IF($B92="","",IF(OR('②-1職員名簿'!AD92="○",'②-1職員名簿'!AD92="●"),IF($E92="正規職員","正",IF($E92="契約上の就業時間を記載","",IF($E92&gt;=G$5,"常",G92))),"-"))</f>
        <v/>
      </c>
      <c r="T92" s="88" t="str">
        <f>IF($B92="","",IF(OR('②-1職員名簿'!AE92="○",'②-1職員名簿'!AE92="●"),IF($E92="正規職員","正",IF($E92="契約上の就業時間を記載","",IF($E92&gt;=H$5,"常",H92))),"-"))</f>
        <v/>
      </c>
      <c r="U92" s="88" t="str">
        <f>IF($B92="","",IF(OR('②-1職員名簿'!AF92="○",'②-1職員名簿'!AF92="●"),IF($E92="正規職員","正",IF($E92="契約上の就業時間を記載","",IF($E92&gt;=I$5,"常",I92))),"-"))</f>
        <v/>
      </c>
      <c r="V92" s="88" t="str">
        <f>IF($B92="","",IF(OR('②-1職員名簿'!AG92="○",'②-1職員名簿'!AG92="●"),IF($E92="正規職員","正",IF($E92="契約上の就業時間を記載","",IF($E92&gt;=J$5,"常",J92))),"-"))</f>
        <v/>
      </c>
      <c r="W92" s="88" t="str">
        <f>IF($B92="","",IF(OR('②-1職員名簿'!AH92="○",'②-1職員名簿'!AH92="●"),IF($E92="正規職員","正",IF($E92="契約上の就業時間を記載","",IF($E92&gt;=K$5,"常",K92))),"-"))</f>
        <v/>
      </c>
      <c r="X92" s="88" t="str">
        <f>IF($B92="","",IF(OR('②-1職員名簿'!AI92="○",'②-1職員名簿'!AI92="●"),IF($E92="正規職員","正",IF($E92="契約上の就業時間を記載","",IF($E92&gt;=L$5,"常",L92))),"-"))</f>
        <v/>
      </c>
      <c r="Y92" s="88" t="str">
        <f>IF($B92="","",IF(OR('②-1職員名簿'!AJ92="○",'②-1職員名簿'!AJ92="●"),IF($E92="正規職員","正",IF($E92="契約上の就業時間を記載","",IF($E92&gt;=M$5,"常",M92))),"-"))</f>
        <v/>
      </c>
      <c r="Z92" s="88" t="str">
        <f>IF($B92="","",IF(OR('②-1職員名簿'!AK92="○",'②-1職員名簿'!AK92="●"),IF($E92="正規職員","正",IF($E92="契約上の就業時間を記載","",IF($E92&gt;=N$5,"常",N92))),"-"))</f>
        <v/>
      </c>
      <c r="AA92" s="88" t="str">
        <f>IF($B92="","",IF(OR('②-1職員名簿'!AL92="○",'②-1職員名簿'!AL92="●"),IF($E92="正規職員","正",IF($E92="契約上の就業時間を記載","",IF($E92&gt;=O$5,"常",O92))),"-"))</f>
        <v/>
      </c>
      <c r="AB92" s="88" t="str">
        <f>IF($B92="","",IF(OR('②-1職員名簿'!AM92="○",'②-1職員名簿'!AM92="●"),IF($E92="正規職員","正",IF($E92="契約上の就業時間を記載","",IF($E92&gt;=P$5,"常",P92))),"-"))</f>
        <v/>
      </c>
      <c r="AC92" s="88" t="str">
        <f>IF($B92="","",IF(OR('②-1職員名簿'!AN92="○",'②-1職員名簿'!AN92="●"),IF($E92="正規職員","正",IF($E92="契約上の就業時間を記載","",IF($E92&gt;=Q$5,"常",Q92))),"-"))</f>
        <v/>
      </c>
      <c r="AE92" s="86" t="str">
        <f>IF('②-1職員名簿'!W92="","",'②-1職員名簿'!W92)</f>
        <v/>
      </c>
      <c r="AJ92" s="17" t="str">
        <f t="shared" si="25"/>
        <v>○</v>
      </c>
      <c r="AK92" s="17" t="str">
        <f t="shared" si="26"/>
        <v>○</v>
      </c>
      <c r="AL92" s="17" t="str">
        <f t="shared" si="27"/>
        <v>○</v>
      </c>
      <c r="AM92" s="17" t="str">
        <f t="shared" si="28"/>
        <v>○</v>
      </c>
      <c r="AN92" s="17" t="str">
        <f t="shared" si="29"/>
        <v>○</v>
      </c>
      <c r="AO92" s="17" t="str">
        <f t="shared" si="30"/>
        <v>○</v>
      </c>
      <c r="AP92" s="17" t="str">
        <f t="shared" si="31"/>
        <v>○</v>
      </c>
      <c r="AQ92" s="17" t="str">
        <f t="shared" si="32"/>
        <v>○</v>
      </c>
      <c r="AR92" s="17" t="str">
        <f t="shared" si="33"/>
        <v>○</v>
      </c>
      <c r="AS92" s="17" t="str">
        <f t="shared" si="34"/>
        <v>○</v>
      </c>
      <c r="AT92" s="17" t="str">
        <f t="shared" si="35"/>
        <v>○</v>
      </c>
      <c r="AU92" s="17" t="str">
        <f t="shared" si="36"/>
        <v>○</v>
      </c>
    </row>
    <row r="93" spans="1:47" s="90" customFormat="1" ht="23.15" customHeight="1">
      <c r="A93" s="87">
        <v>87</v>
      </c>
      <c r="B93" s="86" t="str">
        <f>IF('②-1職員名簿'!E93="","",'②-1職員名簿'!Y93)</f>
        <v/>
      </c>
      <c r="C93" s="88" t="str">
        <f>'②-1職員名簿'!BE93</f>
        <v/>
      </c>
      <c r="D93" s="117" t="str">
        <f t="shared" si="24"/>
        <v/>
      </c>
      <c r="E93" s="18" t="str">
        <f>IF($B93="","",IF(AND('②-1職員名簿'!C93="正",'②-1職員名簿'!D93="常"),"正規職員","契約上の就業時間を記載"))</f>
        <v/>
      </c>
      <c r="F93" s="9" t="str">
        <f>IF($B93="","",IF(OR('②-1職員名簿'!AC93="○",'②-1職員名簿'!AC93="●"),IF($E93="正規職員","正",IF($E93="契約上の就業時間を記載","","見込を入力")),"-"))</f>
        <v/>
      </c>
      <c r="G93" s="9" t="str">
        <f>IF($B93="","",IF(OR('②-1職員名簿'!AD93="○",'②-1職員名簿'!AD93="●"),IF($E93="正規職員","正",IF($E93="契約上の就業時間を記載","","実績を入力")),"-"))</f>
        <v/>
      </c>
      <c r="H93" s="9" t="str">
        <f>IF($B93="","",IF(OR('②-1職員名簿'!AE93="○",'②-1職員名簿'!AE93="●"),IF($E93="正規職員","正",IF($E93="契約上の就業時間を記載","","実績を入力")),"-"))</f>
        <v/>
      </c>
      <c r="I93" s="9" t="str">
        <f>IF($B93="","",IF(OR('②-1職員名簿'!AF93="○",'②-1職員名簿'!AF93="●"),IF($E93="正規職員","正",IF($E93="契約上の就業時間を記載","","実績を入力")),"-"))</f>
        <v/>
      </c>
      <c r="J93" s="9" t="str">
        <f>IF($B93="","",IF(OR('②-1職員名簿'!AG93="○",'②-1職員名簿'!AG93="●"),IF($E93="正規職員","正",IF($E93="契約上の就業時間を記載","","実績を入力")),"-"))</f>
        <v/>
      </c>
      <c r="K93" s="9" t="str">
        <f>IF($B93="","",IF(OR('②-1職員名簿'!AH93="○",'②-1職員名簿'!AH93="●"),IF($E93="正規職員","正",IF($E93="契約上の就業時間を記載","","実績を入力")),"-"))</f>
        <v/>
      </c>
      <c r="L93" s="9" t="str">
        <f>IF($B93="","",IF(OR('②-1職員名簿'!AI93="○",'②-1職員名簿'!AI93="●"),IF($E93="正規職員","正",IF($E93="契約上の就業時間を記載","","実績を入力")),"-"))</f>
        <v/>
      </c>
      <c r="M93" s="9" t="str">
        <f>IF($B93="","",IF(OR('②-1職員名簿'!AJ93="○",'②-1職員名簿'!AJ93="●"),IF($E93="正規職員","正",IF($E93="契約上の就業時間を記載","","実績を入力")),"-"))</f>
        <v/>
      </c>
      <c r="N93" s="9" t="str">
        <f>IF($B93="","",IF(OR('②-1職員名簿'!AK93="○",'②-1職員名簿'!AK93="●"),IF($E93="正規職員","正",IF($E93="契約上の就業時間を記載","","実績を入力")),"-"))</f>
        <v/>
      </c>
      <c r="O93" s="9" t="str">
        <f>IF($B93="","",IF(OR('②-1職員名簿'!AL93="○",'②-1職員名簿'!AL93="●"),IF($E93="正規職員","正",IF($E93="契約上の就業時間を記載","","実績を入力")),"-"))</f>
        <v/>
      </c>
      <c r="P93" s="9" t="str">
        <f>IF($B93="","",IF(OR('②-1職員名簿'!AM93="○",'②-1職員名簿'!AM93="●"),IF($E93="正規職員","正",IF($E93="契約上の就業時間を記載","","実績を入力")),"-"))</f>
        <v/>
      </c>
      <c r="Q93" s="9" t="str">
        <f>IF($B93="","",IF(OR('②-1職員名簿'!AN93="○",'②-1職員名簿'!AN93="●"),IF($E93="正規職員","正",IF($E93="契約上の就業時間を記載","","見込を入力")),"-"))</f>
        <v/>
      </c>
      <c r="R93" s="88" t="str">
        <f>IF($B93="","",IF(OR('②-1職員名簿'!AC93="○",'②-1職員名簿'!AC93="●"),IF($E93="正規職員","正",IF($E93="契約上の就業時間を記載","",IF($E93&gt;=F$5,"常",F93))),"-"))</f>
        <v/>
      </c>
      <c r="S93" s="88" t="str">
        <f>IF($B93="","",IF(OR('②-1職員名簿'!AD93="○",'②-1職員名簿'!AD93="●"),IF($E93="正規職員","正",IF($E93="契約上の就業時間を記載","",IF($E93&gt;=G$5,"常",G93))),"-"))</f>
        <v/>
      </c>
      <c r="T93" s="88" t="str">
        <f>IF($B93="","",IF(OR('②-1職員名簿'!AE93="○",'②-1職員名簿'!AE93="●"),IF($E93="正規職員","正",IF($E93="契約上の就業時間を記載","",IF($E93&gt;=H$5,"常",H93))),"-"))</f>
        <v/>
      </c>
      <c r="U93" s="88" t="str">
        <f>IF($B93="","",IF(OR('②-1職員名簿'!AF93="○",'②-1職員名簿'!AF93="●"),IF($E93="正規職員","正",IF($E93="契約上の就業時間を記載","",IF($E93&gt;=I$5,"常",I93))),"-"))</f>
        <v/>
      </c>
      <c r="V93" s="88" t="str">
        <f>IF($B93="","",IF(OR('②-1職員名簿'!AG93="○",'②-1職員名簿'!AG93="●"),IF($E93="正規職員","正",IF($E93="契約上の就業時間を記載","",IF($E93&gt;=J$5,"常",J93))),"-"))</f>
        <v/>
      </c>
      <c r="W93" s="88" t="str">
        <f>IF($B93="","",IF(OR('②-1職員名簿'!AH93="○",'②-1職員名簿'!AH93="●"),IF($E93="正規職員","正",IF($E93="契約上の就業時間を記載","",IF($E93&gt;=K$5,"常",K93))),"-"))</f>
        <v/>
      </c>
      <c r="X93" s="88" t="str">
        <f>IF($B93="","",IF(OR('②-1職員名簿'!AI93="○",'②-1職員名簿'!AI93="●"),IF($E93="正規職員","正",IF($E93="契約上の就業時間を記載","",IF($E93&gt;=L$5,"常",L93))),"-"))</f>
        <v/>
      </c>
      <c r="Y93" s="88" t="str">
        <f>IF($B93="","",IF(OR('②-1職員名簿'!AJ93="○",'②-1職員名簿'!AJ93="●"),IF($E93="正規職員","正",IF($E93="契約上の就業時間を記載","",IF($E93&gt;=M$5,"常",M93))),"-"))</f>
        <v/>
      </c>
      <c r="Z93" s="88" t="str">
        <f>IF($B93="","",IF(OR('②-1職員名簿'!AK93="○",'②-1職員名簿'!AK93="●"),IF($E93="正規職員","正",IF($E93="契約上の就業時間を記載","",IF($E93&gt;=N$5,"常",N93))),"-"))</f>
        <v/>
      </c>
      <c r="AA93" s="88" t="str">
        <f>IF($B93="","",IF(OR('②-1職員名簿'!AL93="○",'②-1職員名簿'!AL93="●"),IF($E93="正規職員","正",IF($E93="契約上の就業時間を記載","",IF($E93&gt;=O$5,"常",O93))),"-"))</f>
        <v/>
      </c>
      <c r="AB93" s="88" t="str">
        <f>IF($B93="","",IF(OR('②-1職員名簿'!AM93="○",'②-1職員名簿'!AM93="●"),IF($E93="正規職員","正",IF($E93="契約上の就業時間を記載","",IF($E93&gt;=P$5,"常",P93))),"-"))</f>
        <v/>
      </c>
      <c r="AC93" s="88" t="str">
        <f>IF($B93="","",IF(OR('②-1職員名簿'!AN93="○",'②-1職員名簿'!AN93="●"),IF($E93="正規職員","正",IF($E93="契約上の就業時間を記載","",IF($E93&gt;=Q$5,"常",Q93))),"-"))</f>
        <v/>
      </c>
      <c r="AE93" s="86" t="str">
        <f>IF('②-1職員名簿'!W93="","",'②-1職員名簿'!W93)</f>
        <v/>
      </c>
      <c r="AJ93" s="17" t="str">
        <f t="shared" si="25"/>
        <v>○</v>
      </c>
      <c r="AK93" s="17" t="str">
        <f t="shared" si="26"/>
        <v>○</v>
      </c>
      <c r="AL93" s="17" t="str">
        <f t="shared" si="27"/>
        <v>○</v>
      </c>
      <c r="AM93" s="17" t="str">
        <f t="shared" si="28"/>
        <v>○</v>
      </c>
      <c r="AN93" s="17" t="str">
        <f t="shared" si="29"/>
        <v>○</v>
      </c>
      <c r="AO93" s="17" t="str">
        <f t="shared" si="30"/>
        <v>○</v>
      </c>
      <c r="AP93" s="17" t="str">
        <f t="shared" si="31"/>
        <v>○</v>
      </c>
      <c r="AQ93" s="17" t="str">
        <f t="shared" si="32"/>
        <v>○</v>
      </c>
      <c r="AR93" s="17" t="str">
        <f t="shared" si="33"/>
        <v>○</v>
      </c>
      <c r="AS93" s="17" t="str">
        <f t="shared" si="34"/>
        <v>○</v>
      </c>
      <c r="AT93" s="17" t="str">
        <f t="shared" si="35"/>
        <v>○</v>
      </c>
      <c r="AU93" s="17" t="str">
        <f t="shared" si="36"/>
        <v>○</v>
      </c>
    </row>
    <row r="94" spans="1:47" s="90" customFormat="1" ht="23.15" customHeight="1">
      <c r="A94" s="87">
        <v>88</v>
      </c>
      <c r="B94" s="86" t="str">
        <f>IF('②-1職員名簿'!E94="","",'②-1職員名簿'!Y94)</f>
        <v/>
      </c>
      <c r="C94" s="88" t="str">
        <f>'②-1職員名簿'!BE94</f>
        <v/>
      </c>
      <c r="D94" s="117" t="str">
        <f t="shared" si="24"/>
        <v/>
      </c>
      <c r="E94" s="18" t="str">
        <f>IF($B94="","",IF(AND('②-1職員名簿'!C94="正",'②-1職員名簿'!D94="常"),"正規職員","契約上の就業時間を記載"))</f>
        <v/>
      </c>
      <c r="F94" s="9" t="str">
        <f>IF($B94="","",IF(OR('②-1職員名簿'!AC94="○",'②-1職員名簿'!AC94="●"),IF($E94="正規職員","正",IF($E94="契約上の就業時間を記載","","見込を入力")),"-"))</f>
        <v/>
      </c>
      <c r="G94" s="9" t="str">
        <f>IF($B94="","",IF(OR('②-1職員名簿'!AD94="○",'②-1職員名簿'!AD94="●"),IF($E94="正規職員","正",IF($E94="契約上の就業時間を記載","","実績を入力")),"-"))</f>
        <v/>
      </c>
      <c r="H94" s="9" t="str">
        <f>IF($B94="","",IF(OR('②-1職員名簿'!AE94="○",'②-1職員名簿'!AE94="●"),IF($E94="正規職員","正",IF($E94="契約上の就業時間を記載","","実績を入力")),"-"))</f>
        <v/>
      </c>
      <c r="I94" s="9" t="str">
        <f>IF($B94="","",IF(OR('②-1職員名簿'!AF94="○",'②-1職員名簿'!AF94="●"),IF($E94="正規職員","正",IF($E94="契約上の就業時間を記載","","実績を入力")),"-"))</f>
        <v/>
      </c>
      <c r="J94" s="9" t="str">
        <f>IF($B94="","",IF(OR('②-1職員名簿'!AG94="○",'②-1職員名簿'!AG94="●"),IF($E94="正規職員","正",IF($E94="契約上の就業時間を記載","","実績を入力")),"-"))</f>
        <v/>
      </c>
      <c r="K94" s="9" t="str">
        <f>IF($B94="","",IF(OR('②-1職員名簿'!AH94="○",'②-1職員名簿'!AH94="●"),IF($E94="正規職員","正",IF($E94="契約上の就業時間を記載","","実績を入力")),"-"))</f>
        <v/>
      </c>
      <c r="L94" s="9" t="str">
        <f>IF($B94="","",IF(OR('②-1職員名簿'!AI94="○",'②-1職員名簿'!AI94="●"),IF($E94="正規職員","正",IF($E94="契約上の就業時間を記載","","実績を入力")),"-"))</f>
        <v/>
      </c>
      <c r="M94" s="9" t="str">
        <f>IF($B94="","",IF(OR('②-1職員名簿'!AJ94="○",'②-1職員名簿'!AJ94="●"),IF($E94="正規職員","正",IF($E94="契約上の就業時間を記載","","実績を入力")),"-"))</f>
        <v/>
      </c>
      <c r="N94" s="9" t="str">
        <f>IF($B94="","",IF(OR('②-1職員名簿'!AK94="○",'②-1職員名簿'!AK94="●"),IF($E94="正規職員","正",IF($E94="契約上の就業時間を記載","","実績を入力")),"-"))</f>
        <v/>
      </c>
      <c r="O94" s="9" t="str">
        <f>IF($B94="","",IF(OR('②-1職員名簿'!AL94="○",'②-1職員名簿'!AL94="●"),IF($E94="正規職員","正",IF($E94="契約上の就業時間を記載","","実績を入力")),"-"))</f>
        <v/>
      </c>
      <c r="P94" s="9" t="str">
        <f>IF($B94="","",IF(OR('②-1職員名簿'!AM94="○",'②-1職員名簿'!AM94="●"),IF($E94="正規職員","正",IF($E94="契約上の就業時間を記載","","実績を入力")),"-"))</f>
        <v/>
      </c>
      <c r="Q94" s="9" t="str">
        <f>IF($B94="","",IF(OR('②-1職員名簿'!AN94="○",'②-1職員名簿'!AN94="●"),IF($E94="正規職員","正",IF($E94="契約上の就業時間を記載","","見込を入力")),"-"))</f>
        <v/>
      </c>
      <c r="R94" s="88" t="str">
        <f>IF($B94="","",IF(OR('②-1職員名簿'!AC94="○",'②-1職員名簿'!AC94="●"),IF($E94="正規職員","正",IF($E94="契約上の就業時間を記載","",IF($E94&gt;=F$5,"常",F94))),"-"))</f>
        <v/>
      </c>
      <c r="S94" s="88" t="str">
        <f>IF($B94="","",IF(OR('②-1職員名簿'!AD94="○",'②-1職員名簿'!AD94="●"),IF($E94="正規職員","正",IF($E94="契約上の就業時間を記載","",IF($E94&gt;=G$5,"常",G94))),"-"))</f>
        <v/>
      </c>
      <c r="T94" s="88" t="str">
        <f>IF($B94="","",IF(OR('②-1職員名簿'!AE94="○",'②-1職員名簿'!AE94="●"),IF($E94="正規職員","正",IF($E94="契約上の就業時間を記載","",IF($E94&gt;=H$5,"常",H94))),"-"))</f>
        <v/>
      </c>
      <c r="U94" s="88" t="str">
        <f>IF($B94="","",IF(OR('②-1職員名簿'!AF94="○",'②-1職員名簿'!AF94="●"),IF($E94="正規職員","正",IF($E94="契約上の就業時間を記載","",IF($E94&gt;=I$5,"常",I94))),"-"))</f>
        <v/>
      </c>
      <c r="V94" s="88" t="str">
        <f>IF($B94="","",IF(OR('②-1職員名簿'!AG94="○",'②-1職員名簿'!AG94="●"),IF($E94="正規職員","正",IF($E94="契約上の就業時間を記載","",IF($E94&gt;=J$5,"常",J94))),"-"))</f>
        <v/>
      </c>
      <c r="W94" s="88" t="str">
        <f>IF($B94="","",IF(OR('②-1職員名簿'!AH94="○",'②-1職員名簿'!AH94="●"),IF($E94="正規職員","正",IF($E94="契約上の就業時間を記載","",IF($E94&gt;=K$5,"常",K94))),"-"))</f>
        <v/>
      </c>
      <c r="X94" s="88" t="str">
        <f>IF($B94="","",IF(OR('②-1職員名簿'!AI94="○",'②-1職員名簿'!AI94="●"),IF($E94="正規職員","正",IF($E94="契約上の就業時間を記載","",IF($E94&gt;=L$5,"常",L94))),"-"))</f>
        <v/>
      </c>
      <c r="Y94" s="88" t="str">
        <f>IF($B94="","",IF(OR('②-1職員名簿'!AJ94="○",'②-1職員名簿'!AJ94="●"),IF($E94="正規職員","正",IF($E94="契約上の就業時間を記載","",IF($E94&gt;=M$5,"常",M94))),"-"))</f>
        <v/>
      </c>
      <c r="Z94" s="88" t="str">
        <f>IF($B94="","",IF(OR('②-1職員名簿'!AK94="○",'②-1職員名簿'!AK94="●"),IF($E94="正規職員","正",IF($E94="契約上の就業時間を記載","",IF($E94&gt;=N$5,"常",N94))),"-"))</f>
        <v/>
      </c>
      <c r="AA94" s="88" t="str">
        <f>IF($B94="","",IF(OR('②-1職員名簿'!AL94="○",'②-1職員名簿'!AL94="●"),IF($E94="正規職員","正",IF($E94="契約上の就業時間を記載","",IF($E94&gt;=O$5,"常",O94))),"-"))</f>
        <v/>
      </c>
      <c r="AB94" s="88" t="str">
        <f>IF($B94="","",IF(OR('②-1職員名簿'!AM94="○",'②-1職員名簿'!AM94="●"),IF($E94="正規職員","正",IF($E94="契約上の就業時間を記載","",IF($E94&gt;=P$5,"常",P94))),"-"))</f>
        <v/>
      </c>
      <c r="AC94" s="88" t="str">
        <f>IF($B94="","",IF(OR('②-1職員名簿'!AN94="○",'②-1職員名簿'!AN94="●"),IF($E94="正規職員","正",IF($E94="契約上の就業時間を記載","",IF($E94&gt;=Q$5,"常",Q94))),"-"))</f>
        <v/>
      </c>
      <c r="AE94" s="86" t="str">
        <f>IF('②-1職員名簿'!W94="","",'②-1職員名簿'!W94)</f>
        <v/>
      </c>
      <c r="AJ94" s="17" t="str">
        <f t="shared" si="25"/>
        <v>○</v>
      </c>
      <c r="AK94" s="17" t="str">
        <f t="shared" si="26"/>
        <v>○</v>
      </c>
      <c r="AL94" s="17" t="str">
        <f t="shared" si="27"/>
        <v>○</v>
      </c>
      <c r="AM94" s="17" t="str">
        <f t="shared" si="28"/>
        <v>○</v>
      </c>
      <c r="AN94" s="17" t="str">
        <f t="shared" si="29"/>
        <v>○</v>
      </c>
      <c r="AO94" s="17" t="str">
        <f t="shared" si="30"/>
        <v>○</v>
      </c>
      <c r="AP94" s="17" t="str">
        <f t="shared" si="31"/>
        <v>○</v>
      </c>
      <c r="AQ94" s="17" t="str">
        <f t="shared" si="32"/>
        <v>○</v>
      </c>
      <c r="AR94" s="17" t="str">
        <f t="shared" si="33"/>
        <v>○</v>
      </c>
      <c r="AS94" s="17" t="str">
        <f t="shared" si="34"/>
        <v>○</v>
      </c>
      <c r="AT94" s="17" t="str">
        <f t="shared" si="35"/>
        <v>○</v>
      </c>
      <c r="AU94" s="17" t="str">
        <f t="shared" si="36"/>
        <v>○</v>
      </c>
    </row>
    <row r="95" spans="1:47" s="90" customFormat="1" ht="23.15" customHeight="1">
      <c r="A95" s="87">
        <v>89</v>
      </c>
      <c r="B95" s="86" t="str">
        <f>IF('②-1職員名簿'!E95="","",'②-1職員名簿'!Y95)</f>
        <v/>
      </c>
      <c r="C95" s="88" t="str">
        <f>'②-1職員名簿'!BE95</f>
        <v/>
      </c>
      <c r="D95" s="117" t="str">
        <f t="shared" si="24"/>
        <v/>
      </c>
      <c r="E95" s="18" t="str">
        <f>IF($B95="","",IF(AND('②-1職員名簿'!C95="正",'②-1職員名簿'!D95="常"),"正規職員","契約上の就業時間を記載"))</f>
        <v/>
      </c>
      <c r="F95" s="9" t="str">
        <f>IF($B95="","",IF(OR('②-1職員名簿'!AC95="○",'②-1職員名簿'!AC95="●"),IF($E95="正規職員","正",IF($E95="契約上の就業時間を記載","","見込を入力")),"-"))</f>
        <v/>
      </c>
      <c r="G95" s="9" t="str">
        <f>IF($B95="","",IF(OR('②-1職員名簿'!AD95="○",'②-1職員名簿'!AD95="●"),IF($E95="正規職員","正",IF($E95="契約上の就業時間を記載","","実績を入力")),"-"))</f>
        <v/>
      </c>
      <c r="H95" s="9" t="str">
        <f>IF($B95="","",IF(OR('②-1職員名簿'!AE95="○",'②-1職員名簿'!AE95="●"),IF($E95="正規職員","正",IF($E95="契約上の就業時間を記載","","実績を入力")),"-"))</f>
        <v/>
      </c>
      <c r="I95" s="9" t="str">
        <f>IF($B95="","",IF(OR('②-1職員名簿'!AF95="○",'②-1職員名簿'!AF95="●"),IF($E95="正規職員","正",IF($E95="契約上の就業時間を記載","","実績を入力")),"-"))</f>
        <v/>
      </c>
      <c r="J95" s="9" t="str">
        <f>IF($B95="","",IF(OR('②-1職員名簿'!AG95="○",'②-1職員名簿'!AG95="●"),IF($E95="正規職員","正",IF($E95="契約上の就業時間を記載","","実績を入力")),"-"))</f>
        <v/>
      </c>
      <c r="K95" s="9" t="str">
        <f>IF($B95="","",IF(OR('②-1職員名簿'!AH95="○",'②-1職員名簿'!AH95="●"),IF($E95="正規職員","正",IF($E95="契約上の就業時間を記載","","実績を入力")),"-"))</f>
        <v/>
      </c>
      <c r="L95" s="9" t="str">
        <f>IF($B95="","",IF(OR('②-1職員名簿'!AI95="○",'②-1職員名簿'!AI95="●"),IF($E95="正規職員","正",IF($E95="契約上の就業時間を記載","","実績を入力")),"-"))</f>
        <v/>
      </c>
      <c r="M95" s="9" t="str">
        <f>IF($B95="","",IF(OR('②-1職員名簿'!AJ95="○",'②-1職員名簿'!AJ95="●"),IF($E95="正規職員","正",IF($E95="契約上の就業時間を記載","","実績を入力")),"-"))</f>
        <v/>
      </c>
      <c r="N95" s="9" t="str">
        <f>IF($B95="","",IF(OR('②-1職員名簿'!AK95="○",'②-1職員名簿'!AK95="●"),IF($E95="正規職員","正",IF($E95="契約上の就業時間を記載","","実績を入力")),"-"))</f>
        <v/>
      </c>
      <c r="O95" s="9" t="str">
        <f>IF($B95="","",IF(OR('②-1職員名簿'!AL95="○",'②-1職員名簿'!AL95="●"),IF($E95="正規職員","正",IF($E95="契約上の就業時間を記載","","実績を入力")),"-"))</f>
        <v/>
      </c>
      <c r="P95" s="9" t="str">
        <f>IF($B95="","",IF(OR('②-1職員名簿'!AM95="○",'②-1職員名簿'!AM95="●"),IF($E95="正規職員","正",IF($E95="契約上の就業時間を記載","","実績を入力")),"-"))</f>
        <v/>
      </c>
      <c r="Q95" s="9" t="str">
        <f>IF($B95="","",IF(OR('②-1職員名簿'!AN95="○",'②-1職員名簿'!AN95="●"),IF($E95="正規職員","正",IF($E95="契約上の就業時間を記載","","見込を入力")),"-"))</f>
        <v/>
      </c>
      <c r="R95" s="88" t="str">
        <f>IF($B95="","",IF(OR('②-1職員名簿'!AC95="○",'②-1職員名簿'!AC95="●"),IF($E95="正規職員","正",IF($E95="契約上の就業時間を記載","",IF($E95&gt;=F$5,"常",F95))),"-"))</f>
        <v/>
      </c>
      <c r="S95" s="88" t="str">
        <f>IF($B95="","",IF(OR('②-1職員名簿'!AD95="○",'②-1職員名簿'!AD95="●"),IF($E95="正規職員","正",IF($E95="契約上の就業時間を記載","",IF($E95&gt;=G$5,"常",G95))),"-"))</f>
        <v/>
      </c>
      <c r="T95" s="88" t="str">
        <f>IF($B95="","",IF(OR('②-1職員名簿'!AE95="○",'②-1職員名簿'!AE95="●"),IF($E95="正規職員","正",IF($E95="契約上の就業時間を記載","",IF($E95&gt;=H$5,"常",H95))),"-"))</f>
        <v/>
      </c>
      <c r="U95" s="88" t="str">
        <f>IF($B95="","",IF(OR('②-1職員名簿'!AF95="○",'②-1職員名簿'!AF95="●"),IF($E95="正規職員","正",IF($E95="契約上の就業時間を記載","",IF($E95&gt;=I$5,"常",I95))),"-"))</f>
        <v/>
      </c>
      <c r="V95" s="88" t="str">
        <f>IF($B95="","",IF(OR('②-1職員名簿'!AG95="○",'②-1職員名簿'!AG95="●"),IF($E95="正規職員","正",IF($E95="契約上の就業時間を記載","",IF($E95&gt;=J$5,"常",J95))),"-"))</f>
        <v/>
      </c>
      <c r="W95" s="88" t="str">
        <f>IF($B95="","",IF(OR('②-1職員名簿'!AH95="○",'②-1職員名簿'!AH95="●"),IF($E95="正規職員","正",IF($E95="契約上の就業時間を記載","",IF($E95&gt;=K$5,"常",K95))),"-"))</f>
        <v/>
      </c>
      <c r="X95" s="88" t="str">
        <f>IF($B95="","",IF(OR('②-1職員名簿'!AI95="○",'②-1職員名簿'!AI95="●"),IF($E95="正規職員","正",IF($E95="契約上の就業時間を記載","",IF($E95&gt;=L$5,"常",L95))),"-"))</f>
        <v/>
      </c>
      <c r="Y95" s="88" t="str">
        <f>IF($B95="","",IF(OR('②-1職員名簿'!AJ95="○",'②-1職員名簿'!AJ95="●"),IF($E95="正規職員","正",IF($E95="契約上の就業時間を記載","",IF($E95&gt;=M$5,"常",M95))),"-"))</f>
        <v/>
      </c>
      <c r="Z95" s="88" t="str">
        <f>IF($B95="","",IF(OR('②-1職員名簿'!AK95="○",'②-1職員名簿'!AK95="●"),IF($E95="正規職員","正",IF($E95="契約上の就業時間を記載","",IF($E95&gt;=N$5,"常",N95))),"-"))</f>
        <v/>
      </c>
      <c r="AA95" s="88" t="str">
        <f>IF($B95="","",IF(OR('②-1職員名簿'!AL95="○",'②-1職員名簿'!AL95="●"),IF($E95="正規職員","正",IF($E95="契約上の就業時間を記載","",IF($E95&gt;=O$5,"常",O95))),"-"))</f>
        <v/>
      </c>
      <c r="AB95" s="88" t="str">
        <f>IF($B95="","",IF(OR('②-1職員名簿'!AM95="○",'②-1職員名簿'!AM95="●"),IF($E95="正規職員","正",IF($E95="契約上の就業時間を記載","",IF($E95&gt;=P$5,"常",P95))),"-"))</f>
        <v/>
      </c>
      <c r="AC95" s="88" t="str">
        <f>IF($B95="","",IF(OR('②-1職員名簿'!AN95="○",'②-1職員名簿'!AN95="●"),IF($E95="正規職員","正",IF($E95="契約上の就業時間を記載","",IF($E95&gt;=Q$5,"常",Q95))),"-"))</f>
        <v/>
      </c>
      <c r="AE95" s="86" t="str">
        <f>IF('②-1職員名簿'!W95="","",'②-1職員名簿'!W95)</f>
        <v/>
      </c>
      <c r="AJ95" s="17" t="str">
        <f t="shared" si="25"/>
        <v>○</v>
      </c>
      <c r="AK95" s="17" t="str">
        <f t="shared" si="26"/>
        <v>○</v>
      </c>
      <c r="AL95" s="17" t="str">
        <f t="shared" si="27"/>
        <v>○</v>
      </c>
      <c r="AM95" s="17" t="str">
        <f t="shared" si="28"/>
        <v>○</v>
      </c>
      <c r="AN95" s="17" t="str">
        <f t="shared" si="29"/>
        <v>○</v>
      </c>
      <c r="AO95" s="17" t="str">
        <f t="shared" si="30"/>
        <v>○</v>
      </c>
      <c r="AP95" s="17" t="str">
        <f t="shared" si="31"/>
        <v>○</v>
      </c>
      <c r="AQ95" s="17" t="str">
        <f t="shared" si="32"/>
        <v>○</v>
      </c>
      <c r="AR95" s="17" t="str">
        <f t="shared" si="33"/>
        <v>○</v>
      </c>
      <c r="AS95" s="17" t="str">
        <f t="shared" si="34"/>
        <v>○</v>
      </c>
      <c r="AT95" s="17" t="str">
        <f t="shared" si="35"/>
        <v>○</v>
      </c>
      <c r="AU95" s="17" t="str">
        <f t="shared" si="36"/>
        <v>○</v>
      </c>
    </row>
    <row r="96" spans="1:47" s="90" customFormat="1" ht="23.15" customHeight="1">
      <c r="A96" s="87">
        <v>90</v>
      </c>
      <c r="B96" s="86" t="str">
        <f>IF('②-1職員名簿'!E96="","",'②-1職員名簿'!Y96)</f>
        <v/>
      </c>
      <c r="C96" s="88" t="str">
        <f>'②-1職員名簿'!BE96</f>
        <v/>
      </c>
      <c r="D96" s="117" t="str">
        <f t="shared" si="24"/>
        <v/>
      </c>
      <c r="E96" s="18" t="str">
        <f>IF($B96="","",IF(AND('②-1職員名簿'!C96="正",'②-1職員名簿'!D96="常"),"正規職員","契約上の就業時間を記載"))</f>
        <v/>
      </c>
      <c r="F96" s="9" t="str">
        <f>IF($B96="","",IF(OR('②-1職員名簿'!AC96="○",'②-1職員名簿'!AC96="●"),IF($E96="正規職員","正",IF($E96="契約上の就業時間を記載","","見込を入力")),"-"))</f>
        <v/>
      </c>
      <c r="G96" s="9" t="str">
        <f>IF($B96="","",IF(OR('②-1職員名簿'!AD96="○",'②-1職員名簿'!AD96="●"),IF($E96="正規職員","正",IF($E96="契約上の就業時間を記載","","実績を入力")),"-"))</f>
        <v/>
      </c>
      <c r="H96" s="9" t="str">
        <f>IF($B96="","",IF(OR('②-1職員名簿'!AE96="○",'②-1職員名簿'!AE96="●"),IF($E96="正規職員","正",IF($E96="契約上の就業時間を記載","","実績を入力")),"-"))</f>
        <v/>
      </c>
      <c r="I96" s="9" t="str">
        <f>IF($B96="","",IF(OR('②-1職員名簿'!AF96="○",'②-1職員名簿'!AF96="●"),IF($E96="正規職員","正",IF($E96="契約上の就業時間を記載","","実績を入力")),"-"))</f>
        <v/>
      </c>
      <c r="J96" s="9" t="str">
        <f>IF($B96="","",IF(OR('②-1職員名簿'!AG96="○",'②-1職員名簿'!AG96="●"),IF($E96="正規職員","正",IF($E96="契約上の就業時間を記載","","実績を入力")),"-"))</f>
        <v/>
      </c>
      <c r="K96" s="9" t="str">
        <f>IF($B96="","",IF(OR('②-1職員名簿'!AH96="○",'②-1職員名簿'!AH96="●"),IF($E96="正規職員","正",IF($E96="契約上の就業時間を記載","","実績を入力")),"-"))</f>
        <v/>
      </c>
      <c r="L96" s="9" t="str">
        <f>IF($B96="","",IF(OR('②-1職員名簿'!AI96="○",'②-1職員名簿'!AI96="●"),IF($E96="正規職員","正",IF($E96="契約上の就業時間を記載","","実績を入力")),"-"))</f>
        <v/>
      </c>
      <c r="M96" s="9" t="str">
        <f>IF($B96="","",IF(OR('②-1職員名簿'!AJ96="○",'②-1職員名簿'!AJ96="●"),IF($E96="正規職員","正",IF($E96="契約上の就業時間を記載","","実績を入力")),"-"))</f>
        <v/>
      </c>
      <c r="N96" s="9" t="str">
        <f>IF($B96="","",IF(OR('②-1職員名簿'!AK96="○",'②-1職員名簿'!AK96="●"),IF($E96="正規職員","正",IF($E96="契約上の就業時間を記載","","実績を入力")),"-"))</f>
        <v/>
      </c>
      <c r="O96" s="9" t="str">
        <f>IF($B96="","",IF(OR('②-1職員名簿'!AL96="○",'②-1職員名簿'!AL96="●"),IF($E96="正規職員","正",IF($E96="契約上の就業時間を記載","","実績を入力")),"-"))</f>
        <v/>
      </c>
      <c r="P96" s="9" t="str">
        <f>IF($B96="","",IF(OR('②-1職員名簿'!AM96="○",'②-1職員名簿'!AM96="●"),IF($E96="正規職員","正",IF($E96="契約上の就業時間を記載","","実績を入力")),"-"))</f>
        <v/>
      </c>
      <c r="Q96" s="9" t="str">
        <f>IF($B96="","",IF(OR('②-1職員名簿'!AN96="○",'②-1職員名簿'!AN96="●"),IF($E96="正規職員","正",IF($E96="契約上の就業時間を記載","","見込を入力")),"-"))</f>
        <v/>
      </c>
      <c r="R96" s="88" t="str">
        <f>IF($B96="","",IF(OR('②-1職員名簿'!AC96="○",'②-1職員名簿'!AC96="●"),IF($E96="正規職員","正",IF($E96="契約上の就業時間を記載","",IF($E96&gt;=F$5,"常",F96))),"-"))</f>
        <v/>
      </c>
      <c r="S96" s="88" t="str">
        <f>IF($B96="","",IF(OR('②-1職員名簿'!AD96="○",'②-1職員名簿'!AD96="●"),IF($E96="正規職員","正",IF($E96="契約上の就業時間を記載","",IF($E96&gt;=G$5,"常",G96))),"-"))</f>
        <v/>
      </c>
      <c r="T96" s="88" t="str">
        <f>IF($B96="","",IF(OR('②-1職員名簿'!AE96="○",'②-1職員名簿'!AE96="●"),IF($E96="正規職員","正",IF($E96="契約上の就業時間を記載","",IF($E96&gt;=H$5,"常",H96))),"-"))</f>
        <v/>
      </c>
      <c r="U96" s="88" t="str">
        <f>IF($B96="","",IF(OR('②-1職員名簿'!AF96="○",'②-1職員名簿'!AF96="●"),IF($E96="正規職員","正",IF($E96="契約上の就業時間を記載","",IF($E96&gt;=I$5,"常",I96))),"-"))</f>
        <v/>
      </c>
      <c r="V96" s="88" t="str">
        <f>IF($B96="","",IF(OR('②-1職員名簿'!AG96="○",'②-1職員名簿'!AG96="●"),IF($E96="正規職員","正",IF($E96="契約上の就業時間を記載","",IF($E96&gt;=J$5,"常",J96))),"-"))</f>
        <v/>
      </c>
      <c r="W96" s="88" t="str">
        <f>IF($B96="","",IF(OR('②-1職員名簿'!AH96="○",'②-1職員名簿'!AH96="●"),IF($E96="正規職員","正",IF($E96="契約上の就業時間を記載","",IF($E96&gt;=K$5,"常",K96))),"-"))</f>
        <v/>
      </c>
      <c r="X96" s="88" t="str">
        <f>IF($B96="","",IF(OR('②-1職員名簿'!AI96="○",'②-1職員名簿'!AI96="●"),IF($E96="正規職員","正",IF($E96="契約上の就業時間を記載","",IF($E96&gt;=L$5,"常",L96))),"-"))</f>
        <v/>
      </c>
      <c r="Y96" s="88" t="str">
        <f>IF($B96="","",IF(OR('②-1職員名簿'!AJ96="○",'②-1職員名簿'!AJ96="●"),IF($E96="正規職員","正",IF($E96="契約上の就業時間を記載","",IF($E96&gt;=M$5,"常",M96))),"-"))</f>
        <v/>
      </c>
      <c r="Z96" s="88" t="str">
        <f>IF($B96="","",IF(OR('②-1職員名簿'!AK96="○",'②-1職員名簿'!AK96="●"),IF($E96="正規職員","正",IF($E96="契約上の就業時間を記載","",IF($E96&gt;=N$5,"常",N96))),"-"))</f>
        <v/>
      </c>
      <c r="AA96" s="88" t="str">
        <f>IF($B96="","",IF(OR('②-1職員名簿'!AL96="○",'②-1職員名簿'!AL96="●"),IF($E96="正規職員","正",IF($E96="契約上の就業時間を記載","",IF($E96&gt;=O$5,"常",O96))),"-"))</f>
        <v/>
      </c>
      <c r="AB96" s="88" t="str">
        <f>IF($B96="","",IF(OR('②-1職員名簿'!AM96="○",'②-1職員名簿'!AM96="●"),IF($E96="正規職員","正",IF($E96="契約上の就業時間を記載","",IF($E96&gt;=P$5,"常",P96))),"-"))</f>
        <v/>
      </c>
      <c r="AC96" s="88" t="str">
        <f>IF($B96="","",IF(OR('②-1職員名簿'!AN96="○",'②-1職員名簿'!AN96="●"),IF($E96="正規職員","正",IF($E96="契約上の就業時間を記載","",IF($E96&gt;=Q$5,"常",Q96))),"-"))</f>
        <v/>
      </c>
      <c r="AE96" s="86" t="str">
        <f>IF('②-1職員名簿'!W96="","",'②-1職員名簿'!W96)</f>
        <v/>
      </c>
      <c r="AJ96" s="17" t="str">
        <f t="shared" si="25"/>
        <v>○</v>
      </c>
      <c r="AK96" s="17" t="str">
        <f t="shared" si="26"/>
        <v>○</v>
      </c>
      <c r="AL96" s="17" t="str">
        <f t="shared" si="27"/>
        <v>○</v>
      </c>
      <c r="AM96" s="17" t="str">
        <f t="shared" si="28"/>
        <v>○</v>
      </c>
      <c r="AN96" s="17" t="str">
        <f t="shared" si="29"/>
        <v>○</v>
      </c>
      <c r="AO96" s="17" t="str">
        <f t="shared" si="30"/>
        <v>○</v>
      </c>
      <c r="AP96" s="17" t="str">
        <f t="shared" si="31"/>
        <v>○</v>
      </c>
      <c r="AQ96" s="17" t="str">
        <f t="shared" si="32"/>
        <v>○</v>
      </c>
      <c r="AR96" s="17" t="str">
        <f t="shared" si="33"/>
        <v>○</v>
      </c>
      <c r="AS96" s="17" t="str">
        <f t="shared" si="34"/>
        <v>○</v>
      </c>
      <c r="AT96" s="17" t="str">
        <f t="shared" si="35"/>
        <v>○</v>
      </c>
      <c r="AU96" s="17" t="str">
        <f t="shared" si="36"/>
        <v>○</v>
      </c>
    </row>
    <row r="97" spans="1:47" s="90" customFormat="1" ht="23.15" customHeight="1">
      <c r="A97" s="87">
        <v>91</v>
      </c>
      <c r="B97" s="86" t="str">
        <f>IF('②-1職員名簿'!E97="","",'②-1職員名簿'!Y97)</f>
        <v/>
      </c>
      <c r="C97" s="88" t="str">
        <f>'②-1職員名簿'!BE97</f>
        <v/>
      </c>
      <c r="D97" s="117" t="str">
        <f t="shared" si="24"/>
        <v/>
      </c>
      <c r="E97" s="18" t="str">
        <f>IF($B97="","",IF(AND('②-1職員名簿'!C97="正",'②-1職員名簿'!D97="常"),"正規職員","契約上の就業時間を記載"))</f>
        <v/>
      </c>
      <c r="F97" s="9" t="str">
        <f>IF($B97="","",IF(OR('②-1職員名簿'!AC97="○",'②-1職員名簿'!AC97="●"),IF($E97="正規職員","正",IF($E97="契約上の就業時間を記載","","見込を入力")),"-"))</f>
        <v/>
      </c>
      <c r="G97" s="9" t="str">
        <f>IF($B97="","",IF(OR('②-1職員名簿'!AD97="○",'②-1職員名簿'!AD97="●"),IF($E97="正規職員","正",IF($E97="契約上の就業時間を記載","","実績を入力")),"-"))</f>
        <v/>
      </c>
      <c r="H97" s="9" t="str">
        <f>IF($B97="","",IF(OR('②-1職員名簿'!AE97="○",'②-1職員名簿'!AE97="●"),IF($E97="正規職員","正",IF($E97="契約上の就業時間を記載","","実績を入力")),"-"))</f>
        <v/>
      </c>
      <c r="I97" s="9" t="str">
        <f>IF($B97="","",IF(OR('②-1職員名簿'!AF97="○",'②-1職員名簿'!AF97="●"),IF($E97="正規職員","正",IF($E97="契約上の就業時間を記載","","実績を入力")),"-"))</f>
        <v/>
      </c>
      <c r="J97" s="9" t="str">
        <f>IF($B97="","",IF(OR('②-1職員名簿'!AG97="○",'②-1職員名簿'!AG97="●"),IF($E97="正規職員","正",IF($E97="契約上の就業時間を記載","","実績を入力")),"-"))</f>
        <v/>
      </c>
      <c r="K97" s="9" t="str">
        <f>IF($B97="","",IF(OR('②-1職員名簿'!AH97="○",'②-1職員名簿'!AH97="●"),IF($E97="正規職員","正",IF($E97="契約上の就業時間を記載","","実績を入力")),"-"))</f>
        <v/>
      </c>
      <c r="L97" s="9" t="str">
        <f>IF($B97="","",IF(OR('②-1職員名簿'!AI97="○",'②-1職員名簿'!AI97="●"),IF($E97="正規職員","正",IF($E97="契約上の就業時間を記載","","実績を入力")),"-"))</f>
        <v/>
      </c>
      <c r="M97" s="9" t="str">
        <f>IF($B97="","",IF(OR('②-1職員名簿'!AJ97="○",'②-1職員名簿'!AJ97="●"),IF($E97="正規職員","正",IF($E97="契約上の就業時間を記載","","実績を入力")),"-"))</f>
        <v/>
      </c>
      <c r="N97" s="9" t="str">
        <f>IF($B97="","",IF(OR('②-1職員名簿'!AK97="○",'②-1職員名簿'!AK97="●"),IF($E97="正規職員","正",IF($E97="契約上の就業時間を記載","","実績を入力")),"-"))</f>
        <v/>
      </c>
      <c r="O97" s="9" t="str">
        <f>IF($B97="","",IF(OR('②-1職員名簿'!AL97="○",'②-1職員名簿'!AL97="●"),IF($E97="正規職員","正",IF($E97="契約上の就業時間を記載","","実績を入力")),"-"))</f>
        <v/>
      </c>
      <c r="P97" s="9" t="str">
        <f>IF($B97="","",IF(OR('②-1職員名簿'!AM97="○",'②-1職員名簿'!AM97="●"),IF($E97="正規職員","正",IF($E97="契約上の就業時間を記載","","実績を入力")),"-"))</f>
        <v/>
      </c>
      <c r="Q97" s="9" t="str">
        <f>IF($B97="","",IF(OR('②-1職員名簿'!AN97="○",'②-1職員名簿'!AN97="●"),IF($E97="正規職員","正",IF($E97="契約上の就業時間を記載","","見込を入力")),"-"))</f>
        <v/>
      </c>
      <c r="R97" s="88" t="str">
        <f>IF($B97="","",IF(OR('②-1職員名簿'!AC97="○",'②-1職員名簿'!AC97="●"),IF($E97="正規職員","正",IF($E97="契約上の就業時間を記載","",IF($E97&gt;=F$5,"常",F97))),"-"))</f>
        <v/>
      </c>
      <c r="S97" s="88" t="str">
        <f>IF($B97="","",IF(OR('②-1職員名簿'!AD97="○",'②-1職員名簿'!AD97="●"),IF($E97="正規職員","正",IF($E97="契約上の就業時間を記載","",IF($E97&gt;=G$5,"常",G97))),"-"))</f>
        <v/>
      </c>
      <c r="T97" s="88" t="str">
        <f>IF($B97="","",IF(OR('②-1職員名簿'!AE97="○",'②-1職員名簿'!AE97="●"),IF($E97="正規職員","正",IF($E97="契約上の就業時間を記載","",IF($E97&gt;=H$5,"常",H97))),"-"))</f>
        <v/>
      </c>
      <c r="U97" s="88" t="str">
        <f>IF($B97="","",IF(OR('②-1職員名簿'!AF97="○",'②-1職員名簿'!AF97="●"),IF($E97="正規職員","正",IF($E97="契約上の就業時間を記載","",IF($E97&gt;=I$5,"常",I97))),"-"))</f>
        <v/>
      </c>
      <c r="V97" s="88" t="str">
        <f>IF($B97="","",IF(OR('②-1職員名簿'!AG97="○",'②-1職員名簿'!AG97="●"),IF($E97="正規職員","正",IF($E97="契約上の就業時間を記載","",IF($E97&gt;=J$5,"常",J97))),"-"))</f>
        <v/>
      </c>
      <c r="W97" s="88" t="str">
        <f>IF($B97="","",IF(OR('②-1職員名簿'!AH97="○",'②-1職員名簿'!AH97="●"),IF($E97="正規職員","正",IF($E97="契約上の就業時間を記載","",IF($E97&gt;=K$5,"常",K97))),"-"))</f>
        <v/>
      </c>
      <c r="X97" s="88" t="str">
        <f>IF($B97="","",IF(OR('②-1職員名簿'!AI97="○",'②-1職員名簿'!AI97="●"),IF($E97="正規職員","正",IF($E97="契約上の就業時間を記載","",IF($E97&gt;=L$5,"常",L97))),"-"))</f>
        <v/>
      </c>
      <c r="Y97" s="88" t="str">
        <f>IF($B97="","",IF(OR('②-1職員名簿'!AJ97="○",'②-1職員名簿'!AJ97="●"),IF($E97="正規職員","正",IF($E97="契約上の就業時間を記載","",IF($E97&gt;=M$5,"常",M97))),"-"))</f>
        <v/>
      </c>
      <c r="Z97" s="88" t="str">
        <f>IF($B97="","",IF(OR('②-1職員名簿'!AK97="○",'②-1職員名簿'!AK97="●"),IF($E97="正規職員","正",IF($E97="契約上の就業時間を記載","",IF($E97&gt;=N$5,"常",N97))),"-"))</f>
        <v/>
      </c>
      <c r="AA97" s="88" t="str">
        <f>IF($B97="","",IF(OR('②-1職員名簿'!AL97="○",'②-1職員名簿'!AL97="●"),IF($E97="正規職員","正",IF($E97="契約上の就業時間を記載","",IF($E97&gt;=O$5,"常",O97))),"-"))</f>
        <v/>
      </c>
      <c r="AB97" s="88" t="str">
        <f>IF($B97="","",IF(OR('②-1職員名簿'!AM97="○",'②-1職員名簿'!AM97="●"),IF($E97="正規職員","正",IF($E97="契約上の就業時間を記載","",IF($E97&gt;=P$5,"常",P97))),"-"))</f>
        <v/>
      </c>
      <c r="AC97" s="88" t="str">
        <f>IF($B97="","",IF(OR('②-1職員名簿'!AN97="○",'②-1職員名簿'!AN97="●"),IF($E97="正規職員","正",IF($E97="契約上の就業時間を記載","",IF($E97&gt;=Q$5,"常",Q97))),"-"))</f>
        <v/>
      </c>
      <c r="AE97" s="86" t="str">
        <f>IF('②-1職員名簿'!W97="","",'②-1職員名簿'!W97)</f>
        <v/>
      </c>
      <c r="AJ97" s="17" t="str">
        <f t="shared" si="25"/>
        <v>○</v>
      </c>
      <c r="AK97" s="17" t="str">
        <f t="shared" si="26"/>
        <v>○</v>
      </c>
      <c r="AL97" s="17" t="str">
        <f t="shared" si="27"/>
        <v>○</v>
      </c>
      <c r="AM97" s="17" t="str">
        <f t="shared" si="28"/>
        <v>○</v>
      </c>
      <c r="AN97" s="17" t="str">
        <f t="shared" si="29"/>
        <v>○</v>
      </c>
      <c r="AO97" s="17" t="str">
        <f t="shared" si="30"/>
        <v>○</v>
      </c>
      <c r="AP97" s="17" t="str">
        <f t="shared" si="31"/>
        <v>○</v>
      </c>
      <c r="AQ97" s="17" t="str">
        <f t="shared" si="32"/>
        <v>○</v>
      </c>
      <c r="AR97" s="17" t="str">
        <f t="shared" si="33"/>
        <v>○</v>
      </c>
      <c r="AS97" s="17" t="str">
        <f t="shared" si="34"/>
        <v>○</v>
      </c>
      <c r="AT97" s="17" t="str">
        <f t="shared" si="35"/>
        <v>○</v>
      </c>
      <c r="AU97" s="17" t="str">
        <f t="shared" si="36"/>
        <v>○</v>
      </c>
    </row>
    <row r="98" spans="1:47" s="90" customFormat="1" ht="23.15" customHeight="1">
      <c r="A98" s="87">
        <v>92</v>
      </c>
      <c r="B98" s="86" t="str">
        <f>IF('②-1職員名簿'!E98="","",'②-1職員名簿'!Y98)</f>
        <v/>
      </c>
      <c r="C98" s="88" t="str">
        <f>'②-1職員名簿'!BE98</f>
        <v/>
      </c>
      <c r="D98" s="117" t="str">
        <f t="shared" si="24"/>
        <v/>
      </c>
      <c r="E98" s="18" t="str">
        <f>IF($B98="","",IF(AND('②-1職員名簿'!C98="正",'②-1職員名簿'!D98="常"),"正規職員","契約上の就業時間を記載"))</f>
        <v/>
      </c>
      <c r="F98" s="9" t="str">
        <f>IF($B98="","",IF(OR('②-1職員名簿'!AC98="○",'②-1職員名簿'!AC98="●"),IF($E98="正規職員","正",IF($E98="契約上の就業時間を記載","","見込を入力")),"-"))</f>
        <v/>
      </c>
      <c r="G98" s="9" t="str">
        <f>IF($B98="","",IF(OR('②-1職員名簿'!AD98="○",'②-1職員名簿'!AD98="●"),IF($E98="正規職員","正",IF($E98="契約上の就業時間を記載","","実績を入力")),"-"))</f>
        <v/>
      </c>
      <c r="H98" s="9" t="str">
        <f>IF($B98="","",IF(OR('②-1職員名簿'!AE98="○",'②-1職員名簿'!AE98="●"),IF($E98="正規職員","正",IF($E98="契約上の就業時間を記載","","実績を入力")),"-"))</f>
        <v/>
      </c>
      <c r="I98" s="9" t="str">
        <f>IF($B98="","",IF(OR('②-1職員名簿'!AF98="○",'②-1職員名簿'!AF98="●"),IF($E98="正規職員","正",IF($E98="契約上の就業時間を記載","","実績を入力")),"-"))</f>
        <v/>
      </c>
      <c r="J98" s="9" t="str">
        <f>IF($B98="","",IF(OR('②-1職員名簿'!AG98="○",'②-1職員名簿'!AG98="●"),IF($E98="正規職員","正",IF($E98="契約上の就業時間を記載","","実績を入力")),"-"))</f>
        <v/>
      </c>
      <c r="K98" s="9" t="str">
        <f>IF($B98="","",IF(OR('②-1職員名簿'!AH98="○",'②-1職員名簿'!AH98="●"),IF($E98="正規職員","正",IF($E98="契約上の就業時間を記載","","実績を入力")),"-"))</f>
        <v/>
      </c>
      <c r="L98" s="9" t="str">
        <f>IF($B98="","",IF(OR('②-1職員名簿'!AI98="○",'②-1職員名簿'!AI98="●"),IF($E98="正規職員","正",IF($E98="契約上の就業時間を記載","","実績を入力")),"-"))</f>
        <v/>
      </c>
      <c r="M98" s="9" t="str">
        <f>IF($B98="","",IF(OR('②-1職員名簿'!AJ98="○",'②-1職員名簿'!AJ98="●"),IF($E98="正規職員","正",IF($E98="契約上の就業時間を記載","","実績を入力")),"-"))</f>
        <v/>
      </c>
      <c r="N98" s="9" t="str">
        <f>IF($B98="","",IF(OR('②-1職員名簿'!AK98="○",'②-1職員名簿'!AK98="●"),IF($E98="正規職員","正",IF($E98="契約上の就業時間を記載","","実績を入力")),"-"))</f>
        <v/>
      </c>
      <c r="O98" s="9" t="str">
        <f>IF($B98="","",IF(OR('②-1職員名簿'!AL98="○",'②-1職員名簿'!AL98="●"),IF($E98="正規職員","正",IF($E98="契約上の就業時間を記載","","実績を入力")),"-"))</f>
        <v/>
      </c>
      <c r="P98" s="9" t="str">
        <f>IF($B98="","",IF(OR('②-1職員名簿'!AM98="○",'②-1職員名簿'!AM98="●"),IF($E98="正規職員","正",IF($E98="契約上の就業時間を記載","","実績を入力")),"-"))</f>
        <v/>
      </c>
      <c r="Q98" s="9" t="str">
        <f>IF($B98="","",IF(OR('②-1職員名簿'!AN98="○",'②-1職員名簿'!AN98="●"),IF($E98="正規職員","正",IF($E98="契約上の就業時間を記載","","見込を入力")),"-"))</f>
        <v/>
      </c>
      <c r="R98" s="88" t="str">
        <f>IF($B98="","",IF(OR('②-1職員名簿'!AC98="○",'②-1職員名簿'!AC98="●"),IF($E98="正規職員","正",IF($E98="契約上の就業時間を記載","",IF($E98&gt;=F$5,"常",F98))),"-"))</f>
        <v/>
      </c>
      <c r="S98" s="88" t="str">
        <f>IF($B98="","",IF(OR('②-1職員名簿'!AD98="○",'②-1職員名簿'!AD98="●"),IF($E98="正規職員","正",IF($E98="契約上の就業時間を記載","",IF($E98&gt;=G$5,"常",G98))),"-"))</f>
        <v/>
      </c>
      <c r="T98" s="88" t="str">
        <f>IF($B98="","",IF(OR('②-1職員名簿'!AE98="○",'②-1職員名簿'!AE98="●"),IF($E98="正規職員","正",IF($E98="契約上の就業時間を記載","",IF($E98&gt;=H$5,"常",H98))),"-"))</f>
        <v/>
      </c>
      <c r="U98" s="88" t="str">
        <f>IF($B98="","",IF(OR('②-1職員名簿'!AF98="○",'②-1職員名簿'!AF98="●"),IF($E98="正規職員","正",IF($E98="契約上の就業時間を記載","",IF($E98&gt;=I$5,"常",I98))),"-"))</f>
        <v/>
      </c>
      <c r="V98" s="88" t="str">
        <f>IF($B98="","",IF(OR('②-1職員名簿'!AG98="○",'②-1職員名簿'!AG98="●"),IF($E98="正規職員","正",IF($E98="契約上の就業時間を記載","",IF($E98&gt;=J$5,"常",J98))),"-"))</f>
        <v/>
      </c>
      <c r="W98" s="88" t="str">
        <f>IF($B98="","",IF(OR('②-1職員名簿'!AH98="○",'②-1職員名簿'!AH98="●"),IF($E98="正規職員","正",IF($E98="契約上の就業時間を記載","",IF($E98&gt;=K$5,"常",K98))),"-"))</f>
        <v/>
      </c>
      <c r="X98" s="88" t="str">
        <f>IF($B98="","",IF(OR('②-1職員名簿'!AI98="○",'②-1職員名簿'!AI98="●"),IF($E98="正規職員","正",IF($E98="契約上の就業時間を記載","",IF($E98&gt;=L$5,"常",L98))),"-"))</f>
        <v/>
      </c>
      <c r="Y98" s="88" t="str">
        <f>IF($B98="","",IF(OR('②-1職員名簿'!AJ98="○",'②-1職員名簿'!AJ98="●"),IF($E98="正規職員","正",IF($E98="契約上の就業時間を記載","",IF($E98&gt;=M$5,"常",M98))),"-"))</f>
        <v/>
      </c>
      <c r="Z98" s="88" t="str">
        <f>IF($B98="","",IF(OR('②-1職員名簿'!AK98="○",'②-1職員名簿'!AK98="●"),IF($E98="正規職員","正",IF($E98="契約上の就業時間を記載","",IF($E98&gt;=N$5,"常",N98))),"-"))</f>
        <v/>
      </c>
      <c r="AA98" s="88" t="str">
        <f>IF($B98="","",IF(OR('②-1職員名簿'!AL98="○",'②-1職員名簿'!AL98="●"),IF($E98="正規職員","正",IF($E98="契約上の就業時間を記載","",IF($E98&gt;=O$5,"常",O98))),"-"))</f>
        <v/>
      </c>
      <c r="AB98" s="88" t="str">
        <f>IF($B98="","",IF(OR('②-1職員名簿'!AM98="○",'②-1職員名簿'!AM98="●"),IF($E98="正規職員","正",IF($E98="契約上の就業時間を記載","",IF($E98&gt;=P$5,"常",P98))),"-"))</f>
        <v/>
      </c>
      <c r="AC98" s="88" t="str">
        <f>IF($B98="","",IF(OR('②-1職員名簿'!AN98="○",'②-1職員名簿'!AN98="●"),IF($E98="正規職員","正",IF($E98="契約上の就業時間を記載","",IF($E98&gt;=Q$5,"常",Q98))),"-"))</f>
        <v/>
      </c>
      <c r="AE98" s="86" t="str">
        <f>IF('②-1職員名簿'!W98="","",'②-1職員名簿'!W98)</f>
        <v/>
      </c>
      <c r="AJ98" s="17" t="str">
        <f t="shared" si="25"/>
        <v>○</v>
      </c>
      <c r="AK98" s="17" t="str">
        <f t="shared" si="26"/>
        <v>○</v>
      </c>
      <c r="AL98" s="17" t="str">
        <f t="shared" si="27"/>
        <v>○</v>
      </c>
      <c r="AM98" s="17" t="str">
        <f t="shared" si="28"/>
        <v>○</v>
      </c>
      <c r="AN98" s="17" t="str">
        <f t="shared" si="29"/>
        <v>○</v>
      </c>
      <c r="AO98" s="17" t="str">
        <f t="shared" si="30"/>
        <v>○</v>
      </c>
      <c r="AP98" s="17" t="str">
        <f t="shared" si="31"/>
        <v>○</v>
      </c>
      <c r="AQ98" s="17" t="str">
        <f t="shared" si="32"/>
        <v>○</v>
      </c>
      <c r="AR98" s="17" t="str">
        <f t="shared" si="33"/>
        <v>○</v>
      </c>
      <c r="AS98" s="17" t="str">
        <f t="shared" si="34"/>
        <v>○</v>
      </c>
      <c r="AT98" s="17" t="str">
        <f t="shared" si="35"/>
        <v>○</v>
      </c>
      <c r="AU98" s="17" t="str">
        <f t="shared" si="36"/>
        <v>○</v>
      </c>
    </row>
    <row r="99" spans="1:47" s="90" customFormat="1" ht="23.15" customHeight="1">
      <c r="A99" s="87">
        <v>93</v>
      </c>
      <c r="B99" s="86" t="str">
        <f>IF('②-1職員名簿'!E99="","",'②-1職員名簿'!Y99)</f>
        <v/>
      </c>
      <c r="C99" s="88" t="str">
        <f>'②-1職員名簿'!BE99</f>
        <v/>
      </c>
      <c r="D99" s="117" t="str">
        <f t="shared" si="24"/>
        <v/>
      </c>
      <c r="E99" s="18" t="str">
        <f>IF($B99="","",IF(AND('②-1職員名簿'!C99="正",'②-1職員名簿'!D99="常"),"正規職員","契約上の就業時間を記載"))</f>
        <v/>
      </c>
      <c r="F99" s="9" t="str">
        <f>IF($B99="","",IF(OR('②-1職員名簿'!AC99="○",'②-1職員名簿'!AC99="●"),IF($E99="正規職員","正",IF($E99="契約上の就業時間を記載","","見込を入力")),"-"))</f>
        <v/>
      </c>
      <c r="G99" s="9" t="str">
        <f>IF($B99="","",IF(OR('②-1職員名簿'!AD99="○",'②-1職員名簿'!AD99="●"),IF($E99="正規職員","正",IF($E99="契約上の就業時間を記載","","実績を入力")),"-"))</f>
        <v/>
      </c>
      <c r="H99" s="9" t="str">
        <f>IF($B99="","",IF(OR('②-1職員名簿'!AE99="○",'②-1職員名簿'!AE99="●"),IF($E99="正規職員","正",IF($E99="契約上の就業時間を記載","","実績を入力")),"-"))</f>
        <v/>
      </c>
      <c r="I99" s="9" t="str">
        <f>IF($B99="","",IF(OR('②-1職員名簿'!AF99="○",'②-1職員名簿'!AF99="●"),IF($E99="正規職員","正",IF($E99="契約上の就業時間を記載","","実績を入力")),"-"))</f>
        <v/>
      </c>
      <c r="J99" s="9" t="str">
        <f>IF($B99="","",IF(OR('②-1職員名簿'!AG99="○",'②-1職員名簿'!AG99="●"),IF($E99="正規職員","正",IF($E99="契約上の就業時間を記載","","実績を入力")),"-"))</f>
        <v/>
      </c>
      <c r="K99" s="9" t="str">
        <f>IF($B99="","",IF(OR('②-1職員名簿'!AH99="○",'②-1職員名簿'!AH99="●"),IF($E99="正規職員","正",IF($E99="契約上の就業時間を記載","","実績を入力")),"-"))</f>
        <v/>
      </c>
      <c r="L99" s="9" t="str">
        <f>IF($B99="","",IF(OR('②-1職員名簿'!AI99="○",'②-1職員名簿'!AI99="●"),IF($E99="正規職員","正",IF($E99="契約上の就業時間を記載","","実績を入力")),"-"))</f>
        <v/>
      </c>
      <c r="M99" s="9" t="str">
        <f>IF($B99="","",IF(OR('②-1職員名簿'!AJ99="○",'②-1職員名簿'!AJ99="●"),IF($E99="正規職員","正",IF($E99="契約上の就業時間を記載","","実績を入力")),"-"))</f>
        <v/>
      </c>
      <c r="N99" s="9" t="str">
        <f>IF($B99="","",IF(OR('②-1職員名簿'!AK99="○",'②-1職員名簿'!AK99="●"),IF($E99="正規職員","正",IF($E99="契約上の就業時間を記載","","実績を入力")),"-"))</f>
        <v/>
      </c>
      <c r="O99" s="9" t="str">
        <f>IF($B99="","",IF(OR('②-1職員名簿'!AL99="○",'②-1職員名簿'!AL99="●"),IF($E99="正規職員","正",IF($E99="契約上の就業時間を記載","","実績を入力")),"-"))</f>
        <v/>
      </c>
      <c r="P99" s="9" t="str">
        <f>IF($B99="","",IF(OR('②-1職員名簿'!AM99="○",'②-1職員名簿'!AM99="●"),IF($E99="正規職員","正",IF($E99="契約上の就業時間を記載","","実績を入力")),"-"))</f>
        <v/>
      </c>
      <c r="Q99" s="9" t="str">
        <f>IF($B99="","",IF(OR('②-1職員名簿'!AN99="○",'②-1職員名簿'!AN99="●"),IF($E99="正規職員","正",IF($E99="契約上の就業時間を記載","","見込を入力")),"-"))</f>
        <v/>
      </c>
      <c r="R99" s="88" t="str">
        <f>IF($B99="","",IF(OR('②-1職員名簿'!AC99="○",'②-1職員名簿'!AC99="●"),IF($E99="正規職員","正",IF($E99="契約上の就業時間を記載","",IF($E99&gt;=F$5,"常",F99))),"-"))</f>
        <v/>
      </c>
      <c r="S99" s="88" t="str">
        <f>IF($B99="","",IF(OR('②-1職員名簿'!AD99="○",'②-1職員名簿'!AD99="●"),IF($E99="正規職員","正",IF($E99="契約上の就業時間を記載","",IF($E99&gt;=G$5,"常",G99))),"-"))</f>
        <v/>
      </c>
      <c r="T99" s="88" t="str">
        <f>IF($B99="","",IF(OR('②-1職員名簿'!AE99="○",'②-1職員名簿'!AE99="●"),IF($E99="正規職員","正",IF($E99="契約上の就業時間を記載","",IF($E99&gt;=H$5,"常",H99))),"-"))</f>
        <v/>
      </c>
      <c r="U99" s="88" t="str">
        <f>IF($B99="","",IF(OR('②-1職員名簿'!AF99="○",'②-1職員名簿'!AF99="●"),IF($E99="正規職員","正",IF($E99="契約上の就業時間を記載","",IF($E99&gt;=I$5,"常",I99))),"-"))</f>
        <v/>
      </c>
      <c r="V99" s="88" t="str">
        <f>IF($B99="","",IF(OR('②-1職員名簿'!AG99="○",'②-1職員名簿'!AG99="●"),IF($E99="正規職員","正",IF($E99="契約上の就業時間を記載","",IF($E99&gt;=J$5,"常",J99))),"-"))</f>
        <v/>
      </c>
      <c r="W99" s="88" t="str">
        <f>IF($B99="","",IF(OR('②-1職員名簿'!AH99="○",'②-1職員名簿'!AH99="●"),IF($E99="正規職員","正",IF($E99="契約上の就業時間を記載","",IF($E99&gt;=K$5,"常",K99))),"-"))</f>
        <v/>
      </c>
      <c r="X99" s="88" t="str">
        <f>IF($B99="","",IF(OR('②-1職員名簿'!AI99="○",'②-1職員名簿'!AI99="●"),IF($E99="正規職員","正",IF($E99="契約上の就業時間を記載","",IF($E99&gt;=L$5,"常",L99))),"-"))</f>
        <v/>
      </c>
      <c r="Y99" s="88" t="str">
        <f>IF($B99="","",IF(OR('②-1職員名簿'!AJ99="○",'②-1職員名簿'!AJ99="●"),IF($E99="正規職員","正",IF($E99="契約上の就業時間を記載","",IF($E99&gt;=M$5,"常",M99))),"-"))</f>
        <v/>
      </c>
      <c r="Z99" s="88" t="str">
        <f>IF($B99="","",IF(OR('②-1職員名簿'!AK99="○",'②-1職員名簿'!AK99="●"),IF($E99="正規職員","正",IF($E99="契約上の就業時間を記載","",IF($E99&gt;=N$5,"常",N99))),"-"))</f>
        <v/>
      </c>
      <c r="AA99" s="88" t="str">
        <f>IF($B99="","",IF(OR('②-1職員名簿'!AL99="○",'②-1職員名簿'!AL99="●"),IF($E99="正規職員","正",IF($E99="契約上の就業時間を記載","",IF($E99&gt;=O$5,"常",O99))),"-"))</f>
        <v/>
      </c>
      <c r="AB99" s="88" t="str">
        <f>IF($B99="","",IF(OR('②-1職員名簿'!AM99="○",'②-1職員名簿'!AM99="●"),IF($E99="正規職員","正",IF($E99="契約上の就業時間を記載","",IF($E99&gt;=P$5,"常",P99))),"-"))</f>
        <v/>
      </c>
      <c r="AC99" s="88" t="str">
        <f>IF($B99="","",IF(OR('②-1職員名簿'!AN99="○",'②-1職員名簿'!AN99="●"),IF($E99="正規職員","正",IF($E99="契約上の就業時間を記載","",IF($E99&gt;=Q$5,"常",Q99))),"-"))</f>
        <v/>
      </c>
      <c r="AE99" s="86" t="str">
        <f>IF('②-1職員名簿'!W99="","",'②-1職員名簿'!W99)</f>
        <v/>
      </c>
      <c r="AJ99" s="17" t="str">
        <f t="shared" si="25"/>
        <v>○</v>
      </c>
      <c r="AK99" s="17" t="str">
        <f t="shared" si="26"/>
        <v>○</v>
      </c>
      <c r="AL99" s="17" t="str">
        <f t="shared" si="27"/>
        <v>○</v>
      </c>
      <c r="AM99" s="17" t="str">
        <f t="shared" si="28"/>
        <v>○</v>
      </c>
      <c r="AN99" s="17" t="str">
        <f t="shared" si="29"/>
        <v>○</v>
      </c>
      <c r="AO99" s="17" t="str">
        <f t="shared" si="30"/>
        <v>○</v>
      </c>
      <c r="AP99" s="17" t="str">
        <f t="shared" si="31"/>
        <v>○</v>
      </c>
      <c r="AQ99" s="17" t="str">
        <f t="shared" si="32"/>
        <v>○</v>
      </c>
      <c r="AR99" s="17" t="str">
        <f t="shared" si="33"/>
        <v>○</v>
      </c>
      <c r="AS99" s="17" t="str">
        <f t="shared" si="34"/>
        <v>○</v>
      </c>
      <c r="AT99" s="17" t="str">
        <f t="shared" si="35"/>
        <v>○</v>
      </c>
      <c r="AU99" s="17" t="str">
        <f t="shared" si="36"/>
        <v>○</v>
      </c>
    </row>
    <row r="100" spans="1:47" s="90" customFormat="1" ht="23.15" customHeight="1">
      <c r="A100" s="87">
        <v>94</v>
      </c>
      <c r="B100" s="86" t="str">
        <f>IF('②-1職員名簿'!E100="","",'②-1職員名簿'!Y100)</f>
        <v/>
      </c>
      <c r="C100" s="88" t="str">
        <f>'②-1職員名簿'!BE100</f>
        <v/>
      </c>
      <c r="D100" s="117" t="str">
        <f t="shared" si="24"/>
        <v/>
      </c>
      <c r="E100" s="18" t="str">
        <f>IF($B100="","",IF(AND('②-1職員名簿'!C100="正",'②-1職員名簿'!D100="常"),"正規職員","契約上の就業時間を記載"))</f>
        <v/>
      </c>
      <c r="F100" s="9" t="str">
        <f>IF($B100="","",IF(OR('②-1職員名簿'!AC100="○",'②-1職員名簿'!AC100="●"),IF($E100="正規職員","正",IF($E100="契約上の就業時間を記載","","見込を入力")),"-"))</f>
        <v/>
      </c>
      <c r="G100" s="9" t="str">
        <f>IF($B100="","",IF(OR('②-1職員名簿'!AD100="○",'②-1職員名簿'!AD100="●"),IF($E100="正規職員","正",IF($E100="契約上の就業時間を記載","","実績を入力")),"-"))</f>
        <v/>
      </c>
      <c r="H100" s="9" t="str">
        <f>IF($B100="","",IF(OR('②-1職員名簿'!AE100="○",'②-1職員名簿'!AE100="●"),IF($E100="正規職員","正",IF($E100="契約上の就業時間を記載","","実績を入力")),"-"))</f>
        <v/>
      </c>
      <c r="I100" s="9" t="str">
        <f>IF($B100="","",IF(OR('②-1職員名簿'!AF100="○",'②-1職員名簿'!AF100="●"),IF($E100="正規職員","正",IF($E100="契約上の就業時間を記載","","実績を入力")),"-"))</f>
        <v/>
      </c>
      <c r="J100" s="9" t="str">
        <f>IF($B100="","",IF(OR('②-1職員名簿'!AG100="○",'②-1職員名簿'!AG100="●"),IF($E100="正規職員","正",IF($E100="契約上の就業時間を記載","","実績を入力")),"-"))</f>
        <v/>
      </c>
      <c r="K100" s="9" t="str">
        <f>IF($B100="","",IF(OR('②-1職員名簿'!AH100="○",'②-1職員名簿'!AH100="●"),IF($E100="正規職員","正",IF($E100="契約上の就業時間を記載","","実績を入力")),"-"))</f>
        <v/>
      </c>
      <c r="L100" s="9" t="str">
        <f>IF($B100="","",IF(OR('②-1職員名簿'!AI100="○",'②-1職員名簿'!AI100="●"),IF($E100="正規職員","正",IF($E100="契約上の就業時間を記載","","実績を入力")),"-"))</f>
        <v/>
      </c>
      <c r="M100" s="9" t="str">
        <f>IF($B100="","",IF(OR('②-1職員名簿'!AJ100="○",'②-1職員名簿'!AJ100="●"),IF($E100="正規職員","正",IF($E100="契約上の就業時間を記載","","実績を入力")),"-"))</f>
        <v/>
      </c>
      <c r="N100" s="9" t="str">
        <f>IF($B100="","",IF(OR('②-1職員名簿'!AK100="○",'②-1職員名簿'!AK100="●"),IF($E100="正規職員","正",IF($E100="契約上の就業時間を記載","","実績を入力")),"-"))</f>
        <v/>
      </c>
      <c r="O100" s="9" t="str">
        <f>IF($B100="","",IF(OR('②-1職員名簿'!AL100="○",'②-1職員名簿'!AL100="●"),IF($E100="正規職員","正",IF($E100="契約上の就業時間を記載","","実績を入力")),"-"))</f>
        <v/>
      </c>
      <c r="P100" s="9" t="str">
        <f>IF($B100="","",IF(OR('②-1職員名簿'!AM100="○",'②-1職員名簿'!AM100="●"),IF($E100="正規職員","正",IF($E100="契約上の就業時間を記載","","実績を入力")),"-"))</f>
        <v/>
      </c>
      <c r="Q100" s="9" t="str">
        <f>IF($B100="","",IF(OR('②-1職員名簿'!AN100="○",'②-1職員名簿'!AN100="●"),IF($E100="正規職員","正",IF($E100="契約上の就業時間を記載","","見込を入力")),"-"))</f>
        <v/>
      </c>
      <c r="R100" s="88" t="str">
        <f>IF($B100="","",IF(OR('②-1職員名簿'!AC100="○",'②-1職員名簿'!AC100="●"),IF($E100="正規職員","正",IF($E100="契約上の就業時間を記載","",IF($E100&gt;=F$5,"常",F100))),"-"))</f>
        <v/>
      </c>
      <c r="S100" s="88" t="str">
        <f>IF($B100="","",IF(OR('②-1職員名簿'!AD100="○",'②-1職員名簿'!AD100="●"),IF($E100="正規職員","正",IF($E100="契約上の就業時間を記載","",IF($E100&gt;=G$5,"常",G100))),"-"))</f>
        <v/>
      </c>
      <c r="T100" s="88" t="str">
        <f>IF($B100="","",IF(OR('②-1職員名簿'!AE100="○",'②-1職員名簿'!AE100="●"),IF($E100="正規職員","正",IF($E100="契約上の就業時間を記載","",IF($E100&gt;=H$5,"常",H100))),"-"))</f>
        <v/>
      </c>
      <c r="U100" s="88" t="str">
        <f>IF($B100="","",IF(OR('②-1職員名簿'!AF100="○",'②-1職員名簿'!AF100="●"),IF($E100="正規職員","正",IF($E100="契約上の就業時間を記載","",IF($E100&gt;=I$5,"常",I100))),"-"))</f>
        <v/>
      </c>
      <c r="V100" s="88" t="str">
        <f>IF($B100="","",IF(OR('②-1職員名簿'!AG100="○",'②-1職員名簿'!AG100="●"),IF($E100="正規職員","正",IF($E100="契約上の就業時間を記載","",IF($E100&gt;=J$5,"常",J100))),"-"))</f>
        <v/>
      </c>
      <c r="W100" s="88" t="str">
        <f>IF($B100="","",IF(OR('②-1職員名簿'!AH100="○",'②-1職員名簿'!AH100="●"),IF($E100="正規職員","正",IF($E100="契約上の就業時間を記載","",IF($E100&gt;=K$5,"常",K100))),"-"))</f>
        <v/>
      </c>
      <c r="X100" s="88" t="str">
        <f>IF($B100="","",IF(OR('②-1職員名簿'!AI100="○",'②-1職員名簿'!AI100="●"),IF($E100="正規職員","正",IF($E100="契約上の就業時間を記載","",IF($E100&gt;=L$5,"常",L100))),"-"))</f>
        <v/>
      </c>
      <c r="Y100" s="88" t="str">
        <f>IF($B100="","",IF(OR('②-1職員名簿'!AJ100="○",'②-1職員名簿'!AJ100="●"),IF($E100="正規職員","正",IF($E100="契約上の就業時間を記載","",IF($E100&gt;=M$5,"常",M100))),"-"))</f>
        <v/>
      </c>
      <c r="Z100" s="88" t="str">
        <f>IF($B100="","",IF(OR('②-1職員名簿'!AK100="○",'②-1職員名簿'!AK100="●"),IF($E100="正規職員","正",IF($E100="契約上の就業時間を記載","",IF($E100&gt;=N$5,"常",N100))),"-"))</f>
        <v/>
      </c>
      <c r="AA100" s="88" t="str">
        <f>IF($B100="","",IF(OR('②-1職員名簿'!AL100="○",'②-1職員名簿'!AL100="●"),IF($E100="正規職員","正",IF($E100="契約上の就業時間を記載","",IF($E100&gt;=O$5,"常",O100))),"-"))</f>
        <v/>
      </c>
      <c r="AB100" s="88" t="str">
        <f>IF($B100="","",IF(OR('②-1職員名簿'!AM100="○",'②-1職員名簿'!AM100="●"),IF($E100="正規職員","正",IF($E100="契約上の就業時間を記載","",IF($E100&gt;=P$5,"常",P100))),"-"))</f>
        <v/>
      </c>
      <c r="AC100" s="88" t="str">
        <f>IF($B100="","",IF(OR('②-1職員名簿'!AN100="○",'②-1職員名簿'!AN100="●"),IF($E100="正規職員","正",IF($E100="契約上の就業時間を記載","",IF($E100&gt;=Q$5,"常",Q100))),"-"))</f>
        <v/>
      </c>
      <c r="AE100" s="86" t="str">
        <f>IF('②-1職員名簿'!W100="","",'②-1職員名簿'!W100)</f>
        <v/>
      </c>
      <c r="AJ100" s="17" t="str">
        <f t="shared" si="25"/>
        <v>○</v>
      </c>
      <c r="AK100" s="17" t="str">
        <f t="shared" si="26"/>
        <v>○</v>
      </c>
      <c r="AL100" s="17" t="str">
        <f t="shared" si="27"/>
        <v>○</v>
      </c>
      <c r="AM100" s="17" t="str">
        <f t="shared" si="28"/>
        <v>○</v>
      </c>
      <c r="AN100" s="17" t="str">
        <f t="shared" si="29"/>
        <v>○</v>
      </c>
      <c r="AO100" s="17" t="str">
        <f t="shared" si="30"/>
        <v>○</v>
      </c>
      <c r="AP100" s="17" t="str">
        <f t="shared" si="31"/>
        <v>○</v>
      </c>
      <c r="AQ100" s="17" t="str">
        <f t="shared" si="32"/>
        <v>○</v>
      </c>
      <c r="AR100" s="17" t="str">
        <f t="shared" si="33"/>
        <v>○</v>
      </c>
      <c r="AS100" s="17" t="str">
        <f t="shared" si="34"/>
        <v>○</v>
      </c>
      <c r="AT100" s="17" t="str">
        <f t="shared" si="35"/>
        <v>○</v>
      </c>
      <c r="AU100" s="17" t="str">
        <f t="shared" si="36"/>
        <v>○</v>
      </c>
    </row>
    <row r="101" spans="1:47" s="90" customFormat="1" ht="23.15" customHeight="1">
      <c r="A101" s="87">
        <v>95</v>
      </c>
      <c r="B101" s="86" t="str">
        <f>IF('②-1職員名簿'!E101="","",'②-1職員名簿'!Y101)</f>
        <v/>
      </c>
      <c r="C101" s="88" t="str">
        <f>'②-1職員名簿'!BE101</f>
        <v/>
      </c>
      <c r="D101" s="117" t="str">
        <f t="shared" si="24"/>
        <v/>
      </c>
      <c r="E101" s="18" t="str">
        <f>IF($B101="","",IF(AND('②-1職員名簿'!C101="正",'②-1職員名簿'!D101="常"),"正規職員","契約上の就業時間を記載"))</f>
        <v/>
      </c>
      <c r="F101" s="9" t="str">
        <f>IF($B101="","",IF(OR('②-1職員名簿'!AC101="○",'②-1職員名簿'!AC101="●"),IF($E101="正規職員","正",IF($E101="契約上の就業時間を記載","","見込を入力")),"-"))</f>
        <v/>
      </c>
      <c r="G101" s="9" t="str">
        <f>IF($B101="","",IF(OR('②-1職員名簿'!AD101="○",'②-1職員名簿'!AD101="●"),IF($E101="正規職員","正",IF($E101="契約上の就業時間を記載","","実績を入力")),"-"))</f>
        <v/>
      </c>
      <c r="H101" s="9" t="str">
        <f>IF($B101="","",IF(OR('②-1職員名簿'!AE101="○",'②-1職員名簿'!AE101="●"),IF($E101="正規職員","正",IF($E101="契約上の就業時間を記載","","実績を入力")),"-"))</f>
        <v/>
      </c>
      <c r="I101" s="9" t="str">
        <f>IF($B101="","",IF(OR('②-1職員名簿'!AF101="○",'②-1職員名簿'!AF101="●"),IF($E101="正規職員","正",IF($E101="契約上の就業時間を記載","","実績を入力")),"-"))</f>
        <v/>
      </c>
      <c r="J101" s="9" t="str">
        <f>IF($B101="","",IF(OR('②-1職員名簿'!AG101="○",'②-1職員名簿'!AG101="●"),IF($E101="正規職員","正",IF($E101="契約上の就業時間を記載","","実績を入力")),"-"))</f>
        <v/>
      </c>
      <c r="K101" s="9" t="str">
        <f>IF($B101="","",IF(OR('②-1職員名簿'!AH101="○",'②-1職員名簿'!AH101="●"),IF($E101="正規職員","正",IF($E101="契約上の就業時間を記載","","実績を入力")),"-"))</f>
        <v/>
      </c>
      <c r="L101" s="9" t="str">
        <f>IF($B101="","",IF(OR('②-1職員名簿'!AI101="○",'②-1職員名簿'!AI101="●"),IF($E101="正規職員","正",IF($E101="契約上の就業時間を記載","","実績を入力")),"-"))</f>
        <v/>
      </c>
      <c r="M101" s="9" t="str">
        <f>IF($B101="","",IF(OR('②-1職員名簿'!AJ101="○",'②-1職員名簿'!AJ101="●"),IF($E101="正規職員","正",IF($E101="契約上の就業時間を記載","","実績を入力")),"-"))</f>
        <v/>
      </c>
      <c r="N101" s="9" t="str">
        <f>IF($B101="","",IF(OR('②-1職員名簿'!AK101="○",'②-1職員名簿'!AK101="●"),IF($E101="正規職員","正",IF($E101="契約上の就業時間を記載","","実績を入力")),"-"))</f>
        <v/>
      </c>
      <c r="O101" s="9" t="str">
        <f>IF($B101="","",IF(OR('②-1職員名簿'!AL101="○",'②-1職員名簿'!AL101="●"),IF($E101="正規職員","正",IF($E101="契約上の就業時間を記載","","実績を入力")),"-"))</f>
        <v/>
      </c>
      <c r="P101" s="9" t="str">
        <f>IF($B101="","",IF(OR('②-1職員名簿'!AM101="○",'②-1職員名簿'!AM101="●"),IF($E101="正規職員","正",IF($E101="契約上の就業時間を記載","","実績を入力")),"-"))</f>
        <v/>
      </c>
      <c r="Q101" s="9" t="str">
        <f>IF($B101="","",IF(OR('②-1職員名簿'!AN101="○",'②-1職員名簿'!AN101="●"),IF($E101="正規職員","正",IF($E101="契約上の就業時間を記載","","見込を入力")),"-"))</f>
        <v/>
      </c>
      <c r="R101" s="88" t="str">
        <f>IF($B101="","",IF(OR('②-1職員名簿'!AC101="○",'②-1職員名簿'!AC101="●"),IF($E101="正規職員","正",IF($E101="契約上の就業時間を記載","",IF($E101&gt;=F$5,"常",F101))),"-"))</f>
        <v/>
      </c>
      <c r="S101" s="88" t="str">
        <f>IF($B101="","",IF(OR('②-1職員名簿'!AD101="○",'②-1職員名簿'!AD101="●"),IF($E101="正規職員","正",IF($E101="契約上の就業時間を記載","",IF($E101&gt;=G$5,"常",G101))),"-"))</f>
        <v/>
      </c>
      <c r="T101" s="88" t="str">
        <f>IF($B101="","",IF(OR('②-1職員名簿'!AE101="○",'②-1職員名簿'!AE101="●"),IF($E101="正規職員","正",IF($E101="契約上の就業時間を記載","",IF($E101&gt;=H$5,"常",H101))),"-"))</f>
        <v/>
      </c>
      <c r="U101" s="88" t="str">
        <f>IF($B101="","",IF(OR('②-1職員名簿'!AF101="○",'②-1職員名簿'!AF101="●"),IF($E101="正規職員","正",IF($E101="契約上の就業時間を記載","",IF($E101&gt;=I$5,"常",I101))),"-"))</f>
        <v/>
      </c>
      <c r="V101" s="88" t="str">
        <f>IF($B101="","",IF(OR('②-1職員名簿'!AG101="○",'②-1職員名簿'!AG101="●"),IF($E101="正規職員","正",IF($E101="契約上の就業時間を記載","",IF($E101&gt;=J$5,"常",J101))),"-"))</f>
        <v/>
      </c>
      <c r="W101" s="88" t="str">
        <f>IF($B101="","",IF(OR('②-1職員名簿'!AH101="○",'②-1職員名簿'!AH101="●"),IF($E101="正規職員","正",IF($E101="契約上の就業時間を記載","",IF($E101&gt;=K$5,"常",K101))),"-"))</f>
        <v/>
      </c>
      <c r="X101" s="88" t="str">
        <f>IF($B101="","",IF(OR('②-1職員名簿'!AI101="○",'②-1職員名簿'!AI101="●"),IF($E101="正規職員","正",IF($E101="契約上の就業時間を記載","",IF($E101&gt;=L$5,"常",L101))),"-"))</f>
        <v/>
      </c>
      <c r="Y101" s="88" t="str">
        <f>IF($B101="","",IF(OR('②-1職員名簿'!AJ101="○",'②-1職員名簿'!AJ101="●"),IF($E101="正規職員","正",IF($E101="契約上の就業時間を記載","",IF($E101&gt;=M$5,"常",M101))),"-"))</f>
        <v/>
      </c>
      <c r="Z101" s="88" t="str">
        <f>IF($B101="","",IF(OR('②-1職員名簿'!AK101="○",'②-1職員名簿'!AK101="●"),IF($E101="正規職員","正",IF($E101="契約上の就業時間を記載","",IF($E101&gt;=N$5,"常",N101))),"-"))</f>
        <v/>
      </c>
      <c r="AA101" s="88" t="str">
        <f>IF($B101="","",IF(OR('②-1職員名簿'!AL101="○",'②-1職員名簿'!AL101="●"),IF($E101="正規職員","正",IF($E101="契約上の就業時間を記載","",IF($E101&gt;=O$5,"常",O101))),"-"))</f>
        <v/>
      </c>
      <c r="AB101" s="88" t="str">
        <f>IF($B101="","",IF(OR('②-1職員名簿'!AM101="○",'②-1職員名簿'!AM101="●"),IF($E101="正規職員","正",IF($E101="契約上の就業時間を記載","",IF($E101&gt;=P$5,"常",P101))),"-"))</f>
        <v/>
      </c>
      <c r="AC101" s="88" t="str">
        <f>IF($B101="","",IF(OR('②-1職員名簿'!AN101="○",'②-1職員名簿'!AN101="●"),IF($E101="正規職員","正",IF($E101="契約上の就業時間を記載","",IF($E101&gt;=Q$5,"常",Q101))),"-"))</f>
        <v/>
      </c>
      <c r="AE101" s="86" t="str">
        <f>IF('②-1職員名簿'!W101="","",'②-1職員名簿'!W101)</f>
        <v/>
      </c>
      <c r="AJ101" s="17" t="str">
        <f t="shared" si="25"/>
        <v>○</v>
      </c>
      <c r="AK101" s="17" t="str">
        <f t="shared" si="26"/>
        <v>○</v>
      </c>
      <c r="AL101" s="17" t="str">
        <f t="shared" si="27"/>
        <v>○</v>
      </c>
      <c r="AM101" s="17" t="str">
        <f t="shared" si="28"/>
        <v>○</v>
      </c>
      <c r="AN101" s="17" t="str">
        <f t="shared" si="29"/>
        <v>○</v>
      </c>
      <c r="AO101" s="17" t="str">
        <f t="shared" si="30"/>
        <v>○</v>
      </c>
      <c r="AP101" s="17" t="str">
        <f t="shared" si="31"/>
        <v>○</v>
      </c>
      <c r="AQ101" s="17" t="str">
        <f t="shared" si="32"/>
        <v>○</v>
      </c>
      <c r="AR101" s="17" t="str">
        <f t="shared" si="33"/>
        <v>○</v>
      </c>
      <c r="AS101" s="17" t="str">
        <f t="shared" si="34"/>
        <v>○</v>
      </c>
      <c r="AT101" s="17" t="str">
        <f t="shared" si="35"/>
        <v>○</v>
      </c>
      <c r="AU101" s="17" t="str">
        <f t="shared" si="36"/>
        <v>○</v>
      </c>
    </row>
    <row r="102" spans="1:47" s="90" customFormat="1" ht="23.15" customHeight="1">
      <c r="A102" s="87">
        <v>96</v>
      </c>
      <c r="B102" s="86" t="str">
        <f>IF('②-1職員名簿'!E102="","",'②-1職員名簿'!Y102)</f>
        <v/>
      </c>
      <c r="C102" s="88" t="str">
        <f>'②-1職員名簿'!BE102</f>
        <v/>
      </c>
      <c r="D102" s="117" t="str">
        <f t="shared" si="24"/>
        <v/>
      </c>
      <c r="E102" s="18" t="str">
        <f>IF($B102="","",IF(AND('②-1職員名簿'!C102="正",'②-1職員名簿'!D102="常"),"正規職員","契約上の就業時間を記載"))</f>
        <v/>
      </c>
      <c r="F102" s="9" t="str">
        <f>IF($B102="","",IF(OR('②-1職員名簿'!AC102="○",'②-1職員名簿'!AC102="●"),IF($E102="正規職員","正",IF($E102="契約上の就業時間を記載","","見込を入力")),"-"))</f>
        <v/>
      </c>
      <c r="G102" s="9" t="str">
        <f>IF($B102="","",IF(OR('②-1職員名簿'!AD102="○",'②-1職員名簿'!AD102="●"),IF($E102="正規職員","正",IF($E102="契約上の就業時間を記載","","実績を入力")),"-"))</f>
        <v/>
      </c>
      <c r="H102" s="9" t="str">
        <f>IF($B102="","",IF(OR('②-1職員名簿'!AE102="○",'②-1職員名簿'!AE102="●"),IF($E102="正規職員","正",IF($E102="契約上の就業時間を記載","","実績を入力")),"-"))</f>
        <v/>
      </c>
      <c r="I102" s="9" t="str">
        <f>IF($B102="","",IF(OR('②-1職員名簿'!AF102="○",'②-1職員名簿'!AF102="●"),IF($E102="正規職員","正",IF($E102="契約上の就業時間を記載","","実績を入力")),"-"))</f>
        <v/>
      </c>
      <c r="J102" s="9" t="str">
        <f>IF($B102="","",IF(OR('②-1職員名簿'!AG102="○",'②-1職員名簿'!AG102="●"),IF($E102="正規職員","正",IF($E102="契約上の就業時間を記載","","実績を入力")),"-"))</f>
        <v/>
      </c>
      <c r="K102" s="9" t="str">
        <f>IF($B102="","",IF(OR('②-1職員名簿'!AH102="○",'②-1職員名簿'!AH102="●"),IF($E102="正規職員","正",IF($E102="契約上の就業時間を記載","","実績を入力")),"-"))</f>
        <v/>
      </c>
      <c r="L102" s="9" t="str">
        <f>IF($B102="","",IF(OR('②-1職員名簿'!AI102="○",'②-1職員名簿'!AI102="●"),IF($E102="正規職員","正",IF($E102="契約上の就業時間を記載","","実績を入力")),"-"))</f>
        <v/>
      </c>
      <c r="M102" s="9" t="str">
        <f>IF($B102="","",IF(OR('②-1職員名簿'!AJ102="○",'②-1職員名簿'!AJ102="●"),IF($E102="正規職員","正",IF($E102="契約上の就業時間を記載","","実績を入力")),"-"))</f>
        <v/>
      </c>
      <c r="N102" s="9" t="str">
        <f>IF($B102="","",IF(OR('②-1職員名簿'!AK102="○",'②-1職員名簿'!AK102="●"),IF($E102="正規職員","正",IF($E102="契約上の就業時間を記載","","実績を入力")),"-"))</f>
        <v/>
      </c>
      <c r="O102" s="9" t="str">
        <f>IF($B102="","",IF(OR('②-1職員名簿'!AL102="○",'②-1職員名簿'!AL102="●"),IF($E102="正規職員","正",IF($E102="契約上の就業時間を記載","","実績を入力")),"-"))</f>
        <v/>
      </c>
      <c r="P102" s="9" t="str">
        <f>IF($B102="","",IF(OR('②-1職員名簿'!AM102="○",'②-1職員名簿'!AM102="●"),IF($E102="正規職員","正",IF($E102="契約上の就業時間を記載","","実績を入力")),"-"))</f>
        <v/>
      </c>
      <c r="Q102" s="9" t="str">
        <f>IF($B102="","",IF(OR('②-1職員名簿'!AN102="○",'②-1職員名簿'!AN102="●"),IF($E102="正規職員","正",IF($E102="契約上の就業時間を記載","","見込を入力")),"-"))</f>
        <v/>
      </c>
      <c r="R102" s="88" t="str">
        <f>IF($B102="","",IF(OR('②-1職員名簿'!AC102="○",'②-1職員名簿'!AC102="●"),IF($E102="正規職員","正",IF($E102="契約上の就業時間を記載","",IF($E102&gt;=F$5,"常",F102))),"-"))</f>
        <v/>
      </c>
      <c r="S102" s="88" t="str">
        <f>IF($B102="","",IF(OR('②-1職員名簿'!AD102="○",'②-1職員名簿'!AD102="●"),IF($E102="正規職員","正",IF($E102="契約上の就業時間を記載","",IF($E102&gt;=G$5,"常",G102))),"-"))</f>
        <v/>
      </c>
      <c r="T102" s="88" t="str">
        <f>IF($B102="","",IF(OR('②-1職員名簿'!AE102="○",'②-1職員名簿'!AE102="●"),IF($E102="正規職員","正",IF($E102="契約上の就業時間を記載","",IF($E102&gt;=H$5,"常",H102))),"-"))</f>
        <v/>
      </c>
      <c r="U102" s="88" t="str">
        <f>IF($B102="","",IF(OR('②-1職員名簿'!AF102="○",'②-1職員名簿'!AF102="●"),IF($E102="正規職員","正",IF($E102="契約上の就業時間を記載","",IF($E102&gt;=I$5,"常",I102))),"-"))</f>
        <v/>
      </c>
      <c r="V102" s="88" t="str">
        <f>IF($B102="","",IF(OR('②-1職員名簿'!AG102="○",'②-1職員名簿'!AG102="●"),IF($E102="正規職員","正",IF($E102="契約上の就業時間を記載","",IF($E102&gt;=J$5,"常",J102))),"-"))</f>
        <v/>
      </c>
      <c r="W102" s="88" t="str">
        <f>IF($B102="","",IF(OR('②-1職員名簿'!AH102="○",'②-1職員名簿'!AH102="●"),IF($E102="正規職員","正",IF($E102="契約上の就業時間を記載","",IF($E102&gt;=K$5,"常",K102))),"-"))</f>
        <v/>
      </c>
      <c r="X102" s="88" t="str">
        <f>IF($B102="","",IF(OR('②-1職員名簿'!AI102="○",'②-1職員名簿'!AI102="●"),IF($E102="正規職員","正",IF($E102="契約上の就業時間を記載","",IF($E102&gt;=L$5,"常",L102))),"-"))</f>
        <v/>
      </c>
      <c r="Y102" s="88" t="str">
        <f>IF($B102="","",IF(OR('②-1職員名簿'!AJ102="○",'②-1職員名簿'!AJ102="●"),IF($E102="正規職員","正",IF($E102="契約上の就業時間を記載","",IF($E102&gt;=M$5,"常",M102))),"-"))</f>
        <v/>
      </c>
      <c r="Z102" s="88" t="str">
        <f>IF($B102="","",IF(OR('②-1職員名簿'!AK102="○",'②-1職員名簿'!AK102="●"),IF($E102="正規職員","正",IF($E102="契約上の就業時間を記載","",IF($E102&gt;=N$5,"常",N102))),"-"))</f>
        <v/>
      </c>
      <c r="AA102" s="88" t="str">
        <f>IF($B102="","",IF(OR('②-1職員名簿'!AL102="○",'②-1職員名簿'!AL102="●"),IF($E102="正規職員","正",IF($E102="契約上の就業時間を記載","",IF($E102&gt;=O$5,"常",O102))),"-"))</f>
        <v/>
      </c>
      <c r="AB102" s="88" t="str">
        <f>IF($B102="","",IF(OR('②-1職員名簿'!AM102="○",'②-1職員名簿'!AM102="●"),IF($E102="正規職員","正",IF($E102="契約上の就業時間を記載","",IF($E102&gt;=P$5,"常",P102))),"-"))</f>
        <v/>
      </c>
      <c r="AC102" s="88" t="str">
        <f>IF($B102="","",IF(OR('②-1職員名簿'!AN102="○",'②-1職員名簿'!AN102="●"),IF($E102="正規職員","正",IF($E102="契約上の就業時間を記載","",IF($E102&gt;=Q$5,"常",Q102))),"-"))</f>
        <v/>
      </c>
      <c r="AE102" s="86" t="str">
        <f>IF('②-1職員名簿'!W102="","",'②-1職員名簿'!W102)</f>
        <v/>
      </c>
      <c r="AJ102" s="17" t="str">
        <f t="shared" si="25"/>
        <v>○</v>
      </c>
      <c r="AK102" s="17" t="str">
        <f t="shared" si="26"/>
        <v>○</v>
      </c>
      <c r="AL102" s="17" t="str">
        <f t="shared" si="27"/>
        <v>○</v>
      </c>
      <c r="AM102" s="17" t="str">
        <f t="shared" si="28"/>
        <v>○</v>
      </c>
      <c r="AN102" s="17" t="str">
        <f t="shared" si="29"/>
        <v>○</v>
      </c>
      <c r="AO102" s="17" t="str">
        <f t="shared" si="30"/>
        <v>○</v>
      </c>
      <c r="AP102" s="17" t="str">
        <f t="shared" si="31"/>
        <v>○</v>
      </c>
      <c r="AQ102" s="17" t="str">
        <f t="shared" si="32"/>
        <v>○</v>
      </c>
      <c r="AR102" s="17" t="str">
        <f t="shared" si="33"/>
        <v>○</v>
      </c>
      <c r="AS102" s="17" t="str">
        <f t="shared" si="34"/>
        <v>○</v>
      </c>
      <c r="AT102" s="17" t="str">
        <f t="shared" si="35"/>
        <v>○</v>
      </c>
      <c r="AU102" s="17" t="str">
        <f t="shared" si="36"/>
        <v>○</v>
      </c>
    </row>
    <row r="103" spans="1:47" s="90" customFormat="1" ht="23.15" customHeight="1">
      <c r="A103" s="87">
        <v>97</v>
      </c>
      <c r="B103" s="86" t="str">
        <f>IF('②-1職員名簿'!E103="","",'②-1職員名簿'!Y103)</f>
        <v/>
      </c>
      <c r="C103" s="88" t="str">
        <f>'②-1職員名簿'!BE103</f>
        <v/>
      </c>
      <c r="D103" s="117" t="str">
        <f t="shared" si="24"/>
        <v/>
      </c>
      <c r="E103" s="18" t="str">
        <f>IF($B103="","",IF(AND('②-1職員名簿'!C103="正",'②-1職員名簿'!D103="常"),"正規職員","契約上の就業時間を記載"))</f>
        <v/>
      </c>
      <c r="F103" s="9" t="str">
        <f>IF($B103="","",IF(OR('②-1職員名簿'!AC103="○",'②-1職員名簿'!AC103="●"),IF($E103="正規職員","正",IF($E103="契約上の就業時間を記載","","見込を入力")),"-"))</f>
        <v/>
      </c>
      <c r="G103" s="9" t="str">
        <f>IF($B103="","",IF(OR('②-1職員名簿'!AD103="○",'②-1職員名簿'!AD103="●"),IF($E103="正規職員","正",IF($E103="契約上の就業時間を記載","","実績を入力")),"-"))</f>
        <v/>
      </c>
      <c r="H103" s="9" t="str">
        <f>IF($B103="","",IF(OR('②-1職員名簿'!AE103="○",'②-1職員名簿'!AE103="●"),IF($E103="正規職員","正",IF($E103="契約上の就業時間を記載","","実績を入力")),"-"))</f>
        <v/>
      </c>
      <c r="I103" s="9" t="str">
        <f>IF($B103="","",IF(OR('②-1職員名簿'!AF103="○",'②-1職員名簿'!AF103="●"),IF($E103="正規職員","正",IF($E103="契約上の就業時間を記載","","実績を入力")),"-"))</f>
        <v/>
      </c>
      <c r="J103" s="9" t="str">
        <f>IF($B103="","",IF(OR('②-1職員名簿'!AG103="○",'②-1職員名簿'!AG103="●"),IF($E103="正規職員","正",IF($E103="契約上の就業時間を記載","","実績を入力")),"-"))</f>
        <v/>
      </c>
      <c r="K103" s="9" t="str">
        <f>IF($B103="","",IF(OR('②-1職員名簿'!AH103="○",'②-1職員名簿'!AH103="●"),IF($E103="正規職員","正",IF($E103="契約上の就業時間を記載","","実績を入力")),"-"))</f>
        <v/>
      </c>
      <c r="L103" s="9" t="str">
        <f>IF($B103="","",IF(OR('②-1職員名簿'!AI103="○",'②-1職員名簿'!AI103="●"),IF($E103="正規職員","正",IF($E103="契約上の就業時間を記載","","実績を入力")),"-"))</f>
        <v/>
      </c>
      <c r="M103" s="9" t="str">
        <f>IF($B103="","",IF(OR('②-1職員名簿'!AJ103="○",'②-1職員名簿'!AJ103="●"),IF($E103="正規職員","正",IF($E103="契約上の就業時間を記載","","実績を入力")),"-"))</f>
        <v/>
      </c>
      <c r="N103" s="9" t="str">
        <f>IF($B103="","",IF(OR('②-1職員名簿'!AK103="○",'②-1職員名簿'!AK103="●"),IF($E103="正規職員","正",IF($E103="契約上の就業時間を記載","","実績を入力")),"-"))</f>
        <v/>
      </c>
      <c r="O103" s="9" t="str">
        <f>IF($B103="","",IF(OR('②-1職員名簿'!AL103="○",'②-1職員名簿'!AL103="●"),IF($E103="正規職員","正",IF($E103="契約上の就業時間を記載","","実績を入力")),"-"))</f>
        <v/>
      </c>
      <c r="P103" s="9" t="str">
        <f>IF($B103="","",IF(OR('②-1職員名簿'!AM103="○",'②-1職員名簿'!AM103="●"),IF($E103="正規職員","正",IF($E103="契約上の就業時間を記載","","実績を入力")),"-"))</f>
        <v/>
      </c>
      <c r="Q103" s="9" t="str">
        <f>IF($B103="","",IF(OR('②-1職員名簿'!AN103="○",'②-1職員名簿'!AN103="●"),IF($E103="正規職員","正",IF($E103="契約上の就業時間を記載","","見込を入力")),"-"))</f>
        <v/>
      </c>
      <c r="R103" s="88" t="str">
        <f>IF($B103="","",IF(OR('②-1職員名簿'!AC103="○",'②-1職員名簿'!AC103="●"),IF($E103="正規職員","正",IF($E103="契約上の就業時間を記載","",IF($E103&gt;=F$5,"常",F103))),"-"))</f>
        <v/>
      </c>
      <c r="S103" s="88" t="str">
        <f>IF($B103="","",IF(OR('②-1職員名簿'!AD103="○",'②-1職員名簿'!AD103="●"),IF($E103="正規職員","正",IF($E103="契約上の就業時間を記載","",IF($E103&gt;=G$5,"常",G103))),"-"))</f>
        <v/>
      </c>
      <c r="T103" s="88" t="str">
        <f>IF($B103="","",IF(OR('②-1職員名簿'!AE103="○",'②-1職員名簿'!AE103="●"),IF($E103="正規職員","正",IF($E103="契約上の就業時間を記載","",IF($E103&gt;=H$5,"常",H103))),"-"))</f>
        <v/>
      </c>
      <c r="U103" s="88" t="str">
        <f>IF($B103="","",IF(OR('②-1職員名簿'!AF103="○",'②-1職員名簿'!AF103="●"),IF($E103="正規職員","正",IF($E103="契約上の就業時間を記載","",IF($E103&gt;=I$5,"常",I103))),"-"))</f>
        <v/>
      </c>
      <c r="V103" s="88" t="str">
        <f>IF($B103="","",IF(OR('②-1職員名簿'!AG103="○",'②-1職員名簿'!AG103="●"),IF($E103="正規職員","正",IF($E103="契約上の就業時間を記載","",IF($E103&gt;=J$5,"常",J103))),"-"))</f>
        <v/>
      </c>
      <c r="W103" s="88" t="str">
        <f>IF($B103="","",IF(OR('②-1職員名簿'!AH103="○",'②-1職員名簿'!AH103="●"),IF($E103="正規職員","正",IF($E103="契約上の就業時間を記載","",IF($E103&gt;=K$5,"常",K103))),"-"))</f>
        <v/>
      </c>
      <c r="X103" s="88" t="str">
        <f>IF($B103="","",IF(OR('②-1職員名簿'!AI103="○",'②-1職員名簿'!AI103="●"),IF($E103="正規職員","正",IF($E103="契約上の就業時間を記載","",IF($E103&gt;=L$5,"常",L103))),"-"))</f>
        <v/>
      </c>
      <c r="Y103" s="88" t="str">
        <f>IF($B103="","",IF(OR('②-1職員名簿'!AJ103="○",'②-1職員名簿'!AJ103="●"),IF($E103="正規職員","正",IF($E103="契約上の就業時間を記載","",IF($E103&gt;=M$5,"常",M103))),"-"))</f>
        <v/>
      </c>
      <c r="Z103" s="88" t="str">
        <f>IF($B103="","",IF(OR('②-1職員名簿'!AK103="○",'②-1職員名簿'!AK103="●"),IF($E103="正規職員","正",IF($E103="契約上の就業時間を記載","",IF($E103&gt;=N$5,"常",N103))),"-"))</f>
        <v/>
      </c>
      <c r="AA103" s="88" t="str">
        <f>IF($B103="","",IF(OR('②-1職員名簿'!AL103="○",'②-1職員名簿'!AL103="●"),IF($E103="正規職員","正",IF($E103="契約上の就業時間を記載","",IF($E103&gt;=O$5,"常",O103))),"-"))</f>
        <v/>
      </c>
      <c r="AB103" s="88" t="str">
        <f>IF($B103="","",IF(OR('②-1職員名簿'!AM103="○",'②-1職員名簿'!AM103="●"),IF($E103="正規職員","正",IF($E103="契約上の就業時間を記載","",IF($E103&gt;=P$5,"常",P103))),"-"))</f>
        <v/>
      </c>
      <c r="AC103" s="88" t="str">
        <f>IF($B103="","",IF(OR('②-1職員名簿'!AN103="○",'②-1職員名簿'!AN103="●"),IF($E103="正規職員","正",IF($E103="契約上の就業時間を記載","",IF($E103&gt;=Q$5,"常",Q103))),"-"))</f>
        <v/>
      </c>
      <c r="AE103" s="86" t="str">
        <f>IF('②-1職員名簿'!W103="","",'②-1職員名簿'!W103)</f>
        <v/>
      </c>
      <c r="AJ103" s="17" t="str">
        <f t="shared" si="25"/>
        <v>○</v>
      </c>
      <c r="AK103" s="17" t="str">
        <f t="shared" si="26"/>
        <v>○</v>
      </c>
      <c r="AL103" s="17" t="str">
        <f t="shared" si="27"/>
        <v>○</v>
      </c>
      <c r="AM103" s="17" t="str">
        <f t="shared" si="28"/>
        <v>○</v>
      </c>
      <c r="AN103" s="17" t="str">
        <f t="shared" si="29"/>
        <v>○</v>
      </c>
      <c r="AO103" s="17" t="str">
        <f t="shared" si="30"/>
        <v>○</v>
      </c>
      <c r="AP103" s="17" t="str">
        <f t="shared" si="31"/>
        <v>○</v>
      </c>
      <c r="AQ103" s="17" t="str">
        <f t="shared" si="32"/>
        <v>○</v>
      </c>
      <c r="AR103" s="17" t="str">
        <f t="shared" si="33"/>
        <v>○</v>
      </c>
      <c r="AS103" s="17" t="str">
        <f t="shared" si="34"/>
        <v>○</v>
      </c>
      <c r="AT103" s="17" t="str">
        <f t="shared" si="35"/>
        <v>○</v>
      </c>
      <c r="AU103" s="17" t="str">
        <f t="shared" si="36"/>
        <v>○</v>
      </c>
    </row>
    <row r="104" spans="1:47" s="90" customFormat="1" ht="23.15" customHeight="1">
      <c r="A104" s="87">
        <v>98</v>
      </c>
      <c r="B104" s="86" t="str">
        <f>IF('②-1職員名簿'!E104="","",'②-1職員名簿'!Y104)</f>
        <v/>
      </c>
      <c r="C104" s="88" t="str">
        <f>'②-1職員名簿'!BE104</f>
        <v/>
      </c>
      <c r="D104" s="117" t="str">
        <f t="shared" si="24"/>
        <v/>
      </c>
      <c r="E104" s="18" t="str">
        <f>IF($B104="","",IF(AND('②-1職員名簿'!C104="正",'②-1職員名簿'!D104="常"),"正規職員","契約上の就業時間を記載"))</f>
        <v/>
      </c>
      <c r="F104" s="9" t="str">
        <f>IF($B104="","",IF(OR('②-1職員名簿'!AC104="○",'②-1職員名簿'!AC104="●"),IF($E104="正規職員","正",IF($E104="契約上の就業時間を記載","","見込を入力")),"-"))</f>
        <v/>
      </c>
      <c r="G104" s="9" t="str">
        <f>IF($B104="","",IF(OR('②-1職員名簿'!AD104="○",'②-1職員名簿'!AD104="●"),IF($E104="正規職員","正",IF($E104="契約上の就業時間を記載","","実績を入力")),"-"))</f>
        <v/>
      </c>
      <c r="H104" s="9" t="str">
        <f>IF($B104="","",IF(OR('②-1職員名簿'!AE104="○",'②-1職員名簿'!AE104="●"),IF($E104="正規職員","正",IF($E104="契約上の就業時間を記載","","実績を入力")),"-"))</f>
        <v/>
      </c>
      <c r="I104" s="9" t="str">
        <f>IF($B104="","",IF(OR('②-1職員名簿'!AF104="○",'②-1職員名簿'!AF104="●"),IF($E104="正規職員","正",IF($E104="契約上の就業時間を記載","","実績を入力")),"-"))</f>
        <v/>
      </c>
      <c r="J104" s="9" t="str">
        <f>IF($B104="","",IF(OR('②-1職員名簿'!AG104="○",'②-1職員名簿'!AG104="●"),IF($E104="正規職員","正",IF($E104="契約上の就業時間を記載","","実績を入力")),"-"))</f>
        <v/>
      </c>
      <c r="K104" s="9" t="str">
        <f>IF($B104="","",IF(OR('②-1職員名簿'!AH104="○",'②-1職員名簿'!AH104="●"),IF($E104="正規職員","正",IF($E104="契約上の就業時間を記載","","実績を入力")),"-"))</f>
        <v/>
      </c>
      <c r="L104" s="9" t="str">
        <f>IF($B104="","",IF(OR('②-1職員名簿'!AI104="○",'②-1職員名簿'!AI104="●"),IF($E104="正規職員","正",IF($E104="契約上の就業時間を記載","","実績を入力")),"-"))</f>
        <v/>
      </c>
      <c r="M104" s="9" t="str">
        <f>IF($B104="","",IF(OR('②-1職員名簿'!AJ104="○",'②-1職員名簿'!AJ104="●"),IF($E104="正規職員","正",IF($E104="契約上の就業時間を記載","","実績を入力")),"-"))</f>
        <v/>
      </c>
      <c r="N104" s="9" t="str">
        <f>IF($B104="","",IF(OR('②-1職員名簿'!AK104="○",'②-1職員名簿'!AK104="●"),IF($E104="正規職員","正",IF($E104="契約上の就業時間を記載","","実績を入力")),"-"))</f>
        <v/>
      </c>
      <c r="O104" s="9" t="str">
        <f>IF($B104="","",IF(OR('②-1職員名簿'!AL104="○",'②-1職員名簿'!AL104="●"),IF($E104="正規職員","正",IF($E104="契約上の就業時間を記載","","実績を入力")),"-"))</f>
        <v/>
      </c>
      <c r="P104" s="9" t="str">
        <f>IF($B104="","",IF(OR('②-1職員名簿'!AM104="○",'②-1職員名簿'!AM104="●"),IF($E104="正規職員","正",IF($E104="契約上の就業時間を記載","","実績を入力")),"-"))</f>
        <v/>
      </c>
      <c r="Q104" s="9" t="str">
        <f>IF($B104="","",IF(OR('②-1職員名簿'!AN104="○",'②-1職員名簿'!AN104="●"),IF($E104="正規職員","正",IF($E104="契約上の就業時間を記載","","見込を入力")),"-"))</f>
        <v/>
      </c>
      <c r="R104" s="88" t="str">
        <f>IF($B104="","",IF(OR('②-1職員名簿'!AC104="○",'②-1職員名簿'!AC104="●"),IF($E104="正規職員","正",IF($E104="契約上の就業時間を記載","",IF($E104&gt;=F$5,"常",F104))),"-"))</f>
        <v/>
      </c>
      <c r="S104" s="88" t="str">
        <f>IF($B104="","",IF(OR('②-1職員名簿'!AD104="○",'②-1職員名簿'!AD104="●"),IF($E104="正規職員","正",IF($E104="契約上の就業時間を記載","",IF($E104&gt;=G$5,"常",G104))),"-"))</f>
        <v/>
      </c>
      <c r="T104" s="88" t="str">
        <f>IF($B104="","",IF(OR('②-1職員名簿'!AE104="○",'②-1職員名簿'!AE104="●"),IF($E104="正規職員","正",IF($E104="契約上の就業時間を記載","",IF($E104&gt;=H$5,"常",H104))),"-"))</f>
        <v/>
      </c>
      <c r="U104" s="88" t="str">
        <f>IF($B104="","",IF(OR('②-1職員名簿'!AF104="○",'②-1職員名簿'!AF104="●"),IF($E104="正規職員","正",IF($E104="契約上の就業時間を記載","",IF($E104&gt;=I$5,"常",I104))),"-"))</f>
        <v/>
      </c>
      <c r="V104" s="88" t="str">
        <f>IF($B104="","",IF(OR('②-1職員名簿'!AG104="○",'②-1職員名簿'!AG104="●"),IF($E104="正規職員","正",IF($E104="契約上の就業時間を記載","",IF($E104&gt;=J$5,"常",J104))),"-"))</f>
        <v/>
      </c>
      <c r="W104" s="88" t="str">
        <f>IF($B104="","",IF(OR('②-1職員名簿'!AH104="○",'②-1職員名簿'!AH104="●"),IF($E104="正規職員","正",IF($E104="契約上の就業時間を記載","",IF($E104&gt;=K$5,"常",K104))),"-"))</f>
        <v/>
      </c>
      <c r="X104" s="88" t="str">
        <f>IF($B104="","",IF(OR('②-1職員名簿'!AI104="○",'②-1職員名簿'!AI104="●"),IF($E104="正規職員","正",IF($E104="契約上の就業時間を記載","",IF($E104&gt;=L$5,"常",L104))),"-"))</f>
        <v/>
      </c>
      <c r="Y104" s="88" t="str">
        <f>IF($B104="","",IF(OR('②-1職員名簿'!AJ104="○",'②-1職員名簿'!AJ104="●"),IF($E104="正規職員","正",IF($E104="契約上の就業時間を記載","",IF($E104&gt;=M$5,"常",M104))),"-"))</f>
        <v/>
      </c>
      <c r="Z104" s="88" t="str">
        <f>IF($B104="","",IF(OR('②-1職員名簿'!AK104="○",'②-1職員名簿'!AK104="●"),IF($E104="正規職員","正",IF($E104="契約上の就業時間を記載","",IF($E104&gt;=N$5,"常",N104))),"-"))</f>
        <v/>
      </c>
      <c r="AA104" s="88" t="str">
        <f>IF($B104="","",IF(OR('②-1職員名簿'!AL104="○",'②-1職員名簿'!AL104="●"),IF($E104="正規職員","正",IF($E104="契約上の就業時間を記載","",IF($E104&gt;=O$5,"常",O104))),"-"))</f>
        <v/>
      </c>
      <c r="AB104" s="88" t="str">
        <f>IF($B104="","",IF(OR('②-1職員名簿'!AM104="○",'②-1職員名簿'!AM104="●"),IF($E104="正規職員","正",IF($E104="契約上の就業時間を記載","",IF($E104&gt;=P$5,"常",P104))),"-"))</f>
        <v/>
      </c>
      <c r="AC104" s="88" t="str">
        <f>IF($B104="","",IF(OR('②-1職員名簿'!AN104="○",'②-1職員名簿'!AN104="●"),IF($E104="正規職員","正",IF($E104="契約上の就業時間を記載","",IF($E104&gt;=Q$5,"常",Q104))),"-"))</f>
        <v/>
      </c>
      <c r="AE104" s="86" t="str">
        <f>IF('②-1職員名簿'!W104="","",'②-1職員名簿'!W104)</f>
        <v/>
      </c>
      <c r="AJ104" s="17" t="str">
        <f t="shared" si="25"/>
        <v>○</v>
      </c>
      <c r="AK104" s="17" t="str">
        <f t="shared" si="26"/>
        <v>○</v>
      </c>
      <c r="AL104" s="17" t="str">
        <f t="shared" si="27"/>
        <v>○</v>
      </c>
      <c r="AM104" s="17" t="str">
        <f t="shared" si="28"/>
        <v>○</v>
      </c>
      <c r="AN104" s="17" t="str">
        <f t="shared" si="29"/>
        <v>○</v>
      </c>
      <c r="AO104" s="17" t="str">
        <f t="shared" si="30"/>
        <v>○</v>
      </c>
      <c r="AP104" s="17" t="str">
        <f t="shared" si="31"/>
        <v>○</v>
      </c>
      <c r="AQ104" s="17" t="str">
        <f t="shared" si="32"/>
        <v>○</v>
      </c>
      <c r="AR104" s="17" t="str">
        <f t="shared" si="33"/>
        <v>○</v>
      </c>
      <c r="AS104" s="17" t="str">
        <f t="shared" si="34"/>
        <v>○</v>
      </c>
      <c r="AT104" s="17" t="str">
        <f t="shared" si="35"/>
        <v>○</v>
      </c>
      <c r="AU104" s="17" t="str">
        <f t="shared" si="36"/>
        <v>○</v>
      </c>
    </row>
    <row r="105" spans="1:47" s="90" customFormat="1" ht="23.15" customHeight="1">
      <c r="A105" s="87">
        <v>99</v>
      </c>
      <c r="B105" s="86" t="str">
        <f>IF('②-1職員名簿'!E105="","",'②-1職員名簿'!Y105)</f>
        <v/>
      </c>
      <c r="C105" s="88" t="str">
        <f>'②-1職員名簿'!BE105</f>
        <v/>
      </c>
      <c r="D105" s="117" t="str">
        <f t="shared" si="24"/>
        <v/>
      </c>
      <c r="E105" s="18" t="str">
        <f>IF($B105="","",IF(AND('②-1職員名簿'!C105="正",'②-1職員名簿'!D105="常"),"正規職員","契約上の就業時間を記載"))</f>
        <v/>
      </c>
      <c r="F105" s="9" t="str">
        <f>IF($B105="","",IF(OR('②-1職員名簿'!AC105="○",'②-1職員名簿'!AC105="●"),IF($E105="正規職員","正",IF($E105="契約上の就業時間を記載","","見込を入力")),"-"))</f>
        <v/>
      </c>
      <c r="G105" s="9" t="str">
        <f>IF($B105="","",IF(OR('②-1職員名簿'!AD105="○",'②-1職員名簿'!AD105="●"),IF($E105="正規職員","正",IF($E105="契約上の就業時間を記載","","実績を入力")),"-"))</f>
        <v/>
      </c>
      <c r="H105" s="9" t="str">
        <f>IF($B105="","",IF(OR('②-1職員名簿'!AE105="○",'②-1職員名簿'!AE105="●"),IF($E105="正規職員","正",IF($E105="契約上の就業時間を記載","","実績を入力")),"-"))</f>
        <v/>
      </c>
      <c r="I105" s="9" t="str">
        <f>IF($B105="","",IF(OR('②-1職員名簿'!AF105="○",'②-1職員名簿'!AF105="●"),IF($E105="正規職員","正",IF($E105="契約上の就業時間を記載","","実績を入力")),"-"))</f>
        <v/>
      </c>
      <c r="J105" s="9" t="str">
        <f>IF($B105="","",IF(OR('②-1職員名簿'!AG105="○",'②-1職員名簿'!AG105="●"),IF($E105="正規職員","正",IF($E105="契約上の就業時間を記載","","実績を入力")),"-"))</f>
        <v/>
      </c>
      <c r="K105" s="9" t="str">
        <f>IF($B105="","",IF(OR('②-1職員名簿'!AH105="○",'②-1職員名簿'!AH105="●"),IF($E105="正規職員","正",IF($E105="契約上の就業時間を記載","","実績を入力")),"-"))</f>
        <v/>
      </c>
      <c r="L105" s="9" t="str">
        <f>IF($B105="","",IF(OR('②-1職員名簿'!AI105="○",'②-1職員名簿'!AI105="●"),IF($E105="正規職員","正",IF($E105="契約上の就業時間を記載","","実績を入力")),"-"))</f>
        <v/>
      </c>
      <c r="M105" s="9" t="str">
        <f>IF($B105="","",IF(OR('②-1職員名簿'!AJ105="○",'②-1職員名簿'!AJ105="●"),IF($E105="正規職員","正",IF($E105="契約上の就業時間を記載","","実績を入力")),"-"))</f>
        <v/>
      </c>
      <c r="N105" s="9" t="str">
        <f>IF($B105="","",IF(OR('②-1職員名簿'!AK105="○",'②-1職員名簿'!AK105="●"),IF($E105="正規職員","正",IF($E105="契約上の就業時間を記載","","実績を入力")),"-"))</f>
        <v/>
      </c>
      <c r="O105" s="9" t="str">
        <f>IF($B105="","",IF(OR('②-1職員名簿'!AL105="○",'②-1職員名簿'!AL105="●"),IF($E105="正規職員","正",IF($E105="契約上の就業時間を記載","","実績を入力")),"-"))</f>
        <v/>
      </c>
      <c r="P105" s="9" t="str">
        <f>IF($B105="","",IF(OR('②-1職員名簿'!AM105="○",'②-1職員名簿'!AM105="●"),IF($E105="正規職員","正",IF($E105="契約上の就業時間を記載","","実績を入力")),"-"))</f>
        <v/>
      </c>
      <c r="Q105" s="9" t="str">
        <f>IF($B105="","",IF(OR('②-1職員名簿'!AN105="○",'②-1職員名簿'!AN105="●"),IF($E105="正規職員","正",IF($E105="契約上の就業時間を記載","","見込を入力")),"-"))</f>
        <v/>
      </c>
      <c r="R105" s="88" t="str">
        <f>IF($B105="","",IF(OR('②-1職員名簿'!AC105="○",'②-1職員名簿'!AC105="●"),IF($E105="正規職員","正",IF($E105="契約上の就業時間を記載","",IF($E105&gt;=F$5,"常",F105))),"-"))</f>
        <v/>
      </c>
      <c r="S105" s="88" t="str">
        <f>IF($B105="","",IF(OR('②-1職員名簿'!AD105="○",'②-1職員名簿'!AD105="●"),IF($E105="正規職員","正",IF($E105="契約上の就業時間を記載","",IF($E105&gt;=G$5,"常",G105))),"-"))</f>
        <v/>
      </c>
      <c r="T105" s="88" t="str">
        <f>IF($B105="","",IF(OR('②-1職員名簿'!AE105="○",'②-1職員名簿'!AE105="●"),IF($E105="正規職員","正",IF($E105="契約上の就業時間を記載","",IF($E105&gt;=H$5,"常",H105))),"-"))</f>
        <v/>
      </c>
      <c r="U105" s="88" t="str">
        <f>IF($B105="","",IF(OR('②-1職員名簿'!AF105="○",'②-1職員名簿'!AF105="●"),IF($E105="正規職員","正",IF($E105="契約上の就業時間を記載","",IF($E105&gt;=I$5,"常",I105))),"-"))</f>
        <v/>
      </c>
      <c r="V105" s="88" t="str">
        <f>IF($B105="","",IF(OR('②-1職員名簿'!AG105="○",'②-1職員名簿'!AG105="●"),IF($E105="正規職員","正",IF($E105="契約上の就業時間を記載","",IF($E105&gt;=J$5,"常",J105))),"-"))</f>
        <v/>
      </c>
      <c r="W105" s="88" t="str">
        <f>IF($B105="","",IF(OR('②-1職員名簿'!AH105="○",'②-1職員名簿'!AH105="●"),IF($E105="正規職員","正",IF($E105="契約上の就業時間を記載","",IF($E105&gt;=K$5,"常",K105))),"-"))</f>
        <v/>
      </c>
      <c r="X105" s="88" t="str">
        <f>IF($B105="","",IF(OR('②-1職員名簿'!AI105="○",'②-1職員名簿'!AI105="●"),IF($E105="正規職員","正",IF($E105="契約上の就業時間を記載","",IF($E105&gt;=L$5,"常",L105))),"-"))</f>
        <v/>
      </c>
      <c r="Y105" s="88" t="str">
        <f>IF($B105="","",IF(OR('②-1職員名簿'!AJ105="○",'②-1職員名簿'!AJ105="●"),IF($E105="正規職員","正",IF($E105="契約上の就業時間を記載","",IF($E105&gt;=M$5,"常",M105))),"-"))</f>
        <v/>
      </c>
      <c r="Z105" s="88" t="str">
        <f>IF($B105="","",IF(OR('②-1職員名簿'!AK105="○",'②-1職員名簿'!AK105="●"),IF($E105="正規職員","正",IF($E105="契約上の就業時間を記載","",IF($E105&gt;=N$5,"常",N105))),"-"))</f>
        <v/>
      </c>
      <c r="AA105" s="88" t="str">
        <f>IF($B105="","",IF(OR('②-1職員名簿'!AL105="○",'②-1職員名簿'!AL105="●"),IF($E105="正規職員","正",IF($E105="契約上の就業時間を記載","",IF($E105&gt;=O$5,"常",O105))),"-"))</f>
        <v/>
      </c>
      <c r="AB105" s="88" t="str">
        <f>IF($B105="","",IF(OR('②-1職員名簿'!AM105="○",'②-1職員名簿'!AM105="●"),IF($E105="正規職員","正",IF($E105="契約上の就業時間を記載","",IF($E105&gt;=P$5,"常",P105))),"-"))</f>
        <v/>
      </c>
      <c r="AC105" s="88" t="str">
        <f>IF($B105="","",IF(OR('②-1職員名簿'!AN105="○",'②-1職員名簿'!AN105="●"),IF($E105="正規職員","正",IF($E105="契約上の就業時間を記載","",IF($E105&gt;=Q$5,"常",Q105))),"-"))</f>
        <v/>
      </c>
      <c r="AE105" s="86" t="str">
        <f>IF('②-1職員名簿'!W105="","",'②-1職員名簿'!W105)</f>
        <v/>
      </c>
      <c r="AJ105" s="17" t="str">
        <f t="shared" si="25"/>
        <v>○</v>
      </c>
      <c r="AK105" s="17" t="str">
        <f t="shared" si="26"/>
        <v>○</v>
      </c>
      <c r="AL105" s="17" t="str">
        <f t="shared" si="27"/>
        <v>○</v>
      </c>
      <c r="AM105" s="17" t="str">
        <f t="shared" si="28"/>
        <v>○</v>
      </c>
      <c r="AN105" s="17" t="str">
        <f t="shared" si="29"/>
        <v>○</v>
      </c>
      <c r="AO105" s="17" t="str">
        <f t="shared" si="30"/>
        <v>○</v>
      </c>
      <c r="AP105" s="17" t="str">
        <f t="shared" si="31"/>
        <v>○</v>
      </c>
      <c r="AQ105" s="17" t="str">
        <f t="shared" si="32"/>
        <v>○</v>
      </c>
      <c r="AR105" s="17" t="str">
        <f t="shared" si="33"/>
        <v>○</v>
      </c>
      <c r="AS105" s="17" t="str">
        <f t="shared" si="34"/>
        <v>○</v>
      </c>
      <c r="AT105" s="17" t="str">
        <f t="shared" si="35"/>
        <v>○</v>
      </c>
      <c r="AU105" s="17" t="str">
        <f t="shared" si="36"/>
        <v>○</v>
      </c>
    </row>
    <row r="106" spans="1:47" s="90" customFormat="1" ht="23.15" customHeight="1">
      <c r="A106" s="87">
        <v>100</v>
      </c>
      <c r="B106" s="86" t="str">
        <f>IF('②-1職員名簿'!E106="","",'②-1職員名簿'!Y106)</f>
        <v/>
      </c>
      <c r="C106" s="88" t="str">
        <f>'②-1職員名簿'!BE106</f>
        <v/>
      </c>
      <c r="D106" s="117" t="str">
        <f t="shared" si="24"/>
        <v/>
      </c>
      <c r="E106" s="18" t="str">
        <f>IF($B106="","",IF(AND('②-1職員名簿'!C106="正",'②-1職員名簿'!D106="常"),"正規職員","契約上の就業時間を記載"))</f>
        <v/>
      </c>
      <c r="F106" s="9" t="str">
        <f>IF($B106="","",IF(OR('②-1職員名簿'!AC106="○",'②-1職員名簿'!AC106="●"),IF($E106="正規職員","正",IF($E106="契約上の就業時間を記載","","見込を入力")),"-"))</f>
        <v/>
      </c>
      <c r="G106" s="9" t="str">
        <f>IF($B106="","",IF(OR('②-1職員名簿'!AD106="○",'②-1職員名簿'!AD106="●"),IF($E106="正規職員","正",IF($E106="契約上の就業時間を記載","","実績を入力")),"-"))</f>
        <v/>
      </c>
      <c r="H106" s="9" t="str">
        <f>IF($B106="","",IF(OR('②-1職員名簿'!AE106="○",'②-1職員名簿'!AE106="●"),IF($E106="正規職員","正",IF($E106="契約上の就業時間を記載","","実績を入力")),"-"))</f>
        <v/>
      </c>
      <c r="I106" s="9" t="str">
        <f>IF($B106="","",IF(OR('②-1職員名簿'!AF106="○",'②-1職員名簿'!AF106="●"),IF($E106="正規職員","正",IF($E106="契約上の就業時間を記載","","実績を入力")),"-"))</f>
        <v/>
      </c>
      <c r="J106" s="9" t="str">
        <f>IF($B106="","",IF(OR('②-1職員名簿'!AG106="○",'②-1職員名簿'!AG106="●"),IF($E106="正規職員","正",IF($E106="契約上の就業時間を記載","","実績を入力")),"-"))</f>
        <v/>
      </c>
      <c r="K106" s="9" t="str">
        <f>IF($B106="","",IF(OR('②-1職員名簿'!AH106="○",'②-1職員名簿'!AH106="●"),IF($E106="正規職員","正",IF($E106="契約上の就業時間を記載","","実績を入力")),"-"))</f>
        <v/>
      </c>
      <c r="L106" s="9" t="str">
        <f>IF($B106="","",IF(OR('②-1職員名簿'!AI106="○",'②-1職員名簿'!AI106="●"),IF($E106="正規職員","正",IF($E106="契約上の就業時間を記載","","実績を入力")),"-"))</f>
        <v/>
      </c>
      <c r="M106" s="9" t="str">
        <f>IF($B106="","",IF(OR('②-1職員名簿'!AJ106="○",'②-1職員名簿'!AJ106="●"),IF($E106="正規職員","正",IF($E106="契約上の就業時間を記載","","実績を入力")),"-"))</f>
        <v/>
      </c>
      <c r="N106" s="9" t="str">
        <f>IF($B106="","",IF(OR('②-1職員名簿'!AK106="○",'②-1職員名簿'!AK106="●"),IF($E106="正規職員","正",IF($E106="契約上の就業時間を記載","","実績を入力")),"-"))</f>
        <v/>
      </c>
      <c r="O106" s="9" t="str">
        <f>IF($B106="","",IF(OR('②-1職員名簿'!AL106="○",'②-1職員名簿'!AL106="●"),IF($E106="正規職員","正",IF($E106="契約上の就業時間を記載","","実績を入力")),"-"))</f>
        <v/>
      </c>
      <c r="P106" s="9" t="str">
        <f>IF($B106="","",IF(OR('②-1職員名簿'!AM106="○",'②-1職員名簿'!AM106="●"),IF($E106="正規職員","正",IF($E106="契約上の就業時間を記載","","実績を入力")),"-"))</f>
        <v/>
      </c>
      <c r="Q106" s="9" t="str">
        <f>IF($B106="","",IF(OR('②-1職員名簿'!AN106="○",'②-1職員名簿'!AN106="●"),IF($E106="正規職員","正",IF($E106="契約上の就業時間を記載","","見込を入力")),"-"))</f>
        <v/>
      </c>
      <c r="R106" s="88" t="str">
        <f>IF($B106="","",IF(OR('②-1職員名簿'!AC106="○",'②-1職員名簿'!AC106="●"),IF($E106="正規職員","正",IF($E106="契約上の就業時間を記載","",IF($E106&gt;=F$5,"常",F106))),"-"))</f>
        <v/>
      </c>
      <c r="S106" s="88" t="str">
        <f>IF($B106="","",IF(OR('②-1職員名簿'!AD106="○",'②-1職員名簿'!AD106="●"),IF($E106="正規職員","正",IF($E106="契約上の就業時間を記載","",IF($E106&gt;=G$5,"常",G106))),"-"))</f>
        <v/>
      </c>
      <c r="T106" s="88" t="str">
        <f>IF($B106="","",IF(OR('②-1職員名簿'!AE106="○",'②-1職員名簿'!AE106="●"),IF($E106="正規職員","正",IF($E106="契約上の就業時間を記載","",IF($E106&gt;=H$5,"常",H106))),"-"))</f>
        <v/>
      </c>
      <c r="U106" s="88" t="str">
        <f>IF($B106="","",IF(OR('②-1職員名簿'!AF106="○",'②-1職員名簿'!AF106="●"),IF($E106="正規職員","正",IF($E106="契約上の就業時間を記載","",IF($E106&gt;=I$5,"常",I106))),"-"))</f>
        <v/>
      </c>
      <c r="V106" s="88" t="str">
        <f>IF($B106="","",IF(OR('②-1職員名簿'!AG106="○",'②-1職員名簿'!AG106="●"),IF($E106="正規職員","正",IF($E106="契約上の就業時間を記載","",IF($E106&gt;=J$5,"常",J106))),"-"))</f>
        <v/>
      </c>
      <c r="W106" s="88" t="str">
        <f>IF($B106="","",IF(OR('②-1職員名簿'!AH106="○",'②-1職員名簿'!AH106="●"),IF($E106="正規職員","正",IF($E106="契約上の就業時間を記載","",IF($E106&gt;=K$5,"常",K106))),"-"))</f>
        <v/>
      </c>
      <c r="X106" s="88" t="str">
        <f>IF($B106="","",IF(OR('②-1職員名簿'!AI106="○",'②-1職員名簿'!AI106="●"),IF($E106="正規職員","正",IF($E106="契約上の就業時間を記載","",IF($E106&gt;=L$5,"常",L106))),"-"))</f>
        <v/>
      </c>
      <c r="Y106" s="88" t="str">
        <f>IF($B106="","",IF(OR('②-1職員名簿'!AJ106="○",'②-1職員名簿'!AJ106="●"),IF($E106="正規職員","正",IF($E106="契約上の就業時間を記載","",IF($E106&gt;=M$5,"常",M106))),"-"))</f>
        <v/>
      </c>
      <c r="Z106" s="88" t="str">
        <f>IF($B106="","",IF(OR('②-1職員名簿'!AK106="○",'②-1職員名簿'!AK106="●"),IF($E106="正規職員","正",IF($E106="契約上の就業時間を記載","",IF($E106&gt;=N$5,"常",N106))),"-"))</f>
        <v/>
      </c>
      <c r="AA106" s="88" t="str">
        <f>IF($B106="","",IF(OR('②-1職員名簿'!AL106="○",'②-1職員名簿'!AL106="●"),IF($E106="正規職員","正",IF($E106="契約上の就業時間を記載","",IF($E106&gt;=O$5,"常",O106))),"-"))</f>
        <v/>
      </c>
      <c r="AB106" s="88" t="str">
        <f>IF($B106="","",IF(OR('②-1職員名簿'!AM106="○",'②-1職員名簿'!AM106="●"),IF($E106="正規職員","正",IF($E106="契約上の就業時間を記載","",IF($E106&gt;=P$5,"常",P106))),"-"))</f>
        <v/>
      </c>
      <c r="AC106" s="88" t="str">
        <f>IF($B106="","",IF(OR('②-1職員名簿'!AN106="○",'②-1職員名簿'!AN106="●"),IF($E106="正規職員","正",IF($E106="契約上の就業時間を記載","",IF($E106&gt;=Q$5,"常",Q106))),"-"))</f>
        <v/>
      </c>
      <c r="AE106" s="86" t="str">
        <f>IF('②-1職員名簿'!W106="","",'②-1職員名簿'!W106)</f>
        <v/>
      </c>
      <c r="AJ106" s="17" t="str">
        <f t="shared" si="25"/>
        <v>○</v>
      </c>
      <c r="AK106" s="17" t="str">
        <f t="shared" si="26"/>
        <v>○</v>
      </c>
      <c r="AL106" s="17" t="str">
        <f t="shared" si="27"/>
        <v>○</v>
      </c>
      <c r="AM106" s="17" t="str">
        <f t="shared" si="28"/>
        <v>○</v>
      </c>
      <c r="AN106" s="17" t="str">
        <f t="shared" si="29"/>
        <v>○</v>
      </c>
      <c r="AO106" s="17" t="str">
        <f t="shared" si="30"/>
        <v>○</v>
      </c>
      <c r="AP106" s="17" t="str">
        <f t="shared" si="31"/>
        <v>○</v>
      </c>
      <c r="AQ106" s="17" t="str">
        <f t="shared" si="32"/>
        <v>○</v>
      </c>
      <c r="AR106" s="17" t="str">
        <f t="shared" si="33"/>
        <v>○</v>
      </c>
      <c r="AS106" s="17" t="str">
        <f t="shared" si="34"/>
        <v>○</v>
      </c>
      <c r="AT106" s="17" t="str">
        <f t="shared" si="35"/>
        <v>○</v>
      </c>
      <c r="AU106" s="17" t="str">
        <f t="shared" si="36"/>
        <v>○</v>
      </c>
    </row>
    <row r="115" spans="6:20">
      <c r="F115" t="s">
        <v>982</v>
      </c>
    </row>
    <row r="116" spans="6:20">
      <c r="F116" s="631" t="s">
        <v>319</v>
      </c>
      <c r="G116" s="631"/>
      <c r="H116" s="631"/>
      <c r="I116" s="631"/>
      <c r="J116" s="631"/>
      <c r="K116" s="631"/>
      <c r="L116" s="631"/>
      <c r="M116" s="631"/>
      <c r="N116" s="631"/>
      <c r="O116" s="631"/>
      <c r="P116" s="631"/>
      <c r="Q116" s="631"/>
      <c r="R116" s="70"/>
      <c r="S116" s="70"/>
      <c r="T116" s="70"/>
    </row>
    <row r="117" spans="6:20" ht="61.5" customHeight="1">
      <c r="F117" s="780" t="s">
        <v>944</v>
      </c>
      <c r="G117" s="780"/>
      <c r="H117" s="780" t="s">
        <v>320</v>
      </c>
      <c r="I117" s="780"/>
      <c r="J117" s="780"/>
      <c r="K117" s="780"/>
      <c r="L117" s="780"/>
      <c r="M117" s="780"/>
      <c r="N117" s="780"/>
      <c r="O117" s="780"/>
      <c r="P117" s="780"/>
      <c r="Q117" s="780"/>
    </row>
    <row r="118" spans="6:20" ht="197.25" customHeight="1">
      <c r="F118" s="781" t="s">
        <v>299</v>
      </c>
      <c r="G118" s="781"/>
      <c r="H118" s="780" t="s">
        <v>804</v>
      </c>
      <c r="I118" s="780"/>
      <c r="J118" s="780"/>
      <c r="K118" s="780"/>
      <c r="L118" s="780"/>
      <c r="M118" s="780"/>
      <c r="N118" s="780"/>
      <c r="O118" s="780"/>
      <c r="P118" s="780"/>
      <c r="Q118" s="780"/>
    </row>
    <row r="119" spans="6:20" ht="129.75" customHeight="1">
      <c r="F119" s="780" t="s">
        <v>945</v>
      </c>
      <c r="G119" s="780"/>
      <c r="H119" s="780" t="s">
        <v>1705</v>
      </c>
      <c r="I119" s="780"/>
      <c r="J119" s="780"/>
      <c r="K119" s="780"/>
      <c r="L119" s="780"/>
      <c r="M119" s="780"/>
      <c r="N119" s="780"/>
      <c r="O119" s="780"/>
      <c r="P119" s="780"/>
      <c r="Q119" s="780"/>
    </row>
    <row r="121" spans="6:20">
      <c r="F121" s="335" t="s">
        <v>983</v>
      </c>
      <c r="G121" s="335"/>
      <c r="H121" s="335"/>
      <c r="I121" s="335"/>
      <c r="J121" s="335"/>
      <c r="K121" s="335"/>
      <c r="L121" s="335"/>
      <c r="M121" s="335"/>
      <c r="N121" s="335"/>
      <c r="O121" s="335"/>
      <c r="P121" s="335"/>
      <c r="Q121" s="335"/>
    </row>
    <row r="122" spans="6:20">
      <c r="F122" s="631" t="s">
        <v>319</v>
      </c>
      <c r="G122" s="631"/>
      <c r="H122" s="631"/>
      <c r="I122" s="631"/>
      <c r="J122" s="631"/>
      <c r="K122" s="631"/>
      <c r="L122" s="631"/>
      <c r="M122" s="631"/>
      <c r="N122" s="631"/>
      <c r="O122" s="631"/>
      <c r="P122" s="631"/>
      <c r="Q122" s="631"/>
      <c r="R122" s="70"/>
      <c r="S122" s="70"/>
      <c r="T122" s="70"/>
    </row>
    <row r="123" spans="6:20" ht="19" customHeight="1">
      <c r="F123" s="780" t="s">
        <v>984</v>
      </c>
      <c r="G123" s="780"/>
      <c r="H123" s="780" t="s">
        <v>1304</v>
      </c>
      <c r="I123" s="780"/>
      <c r="J123" s="780"/>
      <c r="K123" s="780"/>
      <c r="L123" s="780"/>
      <c r="M123" s="780"/>
      <c r="N123" s="780"/>
      <c r="O123" s="780"/>
      <c r="P123" s="780"/>
      <c r="Q123" s="780"/>
    </row>
    <row r="124" spans="6:20" ht="129.5" customHeight="1">
      <c r="F124" s="781" t="s">
        <v>299</v>
      </c>
      <c r="G124" s="781"/>
      <c r="H124" s="780" t="s">
        <v>804</v>
      </c>
      <c r="I124" s="780"/>
      <c r="J124" s="780"/>
      <c r="K124" s="780"/>
      <c r="L124" s="780"/>
      <c r="M124" s="780"/>
      <c r="N124" s="780"/>
      <c r="O124" s="780"/>
      <c r="P124" s="780"/>
      <c r="Q124" s="780"/>
    </row>
    <row r="125" spans="6:20" ht="79.5" customHeight="1">
      <c r="F125" s="780" t="s">
        <v>985</v>
      </c>
      <c r="G125" s="780"/>
      <c r="H125" s="780" t="s">
        <v>1303</v>
      </c>
      <c r="I125" s="780"/>
      <c r="J125" s="780"/>
      <c r="K125" s="780"/>
      <c r="L125" s="780"/>
      <c r="M125" s="780"/>
      <c r="N125" s="780"/>
      <c r="O125" s="780"/>
      <c r="P125" s="780"/>
      <c r="Q125" s="780"/>
    </row>
  </sheetData>
  <sheetProtection algorithmName="SHA-512" hashValue="3JSITZGfMALlchsTr/6VY/FYOwRbXHdEfZxOmnLofXn1E6eCT9wz8mMfaaJ8sY7ilnWtkxGkCWqP/t+PHFJfzw==" saltValue="xVRy7EowYExKLEbM4lcZtw==" spinCount="100000" sheet="1" formatCells="0" selectLockedCells="1"/>
  <mergeCells count="18">
    <mergeCell ref="A1:O1"/>
    <mergeCell ref="L2:Q2"/>
    <mergeCell ref="A5:A6"/>
    <mergeCell ref="B5:B6"/>
    <mergeCell ref="C5:C6"/>
    <mergeCell ref="D5:D6"/>
    <mergeCell ref="F119:G119"/>
    <mergeCell ref="H119:Q119"/>
    <mergeCell ref="H117:Q117"/>
    <mergeCell ref="F117:G117"/>
    <mergeCell ref="H118:Q118"/>
    <mergeCell ref="F118:G118"/>
    <mergeCell ref="F123:G123"/>
    <mergeCell ref="H123:Q123"/>
    <mergeCell ref="F124:G124"/>
    <mergeCell ref="H124:Q124"/>
    <mergeCell ref="F125:G125"/>
    <mergeCell ref="H125:Q125"/>
  </mergeCells>
  <phoneticPr fontId="1"/>
  <conditionalFormatting sqref="E7:E106">
    <cfRule type="containsText" dxfId="74" priority="18" operator="containsText" text="契約上の就業時間を記載">
      <formula>NOT(ISERROR(SEARCH("契約上の就業時間を記載",E7)))</formula>
    </cfRule>
  </conditionalFormatting>
  <conditionalFormatting sqref="F5">
    <cfRule type="containsBlanks" dxfId="73" priority="15">
      <formula>LEN(TRIM(F5))=0</formula>
    </cfRule>
  </conditionalFormatting>
  <conditionalFormatting sqref="F7:F106">
    <cfRule type="containsText" dxfId="72" priority="17" operator="containsText" text="見込を入力">
      <formula>NOT(ISERROR(SEARCH("見込を入力",F7)))</formula>
    </cfRule>
  </conditionalFormatting>
  <conditionalFormatting sqref="F116:F119">
    <cfRule type="containsText" dxfId="71" priority="28" operator="containsText" text="見込を入力">
      <formula>NOT(ISERROR(SEARCH("見込を入力",F116)))</formula>
    </cfRule>
  </conditionalFormatting>
  <conditionalFormatting sqref="F122:F125">
    <cfRule type="containsText" dxfId="70" priority="26" operator="containsText" text="見込を入力">
      <formula>NOT(ISERROR(SEARCH("見込を入力",F122)))</formula>
    </cfRule>
  </conditionalFormatting>
  <conditionalFormatting sqref="F5:Q5">
    <cfRule type="containsText" dxfId="69" priority="16" operator="containsText" text="常勤時間数">
      <formula>NOT(ISERROR(SEARCH("常勤時間数",F5)))</formula>
    </cfRule>
  </conditionalFormatting>
  <conditionalFormatting sqref="F7:AC106">
    <cfRule type="containsText" dxfId="68" priority="19" operator="containsText" text="を入力">
      <formula>NOT(ISERROR(SEARCH("を入力",F7)))</formula>
    </cfRule>
    <cfRule type="expression" dxfId="67" priority="20">
      <formula>$C7="パート非常勤　時間数入力→"</formula>
    </cfRule>
  </conditionalFormatting>
  <dataValidations disablePrompts="1" count="1">
    <dataValidation type="list" errorStyle="warning" allowBlank="1" showInputMessage="1" showErrorMessage="1" sqref="H983087:H983111 H917551:H917575 H852015:H852039 H786479:H786503 H720943:H720967 H655407:H655431 H589871:H589895 H524335:H524359 H458799:H458823 H393263:H393287 H327727:H327751 H262191:H262215 H196655:H196679 H131119:H131143 H65583:H65607 F983087:F983111 F917551:F917575 F852015:F852039 F786479:F786503 F720943:F720967 F655407:F655431 F589871:F589895 F524335:F524359 F458799:F458823 F393263:F393287 F327727:F327751 F262191:F262215 F196655:F196679 F131119:F131143 F65583:F65607 B65583:D65607 B131119:D131143 B196655:D196679 B262191:D262215 B327727:D327751 B393263:D393287 B458799:D458823 B524335:D524359 B589871:D589895 B655407:D655431 B720943:D720967 B786479:D786503 B852015:D852039 B917551:D917575 B983087:D983111" xr:uid="{9353E635-8007-4312-8E3A-14AD131BD501}">
      <formula1>#REF!</formula1>
    </dataValidation>
  </dataValidations>
  <pageMargins left="0.59055118110236227" right="0.31496062992125984" top="0.43307086614173229" bottom="0.35433070866141736" header="0.39370078740157483" footer="0.31496062992125984"/>
  <pageSetup paperSize="9" scale="69" orientation="landscape" r:id="rId1"/>
  <headerFooter alignWithMargins="0"/>
  <rowBreaks count="1" manualBreakCount="1">
    <brk id="25" max="16383" man="1"/>
  </rowBreaks>
  <colBreaks count="1" manualBreakCount="1">
    <brk id="17" max="106" man="1"/>
  </col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5E458-0902-4C83-BDB4-29898497C321}">
  <sheetPr codeName="Sheet8">
    <tabColor rgb="FF00B050"/>
  </sheetPr>
  <dimension ref="A1:AK22"/>
  <sheetViews>
    <sheetView view="pageBreakPreview" zoomScale="85" zoomScaleNormal="85" zoomScaleSheetLayoutView="85" zoomScalePageLayoutView="75" workbookViewId="0">
      <selection activeCell="B10" sqref="B10"/>
    </sheetView>
  </sheetViews>
  <sheetFormatPr defaultColWidth="9" defaultRowHeight="13"/>
  <cols>
    <col min="1" max="4" width="7.5" style="38" customWidth="1"/>
    <col min="5" max="5" width="5.6640625" style="38" bestFit="1" customWidth="1"/>
    <col min="6" max="6" width="6.08203125" style="38" hidden="1" customWidth="1"/>
    <col min="7" max="7" width="6.75" style="38" bestFit="1" customWidth="1"/>
    <col min="8" max="8" width="7.5" style="38" customWidth="1"/>
    <col min="9" max="10" width="8.83203125" style="38" customWidth="1"/>
    <col min="11" max="11" width="12.5" style="38" customWidth="1"/>
    <col min="12" max="14" width="8.83203125" style="38" customWidth="1"/>
    <col min="15" max="18" width="8.08203125" style="38" customWidth="1"/>
    <col min="19" max="21" width="8.83203125" style="38" customWidth="1"/>
    <col min="22" max="22" width="6.83203125" style="38" customWidth="1"/>
    <col min="23" max="23" width="11.83203125" style="38" customWidth="1"/>
    <col min="24" max="35" width="9" style="38"/>
    <col min="36" max="37" width="0" style="38" hidden="1" customWidth="1"/>
    <col min="38" max="16384" width="9" style="38"/>
  </cols>
  <sheetData>
    <row r="1" spans="1:37" s="56" customFormat="1" ht="25" customHeight="1">
      <c r="A1" s="56" t="s">
        <v>89</v>
      </c>
      <c r="L1" s="789" t="s">
        <v>685</v>
      </c>
      <c r="M1" s="790"/>
      <c r="N1" s="790"/>
      <c r="O1" s="790"/>
      <c r="P1" s="790"/>
      <c r="Q1" s="791"/>
      <c r="R1" s="800" t="s">
        <v>92</v>
      </c>
      <c r="S1" s="800"/>
      <c r="T1" s="189" t="s">
        <v>684</v>
      </c>
      <c r="U1" s="189" t="s">
        <v>683</v>
      </c>
      <c r="W1" s="56" t="s">
        <v>684</v>
      </c>
      <c r="X1" s="56" t="s">
        <v>683</v>
      </c>
      <c r="Z1" s="38" t="e">
        <f>①基本情報!S8</f>
        <v>#N/A</v>
      </c>
    </row>
    <row r="2" spans="1:37" s="56" customFormat="1" ht="25" customHeight="1">
      <c r="A2" s="56" t="s">
        <v>90</v>
      </c>
      <c r="K2" s="57"/>
      <c r="L2" s="786">
        <f>①基本情報!D6</f>
        <v>0</v>
      </c>
      <c r="M2" s="786"/>
      <c r="N2" s="786"/>
      <c r="O2" s="786"/>
      <c r="P2" s="786"/>
      <c r="Q2" s="786"/>
      <c r="R2" s="803" t="s">
        <v>680</v>
      </c>
      <c r="S2" s="803"/>
      <c r="T2" s="187" t="e">
        <f>①基本情報!F10</f>
        <v>#N/A</v>
      </c>
      <c r="U2" s="187" t="e">
        <f>①基本情報!F11</f>
        <v>#N/A</v>
      </c>
      <c r="W2" s="188" t="e">
        <f>SUM(T3:T4)</f>
        <v>#N/A</v>
      </c>
      <c r="X2" s="188" t="e">
        <f>SUM(U3:U4)</f>
        <v>#N/A</v>
      </c>
      <c r="Y2" s="58"/>
    </row>
    <row r="3" spans="1:37" s="56" customFormat="1" ht="25" customHeight="1">
      <c r="L3" s="786"/>
      <c r="M3" s="786"/>
      <c r="N3" s="786"/>
      <c r="O3" s="786"/>
      <c r="P3" s="786"/>
      <c r="Q3" s="786"/>
      <c r="R3" s="803" t="s">
        <v>681</v>
      </c>
      <c r="S3" s="803"/>
      <c r="T3" s="187" t="e">
        <f>①基本情報!G10</f>
        <v>#N/A</v>
      </c>
      <c r="U3" s="187" t="e">
        <f>①基本情報!G11</f>
        <v>#N/A</v>
      </c>
      <c r="X3" s="58"/>
    </row>
    <row r="4" spans="1:37" s="56" customFormat="1" ht="25" customHeight="1">
      <c r="M4" s="59"/>
      <c r="N4" s="184"/>
      <c r="O4" s="184"/>
      <c r="P4" s="184"/>
      <c r="Q4" s="185" t="e">
        <f>①基本情報!J5</f>
        <v>#N/A</v>
      </c>
      <c r="R4" s="803" t="s">
        <v>682</v>
      </c>
      <c r="S4" s="803"/>
      <c r="T4" s="187" t="e">
        <f>①基本情報!H10</f>
        <v>#N/A</v>
      </c>
      <c r="U4" s="187" t="e">
        <f>①基本情報!H11</f>
        <v>#N/A</v>
      </c>
      <c r="V4" s="59"/>
      <c r="Y4" s="58"/>
    </row>
    <row r="5" spans="1:37" s="56" customFormat="1" ht="16.5" customHeight="1" thickBot="1"/>
    <row r="6" spans="1:37" ht="22.5" customHeight="1">
      <c r="A6" s="788"/>
      <c r="B6" s="793" t="s">
        <v>722</v>
      </c>
      <c r="C6" s="792"/>
      <c r="D6" s="792"/>
      <c r="E6" s="792"/>
      <c r="F6" s="792"/>
      <c r="G6" s="792"/>
      <c r="H6" s="792"/>
      <c r="I6" s="793" t="s">
        <v>93</v>
      </c>
      <c r="J6" s="794" t="s">
        <v>723</v>
      </c>
      <c r="K6" s="792"/>
      <c r="L6" s="792"/>
      <c r="M6" s="792"/>
      <c r="N6" s="792"/>
      <c r="O6" s="795" t="s">
        <v>724</v>
      </c>
      <c r="P6" s="795"/>
      <c r="Q6" s="795" t="s">
        <v>725</v>
      </c>
      <c r="R6" s="795"/>
      <c r="S6" s="804" t="s">
        <v>726</v>
      </c>
      <c r="T6" s="801" t="s">
        <v>691</v>
      </c>
      <c r="U6" s="798" t="s">
        <v>690</v>
      </c>
      <c r="W6" s="56"/>
    </row>
    <row r="7" spans="1:37" ht="22.5" customHeight="1">
      <c r="A7" s="792"/>
      <c r="B7" s="788" t="s">
        <v>94</v>
      </c>
      <c r="C7" s="788" t="s">
        <v>95</v>
      </c>
      <c r="D7" s="794" t="s">
        <v>939</v>
      </c>
      <c r="E7" s="794" t="s">
        <v>686</v>
      </c>
      <c r="F7" s="794" t="s">
        <v>689</v>
      </c>
      <c r="G7" s="794" t="s">
        <v>687</v>
      </c>
      <c r="H7" s="794" t="s">
        <v>688</v>
      </c>
      <c r="I7" s="792"/>
      <c r="J7" s="792"/>
      <c r="K7" s="792"/>
      <c r="L7" s="792"/>
      <c r="M7" s="792"/>
      <c r="N7" s="792"/>
      <c r="O7" s="795"/>
      <c r="P7" s="795"/>
      <c r="Q7" s="795"/>
      <c r="R7" s="795"/>
      <c r="S7" s="804"/>
      <c r="T7" s="802"/>
      <c r="U7" s="799"/>
      <c r="W7" s="56"/>
    </row>
    <row r="8" spans="1:37" ht="22.5" customHeight="1" thickBot="1">
      <c r="A8" s="792"/>
      <c r="B8" s="792"/>
      <c r="C8" s="792"/>
      <c r="D8" s="792"/>
      <c r="E8" s="792"/>
      <c r="F8" s="792"/>
      <c r="G8" s="792"/>
      <c r="H8" s="792"/>
      <c r="I8" s="792"/>
      <c r="J8" s="69" t="s">
        <v>96</v>
      </c>
      <c r="K8" s="69" t="s">
        <v>692</v>
      </c>
      <c r="L8" s="69" t="s">
        <v>97</v>
      </c>
      <c r="M8" s="60" t="s">
        <v>97</v>
      </c>
      <c r="N8" s="69" t="s">
        <v>98</v>
      </c>
      <c r="O8" s="795"/>
      <c r="P8" s="795"/>
      <c r="Q8" s="795"/>
      <c r="R8" s="795"/>
      <c r="S8" s="804"/>
      <c r="T8" s="802"/>
      <c r="U8" s="799"/>
      <c r="AF8" s="787" t="s">
        <v>1587</v>
      </c>
      <c r="AG8" s="788"/>
      <c r="AH8" s="788"/>
      <c r="AI8" s="788"/>
    </row>
    <row r="9" spans="1:37" ht="22.5" customHeight="1">
      <c r="A9" s="792"/>
      <c r="B9" s="792"/>
      <c r="C9" s="792"/>
      <c r="D9" s="792"/>
      <c r="E9" s="792"/>
      <c r="F9" s="792"/>
      <c r="G9" s="792"/>
      <c r="H9" s="792"/>
      <c r="I9" s="792"/>
      <c r="J9" s="69" t="s">
        <v>99</v>
      </c>
      <c r="K9" s="69" t="s">
        <v>100</v>
      </c>
      <c r="L9" s="69" t="s">
        <v>101</v>
      </c>
      <c r="M9" s="60" t="s">
        <v>102</v>
      </c>
      <c r="N9" s="69" t="s">
        <v>103</v>
      </c>
      <c r="O9" s="69" t="s">
        <v>641</v>
      </c>
      <c r="P9" s="69" t="s">
        <v>642</v>
      </c>
      <c r="Q9" s="69" t="s">
        <v>641</v>
      </c>
      <c r="R9" s="69" t="s">
        <v>642</v>
      </c>
      <c r="S9" s="804"/>
      <c r="T9" s="802"/>
      <c r="U9" s="799"/>
      <c r="AF9" s="528" t="s">
        <v>1588</v>
      </c>
      <c r="AG9" s="529" t="s">
        <v>1589</v>
      </c>
      <c r="AH9" s="530" t="s">
        <v>1590</v>
      </c>
      <c r="AI9" s="530" t="s">
        <v>1591</v>
      </c>
      <c r="AJ9" s="38" t="s">
        <v>1592</v>
      </c>
    </row>
    <row r="10" spans="1:37" ht="22.5" customHeight="1">
      <c r="A10" s="68" t="s">
        <v>104</v>
      </c>
      <c r="B10" s="67"/>
      <c r="C10" s="67"/>
      <c r="D10" s="67"/>
      <c r="E10" s="67"/>
      <c r="F10" s="305"/>
      <c r="G10" s="67"/>
      <c r="H10" s="67"/>
      <c r="I10" s="61">
        <f>SUM(B10:H10)</f>
        <v>0</v>
      </c>
      <c r="J10" s="61">
        <f t="shared" ref="J10:J21" si="0">ROUNDDOWN(B10/3,1)</f>
        <v>0</v>
      </c>
      <c r="K10" s="61">
        <f>ROUNDDOWN((C10+D10+F10)/6,1)</f>
        <v>0</v>
      </c>
      <c r="L10" s="61">
        <f t="shared" ref="L10:L21" si="1">ROUNDDOWN(E10/15,1)</f>
        <v>0</v>
      </c>
      <c r="M10" s="62">
        <f t="shared" ref="M10:M21" si="2">ROUNDDOWN(E10/20,1)</f>
        <v>0</v>
      </c>
      <c r="N10" s="61">
        <f>ROUNDDOWN((G10+H10)/30,1)</f>
        <v>0</v>
      </c>
      <c r="O10" s="61" t="e">
        <f>IF($W$2&lt;=90,1,0)</f>
        <v>#N/A</v>
      </c>
      <c r="P10" s="61" t="e">
        <f>IF($Z$1="有",IF($X$2&lt;=90,1,0),0)</f>
        <v>#N/A</v>
      </c>
      <c r="Q10" s="61">
        <f>IF(①基本情報!F21="有",1,"")</f>
        <v>1</v>
      </c>
      <c r="R10" s="61" t="e">
        <f>IF(AND($Z$1="有",Q10=1),1,0)</f>
        <v>#N/A</v>
      </c>
      <c r="S10" s="63">
        <v>2</v>
      </c>
      <c r="T10" s="64" t="e">
        <f>ROUND(J10+K10+L10+N10,0)+SUM(O10:S10)</f>
        <v>#N/A</v>
      </c>
      <c r="U10" s="65" t="e">
        <f>ROUND(J10+K10+M10+N10,0)+SUM(O10:S10)</f>
        <v>#N/A</v>
      </c>
      <c r="AE10" s="534"/>
      <c r="AF10" s="531" t="e" cm="1">
        <f t="array" ref="AF10">_xlfn.IFS(AND(①基本情報!F35="有",①基本情報!F34="有"),AG10,AND(①基本情報!F35="有",①基本情報!F34="無"),AH10,AND(①基本情報!F35="無",①基本情報!F34="有"),AI10)</f>
        <v>#N/A</v>
      </c>
      <c r="AG10" s="532" t="e">
        <f>ROUND(J10+ROUNDDOWN((C10)/5,1)+ROUNDDOWN((D10)/6,1)+L10+ROUNDDOWN((G10+H10)/25,1),0)+SUM(O10:S10)</f>
        <v>#N/A</v>
      </c>
      <c r="AH10" s="68" t="e">
        <f>ROUND(J10+ROUNDDOWN((C10)/5,1)+ROUNDDOWN((D10)/6,1)+L10+N10,0)+SUM(O10:S10)</f>
        <v>#N/A</v>
      </c>
      <c r="AI10" s="61" t="e">
        <f>ROUND(J10+K10+L10+ROUNDDOWN((G10+H10)/25,1),0)+SUM(O10:S10)</f>
        <v>#N/A</v>
      </c>
      <c r="AJ10" s="796" t="s">
        <v>1593</v>
      </c>
      <c r="AK10" s="797"/>
    </row>
    <row r="11" spans="1:37" ht="22.5" customHeight="1">
      <c r="A11" s="68" t="s">
        <v>105</v>
      </c>
      <c r="B11" s="67">
        <f>B10</f>
        <v>0</v>
      </c>
      <c r="C11" s="67">
        <f t="shared" ref="C11:H11" si="3">C10</f>
        <v>0</v>
      </c>
      <c r="D11" s="67">
        <f t="shared" si="3"/>
        <v>0</v>
      </c>
      <c r="E11" s="67">
        <f t="shared" si="3"/>
        <v>0</v>
      </c>
      <c r="F11" s="67">
        <f t="shared" si="3"/>
        <v>0</v>
      </c>
      <c r="G11" s="67">
        <f t="shared" si="3"/>
        <v>0</v>
      </c>
      <c r="H11" s="67">
        <f t="shared" si="3"/>
        <v>0</v>
      </c>
      <c r="I11" s="61">
        <f t="shared" ref="I11:I21" si="4">SUM(B11:H11)</f>
        <v>0</v>
      </c>
      <c r="J11" s="61">
        <f t="shared" si="0"/>
        <v>0</v>
      </c>
      <c r="K11" s="61">
        <f t="shared" ref="K11:K21" si="5">ROUNDDOWN((C11+D11+F11)/6,1)</f>
        <v>0</v>
      </c>
      <c r="L11" s="61">
        <f t="shared" si="1"/>
        <v>0</v>
      </c>
      <c r="M11" s="62">
        <f t="shared" si="2"/>
        <v>0</v>
      </c>
      <c r="N11" s="61">
        <f t="shared" ref="N11:N21" si="6">ROUNDDOWN((G11+H11)/30,1)</f>
        <v>0</v>
      </c>
      <c r="O11" s="61" t="e">
        <f>O10</f>
        <v>#N/A</v>
      </c>
      <c r="P11" s="61" t="e">
        <f t="shared" ref="P11" si="7">P10</f>
        <v>#N/A</v>
      </c>
      <c r="Q11" s="61">
        <f t="shared" ref="Q11:R11" si="8">Q10</f>
        <v>1</v>
      </c>
      <c r="R11" s="61" t="e">
        <f t="shared" si="8"/>
        <v>#N/A</v>
      </c>
      <c r="S11" s="63">
        <f>S10</f>
        <v>2</v>
      </c>
      <c r="T11" s="64" t="e">
        <f t="shared" ref="T11:T21" si="9">ROUND(J11+K11+L11+N11,0)+SUM(O11:S11)</f>
        <v>#N/A</v>
      </c>
      <c r="U11" s="65" t="e">
        <f t="shared" ref="U11:U21" si="10">ROUND(J11+K11+M11+N11,0)+SUM(O11:S11)</f>
        <v>#N/A</v>
      </c>
      <c r="AE11" s="534"/>
      <c r="AF11" s="531" t="e" cm="1">
        <f t="array" ref="AF11">_xlfn.IFS(AND(①基本情報!G35="有",①基本情報!G34="有"),AG10,AND(①基本情報!G35="有",①基本情報!G34="無"),AH10,AND(①基本情報!G35="無",①基本情報!G34="有"),AI10)</f>
        <v>#N/A</v>
      </c>
      <c r="AG11" s="532" t="e">
        <f t="shared" ref="AG11:AG21" si="11">ROUND(J11+ROUNDDOWN((C11)/5,1)+ROUNDDOWN((D11)/6,1)+L11+ROUNDDOWN((G11+H11)/25,1),0)+SUM(O11:S11)</f>
        <v>#N/A</v>
      </c>
      <c r="AH11" s="68" t="e">
        <f t="shared" ref="AH11:AH21" si="12">ROUND(J11+ROUNDDOWN((C11)/5,1)+ROUNDDOWN((D11)/6,1)+L11+N11,0)+SUM(O11:S11)</f>
        <v>#N/A</v>
      </c>
      <c r="AI11" s="61" t="e">
        <f t="shared" ref="AI11:AI21" si="13">ROUND(J11+K11+L11+ROUNDDOWN((G11+H11)/25,1),0)+SUM(O11:S11)</f>
        <v>#N/A</v>
      </c>
      <c r="AJ11" s="796"/>
      <c r="AK11" s="797"/>
    </row>
    <row r="12" spans="1:37" ht="22.5" customHeight="1">
      <c r="A12" s="68" t="s">
        <v>106</v>
      </c>
      <c r="B12" s="67">
        <f t="shared" ref="B12:B21" si="14">B11</f>
        <v>0</v>
      </c>
      <c r="C12" s="67">
        <f t="shared" ref="C12:C21" si="15">C11</f>
        <v>0</v>
      </c>
      <c r="D12" s="67">
        <f t="shared" ref="D12:D21" si="16">D11</f>
        <v>0</v>
      </c>
      <c r="E12" s="67">
        <f t="shared" ref="E12:E21" si="17">E11</f>
        <v>0</v>
      </c>
      <c r="F12" s="67">
        <f t="shared" ref="F12:F21" si="18">F11</f>
        <v>0</v>
      </c>
      <c r="G12" s="67">
        <f t="shared" ref="G12:G21" si="19">G11</f>
        <v>0</v>
      </c>
      <c r="H12" s="67">
        <f t="shared" ref="H12:H21" si="20">H11</f>
        <v>0</v>
      </c>
      <c r="I12" s="61">
        <f t="shared" si="4"/>
        <v>0</v>
      </c>
      <c r="J12" s="61">
        <f t="shared" si="0"/>
        <v>0</v>
      </c>
      <c r="K12" s="61">
        <f t="shared" si="5"/>
        <v>0</v>
      </c>
      <c r="L12" s="61">
        <f t="shared" si="1"/>
        <v>0</v>
      </c>
      <c r="M12" s="62">
        <f t="shared" si="2"/>
        <v>0</v>
      </c>
      <c r="N12" s="61">
        <f t="shared" si="6"/>
        <v>0</v>
      </c>
      <c r="O12" s="61" t="e">
        <f t="shared" ref="O12:O21" si="21">O11</f>
        <v>#N/A</v>
      </c>
      <c r="P12" s="61" t="e">
        <f t="shared" ref="P12:P21" si="22">P11</f>
        <v>#N/A</v>
      </c>
      <c r="Q12" s="61">
        <f t="shared" ref="Q12:R21" si="23">Q11</f>
        <v>1</v>
      </c>
      <c r="R12" s="61" t="e">
        <f t="shared" si="23"/>
        <v>#N/A</v>
      </c>
      <c r="S12" s="63">
        <f t="shared" ref="S12:S21" si="24">S11</f>
        <v>2</v>
      </c>
      <c r="T12" s="64" t="e">
        <f t="shared" si="9"/>
        <v>#N/A</v>
      </c>
      <c r="U12" s="65" t="e">
        <f t="shared" si="10"/>
        <v>#N/A</v>
      </c>
      <c r="AE12" s="534"/>
      <c r="AF12" s="531" t="e" cm="1">
        <f t="array" ref="AF12">_xlfn.IFS(AND(①基本情報!H35="有",①基本情報!H34="有"),AG10,AND(①基本情報!H35="有",①基本情報!H34="無"),AH10,AND(①基本情報!H35="無",①基本情報!H34="有"),AI10)</f>
        <v>#N/A</v>
      </c>
      <c r="AG12" s="532" t="e">
        <f t="shared" si="11"/>
        <v>#N/A</v>
      </c>
      <c r="AH12" s="68" t="e">
        <f t="shared" si="12"/>
        <v>#N/A</v>
      </c>
      <c r="AI12" s="61" t="e">
        <f t="shared" si="13"/>
        <v>#N/A</v>
      </c>
      <c r="AJ12" s="796"/>
      <c r="AK12" s="797"/>
    </row>
    <row r="13" spans="1:37" ht="22.5" customHeight="1">
      <c r="A13" s="68" t="s">
        <v>107</v>
      </c>
      <c r="B13" s="67">
        <f t="shared" si="14"/>
        <v>0</v>
      </c>
      <c r="C13" s="67">
        <f t="shared" si="15"/>
        <v>0</v>
      </c>
      <c r="D13" s="67">
        <f t="shared" si="16"/>
        <v>0</v>
      </c>
      <c r="E13" s="67">
        <f t="shared" si="17"/>
        <v>0</v>
      </c>
      <c r="F13" s="67">
        <f t="shared" si="18"/>
        <v>0</v>
      </c>
      <c r="G13" s="67">
        <f t="shared" si="19"/>
        <v>0</v>
      </c>
      <c r="H13" s="67">
        <f t="shared" si="20"/>
        <v>0</v>
      </c>
      <c r="I13" s="61">
        <f t="shared" si="4"/>
        <v>0</v>
      </c>
      <c r="J13" s="61">
        <f t="shared" si="0"/>
        <v>0</v>
      </c>
      <c r="K13" s="61">
        <f t="shared" si="5"/>
        <v>0</v>
      </c>
      <c r="L13" s="61">
        <f t="shared" si="1"/>
        <v>0</v>
      </c>
      <c r="M13" s="62">
        <f t="shared" si="2"/>
        <v>0</v>
      </c>
      <c r="N13" s="61">
        <f t="shared" si="6"/>
        <v>0</v>
      </c>
      <c r="O13" s="61" t="e">
        <f t="shared" si="21"/>
        <v>#N/A</v>
      </c>
      <c r="P13" s="61" t="e">
        <f t="shared" si="22"/>
        <v>#N/A</v>
      </c>
      <c r="Q13" s="61">
        <f t="shared" si="23"/>
        <v>1</v>
      </c>
      <c r="R13" s="61" t="e">
        <f t="shared" si="23"/>
        <v>#N/A</v>
      </c>
      <c r="S13" s="63">
        <f t="shared" si="24"/>
        <v>2</v>
      </c>
      <c r="T13" s="64" t="e">
        <f t="shared" si="9"/>
        <v>#N/A</v>
      </c>
      <c r="U13" s="65" t="e">
        <f t="shared" si="10"/>
        <v>#N/A</v>
      </c>
      <c r="AE13" s="534"/>
      <c r="AF13" s="531" t="e" cm="1">
        <f t="array" ref="AF13">_xlfn.IFS(AND(①基本情報!I35="有",①基本情報!I34="有"),AG10,AND(①基本情報!I35="有",①基本情報!I34="無"),AH10,AND(①基本情報!I35="無",①基本情報!I34="有"),AI10)</f>
        <v>#N/A</v>
      </c>
      <c r="AG13" s="532" t="e">
        <f t="shared" si="11"/>
        <v>#N/A</v>
      </c>
      <c r="AH13" s="68" t="e">
        <f t="shared" si="12"/>
        <v>#N/A</v>
      </c>
      <c r="AI13" s="61" t="e">
        <f t="shared" si="13"/>
        <v>#N/A</v>
      </c>
      <c r="AJ13" s="796"/>
      <c r="AK13" s="797"/>
    </row>
    <row r="14" spans="1:37" ht="22.5" customHeight="1">
      <c r="A14" s="68" t="s">
        <v>108</v>
      </c>
      <c r="B14" s="67">
        <f t="shared" si="14"/>
        <v>0</v>
      </c>
      <c r="C14" s="67">
        <f t="shared" si="15"/>
        <v>0</v>
      </c>
      <c r="D14" s="67">
        <f t="shared" si="16"/>
        <v>0</v>
      </c>
      <c r="E14" s="67">
        <f t="shared" si="17"/>
        <v>0</v>
      </c>
      <c r="F14" s="67">
        <f t="shared" si="18"/>
        <v>0</v>
      </c>
      <c r="G14" s="67">
        <f t="shared" si="19"/>
        <v>0</v>
      </c>
      <c r="H14" s="67">
        <f t="shared" si="20"/>
        <v>0</v>
      </c>
      <c r="I14" s="61">
        <f t="shared" si="4"/>
        <v>0</v>
      </c>
      <c r="J14" s="61">
        <f t="shared" si="0"/>
        <v>0</v>
      </c>
      <c r="K14" s="61">
        <f t="shared" si="5"/>
        <v>0</v>
      </c>
      <c r="L14" s="61">
        <f t="shared" si="1"/>
        <v>0</v>
      </c>
      <c r="M14" s="62">
        <f t="shared" si="2"/>
        <v>0</v>
      </c>
      <c r="N14" s="61">
        <f t="shared" si="6"/>
        <v>0</v>
      </c>
      <c r="O14" s="61" t="e">
        <f t="shared" si="21"/>
        <v>#N/A</v>
      </c>
      <c r="P14" s="61" t="e">
        <f t="shared" si="22"/>
        <v>#N/A</v>
      </c>
      <c r="Q14" s="61">
        <f t="shared" si="23"/>
        <v>1</v>
      </c>
      <c r="R14" s="61" t="e">
        <f t="shared" si="23"/>
        <v>#N/A</v>
      </c>
      <c r="S14" s="63">
        <f t="shared" si="24"/>
        <v>2</v>
      </c>
      <c r="T14" s="64" t="e">
        <f t="shared" si="9"/>
        <v>#N/A</v>
      </c>
      <c r="U14" s="65" t="e">
        <f t="shared" si="10"/>
        <v>#N/A</v>
      </c>
      <c r="AE14" s="534"/>
      <c r="AF14" s="531" t="e" cm="1">
        <f t="array" ref="AF14">_xlfn.IFS(AND(①基本情報!J35="有",①基本情報!J34="有"),AG10,AND(①基本情報!J35="有",①基本情報!J34="無"),AH10,AND(①基本情報!J35="無",①基本情報!J34="有"),AI10)</f>
        <v>#N/A</v>
      </c>
      <c r="AG14" s="532" t="e">
        <f t="shared" si="11"/>
        <v>#N/A</v>
      </c>
      <c r="AH14" s="68" t="e">
        <f t="shared" si="12"/>
        <v>#N/A</v>
      </c>
      <c r="AI14" s="61" t="e">
        <f t="shared" si="13"/>
        <v>#N/A</v>
      </c>
      <c r="AJ14" s="796"/>
      <c r="AK14" s="797"/>
    </row>
    <row r="15" spans="1:37" ht="22.5" customHeight="1">
      <c r="A15" s="68" t="s">
        <v>109</v>
      </c>
      <c r="B15" s="67">
        <f t="shared" si="14"/>
        <v>0</v>
      </c>
      <c r="C15" s="67">
        <f t="shared" si="15"/>
        <v>0</v>
      </c>
      <c r="D15" s="67">
        <f t="shared" si="16"/>
        <v>0</v>
      </c>
      <c r="E15" s="67">
        <f t="shared" si="17"/>
        <v>0</v>
      </c>
      <c r="F15" s="67">
        <f t="shared" si="18"/>
        <v>0</v>
      </c>
      <c r="G15" s="67">
        <f t="shared" si="19"/>
        <v>0</v>
      </c>
      <c r="H15" s="67">
        <f t="shared" si="20"/>
        <v>0</v>
      </c>
      <c r="I15" s="61">
        <f t="shared" si="4"/>
        <v>0</v>
      </c>
      <c r="J15" s="61">
        <f t="shared" si="0"/>
        <v>0</v>
      </c>
      <c r="K15" s="61">
        <f t="shared" si="5"/>
        <v>0</v>
      </c>
      <c r="L15" s="61">
        <f t="shared" si="1"/>
        <v>0</v>
      </c>
      <c r="M15" s="62">
        <f t="shared" si="2"/>
        <v>0</v>
      </c>
      <c r="N15" s="61">
        <f t="shared" si="6"/>
        <v>0</v>
      </c>
      <c r="O15" s="61" t="e">
        <f t="shared" si="21"/>
        <v>#N/A</v>
      </c>
      <c r="P15" s="61" t="e">
        <f t="shared" si="22"/>
        <v>#N/A</v>
      </c>
      <c r="Q15" s="61">
        <f t="shared" si="23"/>
        <v>1</v>
      </c>
      <c r="R15" s="61" t="e">
        <f t="shared" si="23"/>
        <v>#N/A</v>
      </c>
      <c r="S15" s="63">
        <f t="shared" si="24"/>
        <v>2</v>
      </c>
      <c r="T15" s="64" t="e">
        <f t="shared" si="9"/>
        <v>#N/A</v>
      </c>
      <c r="U15" s="65" t="e">
        <f t="shared" si="10"/>
        <v>#N/A</v>
      </c>
      <c r="AE15" s="534"/>
      <c r="AF15" s="531" t="e" cm="1">
        <f t="array" ref="AF15">_xlfn.IFS(AND(①基本情報!K35="有",①基本情報!K34="有"),AG10,AND(①基本情報!K35="有",①基本情報!K34="無"),AH10,AND(①基本情報!K35="無",①基本情報!K34="有"),AI10)</f>
        <v>#N/A</v>
      </c>
      <c r="AG15" s="532" t="e">
        <f t="shared" si="11"/>
        <v>#N/A</v>
      </c>
      <c r="AH15" s="68" t="e">
        <f t="shared" si="12"/>
        <v>#N/A</v>
      </c>
      <c r="AI15" s="61" t="e">
        <f t="shared" si="13"/>
        <v>#N/A</v>
      </c>
      <c r="AJ15" s="796"/>
      <c r="AK15" s="797"/>
    </row>
    <row r="16" spans="1:37" ht="22.5" customHeight="1">
      <c r="A16" s="68" t="s">
        <v>110</v>
      </c>
      <c r="B16" s="67">
        <f t="shared" si="14"/>
        <v>0</v>
      </c>
      <c r="C16" s="67">
        <f t="shared" si="15"/>
        <v>0</v>
      </c>
      <c r="D16" s="67">
        <f t="shared" si="16"/>
        <v>0</v>
      </c>
      <c r="E16" s="67">
        <f t="shared" si="17"/>
        <v>0</v>
      </c>
      <c r="F16" s="67">
        <f t="shared" si="18"/>
        <v>0</v>
      </c>
      <c r="G16" s="67">
        <f t="shared" si="19"/>
        <v>0</v>
      </c>
      <c r="H16" s="67">
        <f t="shared" si="20"/>
        <v>0</v>
      </c>
      <c r="I16" s="61">
        <f t="shared" si="4"/>
        <v>0</v>
      </c>
      <c r="J16" s="61">
        <f t="shared" si="0"/>
        <v>0</v>
      </c>
      <c r="K16" s="61">
        <f t="shared" si="5"/>
        <v>0</v>
      </c>
      <c r="L16" s="61">
        <f t="shared" si="1"/>
        <v>0</v>
      </c>
      <c r="M16" s="62">
        <f t="shared" si="2"/>
        <v>0</v>
      </c>
      <c r="N16" s="61">
        <f t="shared" si="6"/>
        <v>0</v>
      </c>
      <c r="O16" s="61" t="e">
        <f t="shared" si="21"/>
        <v>#N/A</v>
      </c>
      <c r="P16" s="61" t="e">
        <f t="shared" si="22"/>
        <v>#N/A</v>
      </c>
      <c r="Q16" s="61">
        <f t="shared" si="23"/>
        <v>1</v>
      </c>
      <c r="R16" s="61" t="e">
        <f t="shared" si="23"/>
        <v>#N/A</v>
      </c>
      <c r="S16" s="63">
        <f t="shared" si="24"/>
        <v>2</v>
      </c>
      <c r="T16" s="64" t="e">
        <f t="shared" si="9"/>
        <v>#N/A</v>
      </c>
      <c r="U16" s="65" t="e">
        <f t="shared" si="10"/>
        <v>#N/A</v>
      </c>
      <c r="AE16" s="534"/>
      <c r="AF16" s="531" t="e" cm="1">
        <f t="array" ref="AF16">_xlfn.IFS(AND(①基本情報!FK35="有",①基本情報!L34="有"),AG10,AND(①基本情報!L35="有",①基本情報!L34="無"),AH10,AND(①基本情報!L35="無",①基本情報!L34="有"),AI10)</f>
        <v>#N/A</v>
      </c>
      <c r="AG16" s="532" t="e">
        <f t="shared" si="11"/>
        <v>#N/A</v>
      </c>
      <c r="AH16" s="68" t="e">
        <f t="shared" si="12"/>
        <v>#N/A</v>
      </c>
      <c r="AI16" s="61" t="e">
        <f t="shared" si="13"/>
        <v>#N/A</v>
      </c>
      <c r="AJ16" s="796"/>
      <c r="AK16" s="797"/>
    </row>
    <row r="17" spans="1:37" ht="22.5" customHeight="1">
      <c r="A17" s="68" t="s">
        <v>111</v>
      </c>
      <c r="B17" s="67">
        <f t="shared" si="14"/>
        <v>0</v>
      </c>
      <c r="C17" s="67">
        <f t="shared" si="15"/>
        <v>0</v>
      </c>
      <c r="D17" s="67">
        <f t="shared" si="16"/>
        <v>0</v>
      </c>
      <c r="E17" s="67">
        <f t="shared" si="17"/>
        <v>0</v>
      </c>
      <c r="F17" s="67">
        <f t="shared" si="18"/>
        <v>0</v>
      </c>
      <c r="G17" s="67">
        <f t="shared" si="19"/>
        <v>0</v>
      </c>
      <c r="H17" s="67">
        <f t="shared" si="20"/>
        <v>0</v>
      </c>
      <c r="I17" s="61">
        <f t="shared" si="4"/>
        <v>0</v>
      </c>
      <c r="J17" s="61">
        <f t="shared" si="0"/>
        <v>0</v>
      </c>
      <c r="K17" s="61">
        <f t="shared" si="5"/>
        <v>0</v>
      </c>
      <c r="L17" s="61">
        <f t="shared" si="1"/>
        <v>0</v>
      </c>
      <c r="M17" s="62">
        <f t="shared" si="2"/>
        <v>0</v>
      </c>
      <c r="N17" s="61">
        <f t="shared" si="6"/>
        <v>0</v>
      </c>
      <c r="O17" s="61" t="e">
        <f t="shared" si="21"/>
        <v>#N/A</v>
      </c>
      <c r="P17" s="61" t="e">
        <f t="shared" si="22"/>
        <v>#N/A</v>
      </c>
      <c r="Q17" s="61">
        <f t="shared" si="23"/>
        <v>1</v>
      </c>
      <c r="R17" s="61" t="e">
        <f t="shared" si="23"/>
        <v>#N/A</v>
      </c>
      <c r="S17" s="63">
        <f t="shared" si="24"/>
        <v>2</v>
      </c>
      <c r="T17" s="64" t="e">
        <f t="shared" si="9"/>
        <v>#N/A</v>
      </c>
      <c r="U17" s="65" t="e">
        <f t="shared" si="10"/>
        <v>#N/A</v>
      </c>
      <c r="AE17" s="534"/>
      <c r="AF17" s="531" t="e" cm="1">
        <f t="array" ref="AF17">_xlfn.IFS(AND(①基本情報!M35="有",①基本情報!M34="有"),AG10,AND(①基本情報!M35="有",①基本情報!M34="無"),AH10,AND(①基本情報!M35="無",①基本情報!M34="有"),AI10)</f>
        <v>#N/A</v>
      </c>
      <c r="AG17" s="532" t="e">
        <f t="shared" si="11"/>
        <v>#N/A</v>
      </c>
      <c r="AH17" s="68" t="e">
        <f t="shared" si="12"/>
        <v>#N/A</v>
      </c>
      <c r="AI17" s="61" t="e">
        <f t="shared" si="13"/>
        <v>#N/A</v>
      </c>
      <c r="AJ17" s="796"/>
      <c r="AK17" s="797"/>
    </row>
    <row r="18" spans="1:37" ht="22.5" customHeight="1">
      <c r="A18" s="68" t="s">
        <v>112</v>
      </c>
      <c r="B18" s="67">
        <f t="shared" si="14"/>
        <v>0</v>
      </c>
      <c r="C18" s="67">
        <f t="shared" si="15"/>
        <v>0</v>
      </c>
      <c r="D18" s="67">
        <f t="shared" si="16"/>
        <v>0</v>
      </c>
      <c r="E18" s="67">
        <f t="shared" si="17"/>
        <v>0</v>
      </c>
      <c r="F18" s="67">
        <f t="shared" si="18"/>
        <v>0</v>
      </c>
      <c r="G18" s="67">
        <f t="shared" si="19"/>
        <v>0</v>
      </c>
      <c r="H18" s="67">
        <f t="shared" si="20"/>
        <v>0</v>
      </c>
      <c r="I18" s="61">
        <f t="shared" si="4"/>
        <v>0</v>
      </c>
      <c r="J18" s="61">
        <f t="shared" si="0"/>
        <v>0</v>
      </c>
      <c r="K18" s="61">
        <f t="shared" si="5"/>
        <v>0</v>
      </c>
      <c r="L18" s="61">
        <f t="shared" si="1"/>
        <v>0</v>
      </c>
      <c r="M18" s="62">
        <f t="shared" si="2"/>
        <v>0</v>
      </c>
      <c r="N18" s="61">
        <f t="shared" si="6"/>
        <v>0</v>
      </c>
      <c r="O18" s="61" t="e">
        <f t="shared" si="21"/>
        <v>#N/A</v>
      </c>
      <c r="P18" s="61" t="e">
        <f t="shared" si="22"/>
        <v>#N/A</v>
      </c>
      <c r="Q18" s="61">
        <f t="shared" si="23"/>
        <v>1</v>
      </c>
      <c r="R18" s="61" t="e">
        <f t="shared" si="23"/>
        <v>#N/A</v>
      </c>
      <c r="S18" s="63">
        <f t="shared" si="24"/>
        <v>2</v>
      </c>
      <c r="T18" s="64" t="e">
        <f t="shared" si="9"/>
        <v>#N/A</v>
      </c>
      <c r="U18" s="65" t="e">
        <f t="shared" si="10"/>
        <v>#N/A</v>
      </c>
      <c r="AE18" s="534"/>
      <c r="AF18" s="531" t="e" cm="1">
        <f t="array" ref="AF18">_xlfn.IFS(AND(①基本情報!N35="有",①基本情報!N34="有"),AG10,AND(①基本情報!N35="有",①基本情報!N34="無"),AH10,AND(①基本情報!N35="無",①基本情報!N34="有"),AI10)</f>
        <v>#N/A</v>
      </c>
      <c r="AG18" s="532" t="e">
        <f t="shared" si="11"/>
        <v>#N/A</v>
      </c>
      <c r="AH18" s="68" t="e">
        <f t="shared" si="12"/>
        <v>#N/A</v>
      </c>
      <c r="AI18" s="61" t="e">
        <f t="shared" si="13"/>
        <v>#N/A</v>
      </c>
      <c r="AJ18" s="796"/>
      <c r="AK18" s="797"/>
    </row>
    <row r="19" spans="1:37" ht="22.5" customHeight="1">
      <c r="A19" s="68" t="s">
        <v>113</v>
      </c>
      <c r="B19" s="67">
        <f t="shared" si="14"/>
        <v>0</v>
      </c>
      <c r="C19" s="67">
        <f t="shared" si="15"/>
        <v>0</v>
      </c>
      <c r="D19" s="67">
        <f t="shared" si="16"/>
        <v>0</v>
      </c>
      <c r="E19" s="67">
        <f t="shared" si="17"/>
        <v>0</v>
      </c>
      <c r="F19" s="67">
        <f t="shared" si="18"/>
        <v>0</v>
      </c>
      <c r="G19" s="67">
        <f t="shared" si="19"/>
        <v>0</v>
      </c>
      <c r="H19" s="67">
        <f t="shared" si="20"/>
        <v>0</v>
      </c>
      <c r="I19" s="61">
        <f t="shared" si="4"/>
        <v>0</v>
      </c>
      <c r="J19" s="61">
        <f t="shared" si="0"/>
        <v>0</v>
      </c>
      <c r="K19" s="61">
        <f t="shared" si="5"/>
        <v>0</v>
      </c>
      <c r="L19" s="61">
        <f t="shared" si="1"/>
        <v>0</v>
      </c>
      <c r="M19" s="62">
        <f t="shared" si="2"/>
        <v>0</v>
      </c>
      <c r="N19" s="61">
        <f t="shared" si="6"/>
        <v>0</v>
      </c>
      <c r="O19" s="61" t="e">
        <f t="shared" si="21"/>
        <v>#N/A</v>
      </c>
      <c r="P19" s="61" t="e">
        <f t="shared" si="22"/>
        <v>#N/A</v>
      </c>
      <c r="Q19" s="61">
        <f t="shared" si="23"/>
        <v>1</v>
      </c>
      <c r="R19" s="61" t="e">
        <f t="shared" si="23"/>
        <v>#N/A</v>
      </c>
      <c r="S19" s="63">
        <f t="shared" si="24"/>
        <v>2</v>
      </c>
      <c r="T19" s="64" t="e">
        <f t="shared" si="9"/>
        <v>#N/A</v>
      </c>
      <c r="U19" s="65" t="e">
        <f t="shared" si="10"/>
        <v>#N/A</v>
      </c>
      <c r="AE19" s="534"/>
      <c r="AF19" s="531" t="e" cm="1">
        <f t="array" ref="AF19">_xlfn.IFS(AND(①基本情報!O35="有",①基本情報!O34="有"),AG10,AND(①基本情報!O35="有",①基本情報!O34="無"),AH10,AND(①基本情報!O35="無",①基本情報!O34="有"),AI10)</f>
        <v>#N/A</v>
      </c>
      <c r="AG19" s="532" t="e">
        <f t="shared" si="11"/>
        <v>#N/A</v>
      </c>
      <c r="AH19" s="68" t="e">
        <f t="shared" si="12"/>
        <v>#N/A</v>
      </c>
      <c r="AI19" s="61" t="e">
        <f t="shared" si="13"/>
        <v>#N/A</v>
      </c>
      <c r="AJ19" s="796"/>
      <c r="AK19" s="797"/>
    </row>
    <row r="20" spans="1:37" ht="22.5" customHeight="1">
      <c r="A20" s="68" t="s">
        <v>114</v>
      </c>
      <c r="B20" s="67">
        <f t="shared" si="14"/>
        <v>0</v>
      </c>
      <c r="C20" s="67">
        <f t="shared" si="15"/>
        <v>0</v>
      </c>
      <c r="D20" s="67">
        <f t="shared" si="16"/>
        <v>0</v>
      </c>
      <c r="E20" s="67">
        <f t="shared" si="17"/>
        <v>0</v>
      </c>
      <c r="F20" s="67">
        <f t="shared" si="18"/>
        <v>0</v>
      </c>
      <c r="G20" s="67">
        <f t="shared" si="19"/>
        <v>0</v>
      </c>
      <c r="H20" s="67">
        <f t="shared" si="20"/>
        <v>0</v>
      </c>
      <c r="I20" s="61">
        <f t="shared" si="4"/>
        <v>0</v>
      </c>
      <c r="J20" s="61">
        <f t="shared" si="0"/>
        <v>0</v>
      </c>
      <c r="K20" s="61">
        <f t="shared" si="5"/>
        <v>0</v>
      </c>
      <c r="L20" s="61">
        <f t="shared" si="1"/>
        <v>0</v>
      </c>
      <c r="M20" s="62">
        <f t="shared" si="2"/>
        <v>0</v>
      </c>
      <c r="N20" s="61">
        <f t="shared" si="6"/>
        <v>0</v>
      </c>
      <c r="O20" s="61" t="e">
        <f t="shared" si="21"/>
        <v>#N/A</v>
      </c>
      <c r="P20" s="61" t="e">
        <f t="shared" si="22"/>
        <v>#N/A</v>
      </c>
      <c r="Q20" s="61">
        <f t="shared" si="23"/>
        <v>1</v>
      </c>
      <c r="R20" s="61" t="e">
        <f t="shared" si="23"/>
        <v>#N/A</v>
      </c>
      <c r="S20" s="63">
        <f t="shared" si="24"/>
        <v>2</v>
      </c>
      <c r="T20" s="64" t="e">
        <f t="shared" si="9"/>
        <v>#N/A</v>
      </c>
      <c r="U20" s="65" t="e">
        <f t="shared" si="10"/>
        <v>#N/A</v>
      </c>
      <c r="AE20" s="534"/>
      <c r="AF20" s="531" t="e" cm="1">
        <f t="array" ref="AF20">_xlfn.IFS(AND(①基本情報!P35="有",①基本情報!P34="有"),AG10,AND(①基本情報!P35="有",①基本情報!P34="無"),AH10,AND(①基本情報!P35="無",①基本情報!P34="有"),AI10)</f>
        <v>#N/A</v>
      </c>
      <c r="AG20" s="532" t="e">
        <f t="shared" si="11"/>
        <v>#N/A</v>
      </c>
      <c r="AH20" s="68" t="e">
        <f t="shared" si="12"/>
        <v>#N/A</v>
      </c>
      <c r="AI20" s="61" t="e">
        <f t="shared" si="13"/>
        <v>#N/A</v>
      </c>
      <c r="AJ20" s="796"/>
      <c r="AK20" s="797"/>
    </row>
    <row r="21" spans="1:37" ht="22.5" customHeight="1" thickBot="1">
      <c r="A21" s="68" t="s">
        <v>115</v>
      </c>
      <c r="B21" s="67">
        <f t="shared" si="14"/>
        <v>0</v>
      </c>
      <c r="C21" s="67">
        <f t="shared" si="15"/>
        <v>0</v>
      </c>
      <c r="D21" s="67">
        <f t="shared" si="16"/>
        <v>0</v>
      </c>
      <c r="E21" s="67">
        <f t="shared" si="17"/>
        <v>0</v>
      </c>
      <c r="F21" s="67">
        <f t="shared" si="18"/>
        <v>0</v>
      </c>
      <c r="G21" s="67">
        <f t="shared" si="19"/>
        <v>0</v>
      </c>
      <c r="H21" s="67">
        <f t="shared" si="20"/>
        <v>0</v>
      </c>
      <c r="I21" s="61">
        <f t="shared" si="4"/>
        <v>0</v>
      </c>
      <c r="J21" s="61">
        <f t="shared" si="0"/>
        <v>0</v>
      </c>
      <c r="K21" s="61">
        <f t="shared" si="5"/>
        <v>0</v>
      </c>
      <c r="L21" s="61">
        <f t="shared" si="1"/>
        <v>0</v>
      </c>
      <c r="M21" s="62">
        <f t="shared" si="2"/>
        <v>0</v>
      </c>
      <c r="N21" s="61">
        <f t="shared" si="6"/>
        <v>0</v>
      </c>
      <c r="O21" s="61" t="e">
        <f t="shared" si="21"/>
        <v>#N/A</v>
      </c>
      <c r="P21" s="61" t="e">
        <f t="shared" si="22"/>
        <v>#N/A</v>
      </c>
      <c r="Q21" s="61">
        <f t="shared" si="23"/>
        <v>1</v>
      </c>
      <c r="R21" s="61" t="e">
        <f t="shared" si="23"/>
        <v>#N/A</v>
      </c>
      <c r="S21" s="63">
        <f t="shared" si="24"/>
        <v>2</v>
      </c>
      <c r="T21" s="66" t="e">
        <f t="shared" si="9"/>
        <v>#N/A</v>
      </c>
      <c r="U21" s="65" t="e">
        <f t="shared" si="10"/>
        <v>#N/A</v>
      </c>
      <c r="AE21" s="534"/>
      <c r="AF21" s="531" t="e" cm="1">
        <f t="array" ref="AF21">_xlfn.IFS(AND(①基本情報!Q35="有",①基本情報!Q34="有"),AG10,AND(①基本情報!Q35="有",①基本情報!Q34="無"),AH10,AND(①基本情報!Q35="無",①基本情報!Q34="有"),AI10)</f>
        <v>#N/A</v>
      </c>
      <c r="AG21" s="532" t="e">
        <f t="shared" si="11"/>
        <v>#N/A</v>
      </c>
      <c r="AH21" s="68" t="e">
        <f t="shared" si="12"/>
        <v>#N/A</v>
      </c>
      <c r="AI21" s="61" t="e">
        <f t="shared" si="13"/>
        <v>#N/A</v>
      </c>
      <c r="AJ21" s="796"/>
      <c r="AK21" s="797"/>
    </row>
    <row r="22" spans="1:37">
      <c r="AH22" s="34"/>
      <c r="AJ22" s="533"/>
      <c r="AK22" s="533"/>
    </row>
  </sheetData>
  <sheetProtection algorithmName="SHA-512" hashValue="7/fIyF5e60vT5CV8UoO3Ts6bfAZQYUzdMggPxAjteyZXHp8V/WxD82t0W2Cg8GtIbWLvpbxVCFo3bZIysn7Z1A==" saltValue="Qqg8CNkZrCQxchlvLxxVEg==" spinCount="100000" sheet="1" selectLockedCells="1"/>
  <mergeCells count="24">
    <mergeCell ref="AJ10:AK21"/>
    <mergeCell ref="U6:U9"/>
    <mergeCell ref="R1:S1"/>
    <mergeCell ref="T6:T9"/>
    <mergeCell ref="R2:S2"/>
    <mergeCell ref="S6:S9"/>
    <mergeCell ref="R3:S3"/>
    <mergeCell ref="R4:S4"/>
    <mergeCell ref="L2:Q3"/>
    <mergeCell ref="AF8:AI8"/>
    <mergeCell ref="L1:Q1"/>
    <mergeCell ref="A6:A9"/>
    <mergeCell ref="B6:H6"/>
    <mergeCell ref="I6:I9"/>
    <mergeCell ref="J6:N7"/>
    <mergeCell ref="B7:B9"/>
    <mergeCell ref="C7:C9"/>
    <mergeCell ref="D7:D9"/>
    <mergeCell ref="E7:E9"/>
    <mergeCell ref="G7:G9"/>
    <mergeCell ref="H7:H9"/>
    <mergeCell ref="F7:F9"/>
    <mergeCell ref="O6:P8"/>
    <mergeCell ref="Q6:R8"/>
  </mergeCells>
  <phoneticPr fontId="1"/>
  <conditionalFormatting sqref="B10:E10 G10:H10 B11:H21">
    <cfRule type="containsBlanks" dxfId="66" priority="1">
      <formula>LEN(TRIM(B10))=0</formula>
    </cfRule>
  </conditionalFormatting>
  <dataValidations disablePrompts="1" count="4">
    <dataValidation type="whole" allowBlank="1" showInputMessage="1" showErrorMessage="1" sqref="W65417 W130953 W196489 W262025 W327561 W393097 W458633 W524169 W589705 W655241 W720777 W786313 W851849 W917385 W982921" xr:uid="{A4B92BBE-4F5B-4A56-9C4B-02D9B1F175FB}">
      <formula1>0</formula1>
      <formula2>300</formula2>
    </dataValidation>
    <dataValidation allowBlank="1" showInputMessage="1" showErrorMessage="1" promptTitle="年齢別児童数" prompt="通常保育を行っている児童を入力してください！_x000a_（一時預かり、障害児保育を行っている児童は除きます！）_x000a_縦割り保育をしているクラスは、同じ横軸に異年齢がいる形になります。" sqref="B65426:H65435 B130962:H130971 B196498:H196507 B262034:H262043 B327570:H327579 B393106:H393115 B458642:H458651 B524178:H524187 B589714:H589723 B655250:H655259 B720786:H720795 B786322:H786331 B851858:H851867 B917394:H917403 B982930:H982939 B65437:H65446 B130973:H130982 B196509:H196518 B262045:H262054 B327581:H327590 B393117:H393126 B458653:H458662 B524189:H524198 B589725:H589734 B655261:H655270 B720797:H720806 B786333:H786342 B851869:H851878 B917405:H917414 B982941:H982950 B65448:H65457 B130984:H130993 B196520:H196529 B262056:H262065 B327592:H327601 B393128:H393137 B458664:H458673 B524200:H524209 B589736:H589745 B655272:H655281 B720808:H720817 B786344:H786353 B851880:H851889 B917416:H917425 B982952:H982961 B65459:H65468 B130995:H131004 B196531:H196540 B262067:H262076 B327603:H327612 B393139:H393148 B458675:H458684 B524211:H524220 B589747:H589756 B655283:H655292 B720819:H720828 B786355:H786364 B851891:H851900 B917427:H917436 B982963:H982972 B65470:H65479 B131006:H131015 B196542:H196551 B262078:H262087 B327614:H327623 B393150:H393159 B458686:H458695 B524222:H524231 B589758:H589767 B655294:H655303 B720830:H720839 B786366:H786375 B851902:H851911 B917438:H917447 B982974:H982983 B65481:H65490 B131017:H131026 B196553:H196562 B262089:H262098 B327625:H327634 B393161:H393170 B458697:H458706 B524233:H524242 B589769:H589778 B655305:H655314 B720841:H720850 B786377:H786386 B851913:H851922 B917449:H917458 B982985:H982994 B65492:H65501 B131028:H131037 B196564:H196573 B262100:H262109 B327636:H327645 B393172:H393181 B458708:H458717 B524244:H524253 B589780:H589789 B655316:H655325 B720852:H720861 B786388:H786397 B851924:H851933 B917460:H917469 B982996:H983005 B65503:H65512 B131039:H131048 B196575:H196584 B262111:H262120 B327647:H327656 B393183:H393192 B458719:H458728 B524255:H524264 B589791:H589800 B655327:H655336 B720863:H720872 B786399:H786408 B851935:H851944 B917471:H917480 B983007:H983016 B65514:H65523 B131050:H131059 B196586:H196595 B262122:H262131 B327658:H327667 B393194:H393203 B458730:H458739 B524266:H524275 B589802:H589811 B655338:H655347 B720874:H720883 B786410:H786419 B851946:H851955 B917482:H917491 B983018:H983027 B65525:H65534 B131061:H131070 B196597:H196606 B262133:H262142 B327669:H327678 B393205:H393214 B458741:H458750 B524277:H524286 B589813:H589822 B655349:H655358 B720885:H720894 B786421:H786430 B851957:H851966 B917493:H917502 B983029:H983038 B65536:H65545 B131072:H131081 B196608:H196617 B262144:H262153 B327680:H327689 B393216:H393225 B458752:H458761 B524288:H524297 B589824:H589833 B655360:H655369 B720896:H720905 B786432:H786441 B851968:H851977 B917504:H917513 B983040:H983049 B65547:H65556 B131083:H131092 B196619:H196628 B262155:H262164 B327691:H327700 B393227:H393236 B458763:H458772 B524299:H524308 B589835:H589844 B655371:H655380 B720907:H720916 B786443:H786452 B851979:H851988 B917515:H917524 B983051:H983060" xr:uid="{952F2D61-28BE-4377-BBFE-5D2D56BF8E4D}"/>
    <dataValidation type="whole" allowBlank="1" showInputMessage="1" showErrorMessage="1" error="数字のみ入力できます。_x000a_例えば90人の場合は、「90」と入力してください。" sqref="W2:X2" xr:uid="{6C9193B9-2148-4C12-BAB6-8DFBC8B0CD0C}">
      <formula1>0</formula1>
      <formula2>300</formula2>
    </dataValidation>
    <dataValidation allowBlank="1" showInputMessage="1" showErrorMessage="1" promptTitle="配置保育士" prompt="通常保育を行っている保育士数を入力してください！（主任保育士、一時預かり、障害児保育を行っている保育士は除く！）_x000a_乳児が４人以上で保健師・看護師・准看護師を保育士とみなす場合も入力。_x000a_準保育士→１日６時間以上かつ月２０日以上勤務する非正規職員保育士（雇用形態は正規でなければパート等の時給でもOK）_x000a_短時間保育士→1日６時間未満または月２０日未満の勤務の保育士" sqref="J65426:J65435 K983048:L983057 J983051:J983060 K917512:L917521 J917515:J917524 K851976:L851985 J851979:J851988 K786440:L786449 J786443:J786452 K720904:L720913 J720907:J720916 K655368:L655377 J655371:J655380 K589832:L589841 J589835:J589844 K524296:L524305 J524299:J524308 K458760:L458769 J458763:J458772 K393224:L393233 J393227:J393236 K327688:L327697 J327691:J327700 K262152:L262161 J262155:J262164 K196616:L196625 J196619:J196628 K131080:L131089 J131083:J131092 K65544:L65553 J65547:J65556 K983037:L983046 J983040:J983049 K917501:L917510 J917504:J917513 K851965:L851974 J851968:J851977 K786429:L786438 J786432:J786441 K720893:L720902 J720896:J720905 K655357:L655366 J655360:J655369 K589821:L589830 J589824:J589833 K524285:L524294 J524288:J524297 K458749:L458758 J458752:J458761 K393213:L393222 J393216:J393225 K327677:L327686 J327680:J327689 K262141:L262150 J262144:J262153 K196605:L196614 J196608:J196617 K131069:L131078 J131072:J131081 K65533:L65542 J65536:J65545 K983026:L983035 J983029:J983038 K917490:L917499 J917493:J917502 K851954:L851963 J851957:J851966 K786418:L786427 J786421:J786430 K720882:L720891 J720885:J720894 K655346:L655355 J655349:J655358 K589810:L589819 J589813:J589822 K524274:L524283 J524277:J524286 K458738:L458747 J458741:J458750 K393202:L393211 J393205:J393214 K327666:L327675 J327669:J327678 K262130:L262139 J262133:J262142 K196594:L196603 J196597:J196606 K131058:L131067 J131061:J131070 K65522:L65531 J65525:J65534 K983015:L983024 J983018:J983027 K917479:L917488 J917482:J917491 K851943:L851952 J851946:J851955 K786407:L786416 J786410:J786419 K720871:L720880 J720874:J720883 K655335:L655344 J655338:J655347 K589799:L589808 J589802:J589811 K524263:L524272 J524266:J524275 K458727:L458736 J458730:J458739 K393191:L393200 J393194:J393203 K327655:L327664 J327658:J327667 K262119:L262128 J262122:J262131 K196583:L196592 J196586:J196595 K131047:L131056 J131050:J131059 K65511:L65520 J65514:J65523 K983004:L983013 J983007:J983016 K917468:L917477 J917471:J917480 K851932:L851941 J851935:J851944 K786396:L786405 J786399:J786408 K720860:L720869 J720863:J720872 K655324:L655333 J655327:J655336 K589788:L589797 J589791:J589800 K524252:L524261 J524255:J524264 K458716:L458725 J458719:J458728 K393180:L393189 J393183:J393192 K327644:L327653 J327647:J327656 K262108:L262117 J262111:J262120 K196572:L196581 J196575:J196584 K131036:L131045 J131039:J131048 K65500:L65509 J65503:J65512 K982993:L983002 J982996:J983005 K917457:L917466 J917460:J917469 K851921:L851930 J851924:J851933 K786385:L786394 J786388:J786397 K720849:L720858 J720852:J720861 K655313:L655322 J655316:J655325 K589777:L589786 J589780:J589789 K524241:L524250 J524244:J524253 K458705:L458714 J458708:J458717 K393169:L393178 J393172:J393181 K327633:L327642 J327636:J327645 K262097:L262106 J262100:J262109 K196561:L196570 J196564:J196573 K131025:L131034 J131028:J131037 K65489:L65498 J65492:J65501 K982982:L982991 J982985:J982994 K917446:L917455 J917449:J917458 K851910:L851919 J851913:J851922 K786374:L786383 J786377:J786386 K720838:L720847 J720841:J720850 K655302:L655311 J655305:J655314 K589766:L589775 J589769:J589778 K524230:L524239 J524233:J524242 K458694:L458703 J458697:J458706 K393158:L393167 J393161:J393170 K327622:L327631 J327625:J327634 K262086:L262095 J262089:J262098 K196550:L196559 J196553:J196562 K131014:L131023 J131017:J131026 K65478:L65487 J65481:J65490 K982971:L982980 J982974:J982983 K917435:L917444 J917438:J917447 K851899:L851908 J851902:J851911 K786363:L786372 J786366:J786375 K720827:L720836 J720830:J720839 K655291:L655300 J655294:J655303 K589755:L589764 J589758:J589767 K524219:L524228 J524222:J524231 K458683:L458692 J458686:J458695 K393147:L393156 J393150:J393159 K327611:L327620 J327614:J327623 K262075:L262084 J262078:J262087 K196539:L196548 J196542:J196551 K131003:L131012 J131006:J131015 K65467:L65476 J65470:J65479 K982960:L982969 J982963:J982972 K917424:L917433 J917427:J917436 K851888:L851897 J851891:J851900 K786352:L786361 J786355:J786364 K720816:L720825 J720819:J720828 K655280:L655289 J655283:J655292 K589744:L589753 J589747:J589756 K524208:L524217 J524211:J524220 K458672:L458681 J458675:J458684 K393136:L393145 J393139:J393148 K327600:L327609 J327603:J327612 K262064:L262073 J262067:J262076 K196528:L196537 J196531:J196540 K130992:L131001 J130995:J131004 K65456:L65465 J65459:J65468 K982949:L982958 J982952:J982961 K917413:L917422 J917416:J917425 K851877:L851886 J851880:J851889 K786341:L786350 J786344:J786353 K720805:L720814 J720808:J720817 K655269:L655278 J655272:J655281 K589733:L589742 J589736:J589745 K524197:L524206 J524200:J524209 K458661:L458670 J458664:J458673 K393125:L393134 J393128:J393137 K327589:L327598 J327592:J327601 K262053:L262062 J262056:J262065 K196517:L196526 J196520:J196529 K130981:L130990 J130984:J130993 K65445:L65454 J65448:J65457 K982938:L982947 J982941:J982950 K917402:L917411 J917405:J917414 K851866:L851875 J851869:J851878 K786330:L786339 J786333:J786342 K720794:L720803 J720797:J720806 K655258:L655267 J655261:J655270 K589722:L589731 J589725:J589734 K524186:L524195 J524189:J524198 K458650:L458659 J458653:J458662 K393114:L393123 J393117:J393126 K327578:L327587 J327581:J327590 K262042:L262051 J262045:J262054 K196506:L196515 J196509:J196518 K130970:L130979 J130973:J130982 K65434:L65443 J65437:J65446 K982927:L982936 J982930:J982939 K917391:L917400 J917394:J917403 K851855:L851864 J851858:J851867 K786319:L786328 J786322:J786331 K720783:L720792 J720786:J720795 K655247:L655256 J655250:J655259 K589711:L589720 J589714:J589723 K524175:L524184 J524178:J524187 K458639:L458648 J458642:J458651 K393103:L393112 J393106:J393115 K327567:L327576 J327570:J327579 K262031:L262040 J262034:J262043 K196495:L196504 J196498:J196507 K130959:L130968 J130962:J130971 K65423:L65432" xr:uid="{3320DB09-D98A-4D86-B58E-1581350CD8E8}"/>
  </dataValidations>
  <pageMargins left="0.78740157480314965" right="0.78740157480314965" top="0.98425196850393704" bottom="0.98425196850393704" header="0.51181102362204722" footer="0.51181102362204722"/>
  <pageSetup paperSize="9" scale="64" orientation="landscape" r:id="rId1"/>
  <headerFooter alignWithMargins="0"/>
  <colBreaks count="1" manualBreakCount="1">
    <brk id="23" max="38"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9709C-7730-4B90-BFC2-0B7273B66E01}">
  <sheetPr codeName="Sheet9">
    <tabColor rgb="FF00B050"/>
  </sheetPr>
  <dimension ref="A1:AO55"/>
  <sheetViews>
    <sheetView showGridLines="0" zoomScale="85" zoomScaleNormal="85" zoomScaleSheetLayoutView="85" workbookViewId="0">
      <selection activeCell="AP15" sqref="AP15"/>
    </sheetView>
  </sheetViews>
  <sheetFormatPr defaultColWidth="9" defaultRowHeight="25" customHeight="1"/>
  <cols>
    <col min="1" max="1" width="5.58203125" style="36" customWidth="1"/>
    <col min="2" max="2" width="5" style="36" customWidth="1"/>
    <col min="3" max="21" width="4.58203125" style="36" customWidth="1"/>
    <col min="22" max="24" width="4.5" style="36" customWidth="1"/>
    <col min="25" max="25" width="5" style="36" customWidth="1"/>
    <col min="26" max="28" width="4.83203125" style="36" customWidth="1"/>
    <col min="29" max="29" width="1.08203125" style="36" customWidth="1"/>
    <col min="30" max="30" width="6.25" style="36" customWidth="1"/>
    <col min="31" max="31" width="6.25" style="48" customWidth="1"/>
    <col min="32" max="32" width="1.5" style="36" customWidth="1"/>
    <col min="33" max="33" width="4.58203125" style="36" customWidth="1"/>
    <col min="34" max="34" width="6.75" style="36" customWidth="1"/>
    <col min="35" max="35" width="6.58203125" style="36" customWidth="1"/>
    <col min="36" max="36" width="5.25" style="36" customWidth="1"/>
    <col min="37" max="16384" width="9" style="36"/>
  </cols>
  <sheetData>
    <row r="1" spans="1:41" s="20" customFormat="1" ht="25" customHeight="1">
      <c r="A1" s="19" t="s">
        <v>89</v>
      </c>
      <c r="B1" s="19"/>
      <c r="C1" s="19"/>
      <c r="D1" s="19"/>
      <c r="E1" s="19"/>
      <c r="F1" s="19"/>
      <c r="G1" s="19"/>
      <c r="AG1" s="19"/>
      <c r="AH1" s="19"/>
      <c r="AI1" s="19"/>
    </row>
    <row r="2" spans="1:41" s="19" customFormat="1" ht="25" customHeight="1">
      <c r="A2" s="19" t="s">
        <v>116</v>
      </c>
      <c r="X2" s="823" t="s">
        <v>117</v>
      </c>
      <c r="Y2" s="823"/>
      <c r="Z2" s="823">
        <f>①基本情報!D6</f>
        <v>0</v>
      </c>
      <c r="AA2" s="823"/>
      <c r="AB2" s="823"/>
      <c r="AC2" s="823"/>
      <c r="AD2" s="823"/>
      <c r="AE2" s="823"/>
      <c r="AF2" s="823"/>
      <c r="AG2" s="823"/>
      <c r="AH2" s="823"/>
      <c r="AI2" s="823"/>
      <c r="AJ2" s="19" t="s">
        <v>118</v>
      </c>
    </row>
    <row r="3" spans="1:41" s="19" customFormat="1" ht="19"/>
    <row r="4" spans="1:41" s="24" customFormat="1" ht="25" customHeight="1">
      <c r="A4" s="794" t="s">
        <v>119</v>
      </c>
      <c r="B4" s="815" t="s">
        <v>120</v>
      </c>
      <c r="C4" s="794" t="s">
        <v>701</v>
      </c>
      <c r="D4" s="794"/>
      <c r="E4" s="794"/>
      <c r="F4" s="794"/>
      <c r="G4" s="794"/>
      <c r="H4" s="817" t="s">
        <v>121</v>
      </c>
      <c r="I4" s="807" t="s">
        <v>702</v>
      </c>
      <c r="J4" s="808"/>
      <c r="K4" s="808"/>
      <c r="L4" s="808"/>
      <c r="M4" s="808"/>
      <c r="N4" s="808"/>
      <c r="O4" s="808"/>
      <c r="P4" s="808"/>
      <c r="Q4" s="808"/>
      <c r="R4" s="808"/>
      <c r="S4" s="808"/>
      <c r="T4" s="808"/>
      <c r="U4" s="808"/>
      <c r="V4" s="808"/>
      <c r="W4" s="808"/>
      <c r="X4" s="808"/>
      <c r="Y4" s="808"/>
      <c r="Z4" s="808"/>
      <c r="AA4" s="809"/>
      <c r="AB4" s="815" t="s">
        <v>122</v>
      </c>
      <c r="AC4" s="23"/>
      <c r="AD4" s="123" t="s">
        <v>123</v>
      </c>
      <c r="AE4" s="124" t="s">
        <v>124</v>
      </c>
      <c r="AG4" s="824" t="s">
        <v>125</v>
      </c>
      <c r="AH4" s="824"/>
      <c r="AI4" s="824"/>
      <c r="AK4" s="805" t="s">
        <v>694</v>
      </c>
      <c r="AL4" s="805" t="s">
        <v>693</v>
      </c>
    </row>
    <row r="5" spans="1:41" s="23" customFormat="1" ht="27" customHeight="1">
      <c r="A5" s="794"/>
      <c r="B5" s="816"/>
      <c r="C5" s="794" t="s">
        <v>126</v>
      </c>
      <c r="D5" s="794"/>
      <c r="E5" s="794"/>
      <c r="F5" s="794" t="s">
        <v>516</v>
      </c>
      <c r="G5" s="794"/>
      <c r="H5" s="817"/>
      <c r="I5" s="820" t="s">
        <v>55</v>
      </c>
      <c r="J5" s="814" t="s">
        <v>127</v>
      </c>
      <c r="K5" s="814"/>
      <c r="L5" s="814"/>
      <c r="M5" s="814" t="s">
        <v>943</v>
      </c>
      <c r="N5" s="814"/>
      <c r="O5" s="814"/>
      <c r="P5" s="814" t="s">
        <v>129</v>
      </c>
      <c r="Q5" s="814"/>
      <c r="R5" s="814"/>
      <c r="S5" s="814" t="s">
        <v>130</v>
      </c>
      <c r="T5" s="814"/>
      <c r="U5" s="814"/>
      <c r="V5" s="807" t="s">
        <v>131</v>
      </c>
      <c r="W5" s="808"/>
      <c r="X5" s="808"/>
      <c r="Y5" s="805" t="s">
        <v>694</v>
      </c>
      <c r="Z5" s="805" t="s">
        <v>693</v>
      </c>
      <c r="AA5" s="811" t="s">
        <v>144</v>
      </c>
      <c r="AB5" s="816"/>
      <c r="AD5" s="794" t="s">
        <v>132</v>
      </c>
      <c r="AE5" s="794" t="s">
        <v>133</v>
      </c>
      <c r="AF5" s="24"/>
      <c r="AG5" s="794" t="s">
        <v>134</v>
      </c>
      <c r="AH5" s="794"/>
      <c r="AI5" s="794"/>
      <c r="AK5" s="805"/>
      <c r="AL5" s="805"/>
    </row>
    <row r="6" spans="1:41" s="23" customFormat="1" ht="100.5" customHeight="1">
      <c r="A6" s="794"/>
      <c r="B6" s="816"/>
      <c r="C6" s="806" t="s">
        <v>135</v>
      </c>
      <c r="D6" s="806" t="s">
        <v>136</v>
      </c>
      <c r="E6" s="806" t="s">
        <v>137</v>
      </c>
      <c r="F6" s="818" t="s">
        <v>138</v>
      </c>
      <c r="G6" s="818" t="s">
        <v>139</v>
      </c>
      <c r="H6" s="817"/>
      <c r="I6" s="821"/>
      <c r="J6" s="806" t="s">
        <v>135</v>
      </c>
      <c r="K6" s="806" t="s">
        <v>141</v>
      </c>
      <c r="L6" s="806" t="s">
        <v>142</v>
      </c>
      <c r="M6" s="806" t="s">
        <v>135</v>
      </c>
      <c r="N6" s="806" t="s">
        <v>141</v>
      </c>
      <c r="O6" s="806" t="s">
        <v>142</v>
      </c>
      <c r="P6" s="806" t="s">
        <v>135</v>
      </c>
      <c r="Q6" s="806" t="s">
        <v>141</v>
      </c>
      <c r="R6" s="806" t="s">
        <v>142</v>
      </c>
      <c r="S6" s="806" t="s">
        <v>135</v>
      </c>
      <c r="T6" s="806" t="s">
        <v>141</v>
      </c>
      <c r="U6" s="806" t="s">
        <v>142</v>
      </c>
      <c r="V6" s="806" t="s">
        <v>135</v>
      </c>
      <c r="W6" s="806" t="s">
        <v>141</v>
      </c>
      <c r="X6" s="810" t="s">
        <v>143</v>
      </c>
      <c r="Y6" s="805"/>
      <c r="Z6" s="805"/>
      <c r="AA6" s="812"/>
      <c r="AB6" s="816"/>
      <c r="AC6" s="26"/>
      <c r="AD6" s="794"/>
      <c r="AE6" s="794"/>
      <c r="AF6" s="27"/>
      <c r="AG6" s="793" t="s">
        <v>119</v>
      </c>
      <c r="AH6" s="805" t="s">
        <v>145</v>
      </c>
      <c r="AI6" s="805" t="s">
        <v>146</v>
      </c>
      <c r="AK6" s="805"/>
      <c r="AL6" s="805"/>
    </row>
    <row r="7" spans="1:41" s="23" customFormat="1" ht="60" customHeight="1">
      <c r="A7" s="794"/>
      <c r="B7" s="28" t="s">
        <v>147</v>
      </c>
      <c r="C7" s="806"/>
      <c r="D7" s="806"/>
      <c r="E7" s="806"/>
      <c r="F7" s="819"/>
      <c r="G7" s="819"/>
      <c r="H7" s="817"/>
      <c r="I7" s="822"/>
      <c r="J7" s="806"/>
      <c r="K7" s="806"/>
      <c r="L7" s="806"/>
      <c r="M7" s="806"/>
      <c r="N7" s="806"/>
      <c r="O7" s="806"/>
      <c r="P7" s="806"/>
      <c r="Q7" s="806"/>
      <c r="R7" s="806"/>
      <c r="S7" s="806"/>
      <c r="T7" s="806"/>
      <c r="U7" s="806"/>
      <c r="V7" s="806"/>
      <c r="W7" s="806"/>
      <c r="X7" s="810"/>
      <c r="Y7" s="805"/>
      <c r="Z7" s="805"/>
      <c r="AA7" s="813"/>
      <c r="AB7" s="29" t="s">
        <v>148</v>
      </c>
      <c r="AD7" s="806" t="s">
        <v>149</v>
      </c>
      <c r="AE7" s="806" t="s">
        <v>149</v>
      </c>
      <c r="AG7" s="793"/>
      <c r="AH7" s="805"/>
      <c r="AI7" s="805"/>
      <c r="AK7" s="805"/>
      <c r="AL7" s="805"/>
    </row>
    <row r="8" spans="1:41" s="23" customFormat="1" ht="38.25" customHeight="1">
      <c r="A8" s="794"/>
      <c r="B8" s="234"/>
      <c r="C8" s="30" t="s">
        <v>151</v>
      </c>
      <c r="D8" s="30" t="s">
        <v>152</v>
      </c>
      <c r="E8" s="30" t="s">
        <v>153</v>
      </c>
      <c r="F8" s="30" t="s">
        <v>154</v>
      </c>
      <c r="G8" s="30" t="s">
        <v>155</v>
      </c>
      <c r="H8" s="31" t="s">
        <v>156</v>
      </c>
      <c r="I8" s="30" t="s">
        <v>157</v>
      </c>
      <c r="J8" s="30" t="s">
        <v>158</v>
      </c>
      <c r="K8" s="30" t="s">
        <v>159</v>
      </c>
      <c r="L8" s="30" t="s">
        <v>160</v>
      </c>
      <c r="M8" s="30" t="s">
        <v>161</v>
      </c>
      <c r="N8" s="30" t="s">
        <v>162</v>
      </c>
      <c r="O8" s="30" t="s">
        <v>163</v>
      </c>
      <c r="P8" s="30" t="s">
        <v>164</v>
      </c>
      <c r="Q8" s="30" t="s">
        <v>165</v>
      </c>
      <c r="R8" s="30" t="s">
        <v>166</v>
      </c>
      <c r="S8" s="30" t="s">
        <v>167</v>
      </c>
      <c r="T8" s="30" t="s">
        <v>168</v>
      </c>
      <c r="U8" s="30" t="s">
        <v>169</v>
      </c>
      <c r="V8" s="30" t="s">
        <v>170</v>
      </c>
      <c r="W8" s="30" t="s">
        <v>171</v>
      </c>
      <c r="X8" s="23" t="s">
        <v>172</v>
      </c>
      <c r="Y8" s="30" t="s">
        <v>703</v>
      </c>
      <c r="Z8" s="30" t="s">
        <v>704</v>
      </c>
      <c r="AB8" s="32" t="s">
        <v>173</v>
      </c>
      <c r="AD8" s="806"/>
      <c r="AE8" s="806"/>
      <c r="AG8" s="793"/>
      <c r="AH8" s="805"/>
      <c r="AI8" s="805"/>
    </row>
    <row r="9" spans="1:41" s="33" customFormat="1" ht="37.5" customHeight="1">
      <c r="A9" s="127">
        <v>4</v>
      </c>
      <c r="B9" s="125" t="e">
        <f>'③児童数及び職員定数 (2)-(1)'!T10</f>
        <v>#N/A</v>
      </c>
      <c r="C9" s="61">
        <f>COUNTIFS('②-1職員名簿'!AP$7:AP$106,"A",'②-2勤務時間数入力'!F$7:F$106,"正")</f>
        <v>0</v>
      </c>
      <c r="D9" s="61">
        <f>COUNTIFS('②-1職員名簿'!AP$7:AP$106,"A",'②-2勤務時間数入力'!$C$7:$C$106,"常勤的非常勤",'②-2勤務時間数入力'!R$7:R$106,"常")</f>
        <v>0</v>
      </c>
      <c r="E9" s="61">
        <f>SUMIFS('②-2勤務時間数入力'!R$7:R$106,'②-1職員名簿'!AP$7:AP$106,"A",'②-1職員名簿'!$C$7:$C$106,"パート")</f>
        <v>0</v>
      </c>
      <c r="F9" s="61">
        <f>COUNTIFS('②-1職員名簿'!AP$7:AP$106,"A",'②-2勤務時間数入力'!$C$7:$C$106,"嘱託常勤",'②-2勤務時間数入力'!R$7:R$106,"常")</f>
        <v>0</v>
      </c>
      <c r="G9" s="61">
        <f>SUMIFS('②-2勤務時間数入力'!R$7:R$106,'②-1職員名簿'!AP$7:AP$106,"A",'②-1職員名簿'!$C$7:$C$106,"嘱託等")</f>
        <v>0</v>
      </c>
      <c r="H9" s="128">
        <f>'②-2勤務時間数入力'!AH7</f>
        <v>0</v>
      </c>
      <c r="I9" s="129">
        <f>COUNTIFS('②-1職員名簿'!W7:W106,"園長",'②-1職員名簿'!AP$7:AP$106,"A",'②-1職員名簿'!AC$7:AC$106,"○")</f>
        <v>0</v>
      </c>
      <c r="J9" s="61">
        <f>COUNTIFS('②-1職員名簿'!AP$7:AP$106,"A",'②-1職員名簿'!$W$7:$W$106,$J$5,'②-2勤務時間数入力'!F$7:F$106,"正")</f>
        <v>0</v>
      </c>
      <c r="K9" s="61">
        <f>COUNTIFS('②-1職員名簿'!AP$7:AP$106,"A",'②-1職員名簿'!$W$7:$W$106,$J$5,'②-2勤務時間数入力'!R$7:R$106,"常")</f>
        <v>0</v>
      </c>
      <c r="L9" s="61">
        <f>SUMIFS('②-2勤務時間数入力'!R$7:R$106,'②-1職員名簿'!AP$7:AP$106,"A",'②-1職員名簿'!$W$7:$W$106,$J$5)</f>
        <v>0</v>
      </c>
      <c r="M9" s="61">
        <f>COUNTIFS('②-1職員名簿'!AP$7:AP$106,"A",'②-1職員名簿'!$W$7:$W$106,$M$5,'②-2勤務時間数入力'!F$7:F$106,"正")</f>
        <v>0</v>
      </c>
      <c r="N9" s="61">
        <f>COUNTIFS('②-1職員名簿'!AP$7:AP$106,"A",'②-1職員名簿'!$W$7:$W$106,$M$5,'②-2勤務時間数入力'!R$7:R$106,"常")</f>
        <v>0</v>
      </c>
      <c r="O9" s="61">
        <f>SUMIFS('②-2勤務時間数入力'!R$7:R$106,'②-1職員名簿'!AP$7:AP$106,"A",'②-1職員名簿'!$W$7:$W$106,$M$5)</f>
        <v>0</v>
      </c>
      <c r="P9" s="61">
        <f>COUNTIFS('②-1職員名簿'!AP$7:AP$106,"A",'②-1職員名簿'!$W$7:$W$106,$P$5,'②-2勤務時間数入力'!F$7:F$106,"正")</f>
        <v>0</v>
      </c>
      <c r="Q9" s="61">
        <f>COUNTIFS('②-1職員名簿'!AP$7:AP$106,"A",'②-1職員名簿'!$W$7:$W$106,$P$5,'②-2勤務時間数入力'!R$7:R$106,"常")</f>
        <v>0</v>
      </c>
      <c r="R9" s="61">
        <f>SUMIFS('②-2勤務時間数入力'!R$7:R$106,'②-1職員名簿'!AP$7:AP$106,"A",'②-1職員名簿'!$W$7:$W$106,$P$5)</f>
        <v>0</v>
      </c>
      <c r="S9" s="61">
        <f>COUNTIFS('②-1職員名簿'!AP$7:AP$106,"A",'②-1職員名簿'!$W$7:$W$106,$S$5,'②-2勤務時間数入力'!F$7:F$106,"正")</f>
        <v>0</v>
      </c>
      <c r="T9" s="61">
        <f>COUNTIFS('②-1職員名簿'!AP$7:AP$106,"A",'②-1職員名簿'!$W$7:$W$106,$S$5,'②-2勤務時間数入力'!R$7:R$106,"常")</f>
        <v>0</v>
      </c>
      <c r="U9" s="61">
        <f>SUMIFS('②-2勤務時間数入力'!R$7:R$106,'②-1職員名簿'!AP$7:AP$106,"A",'②-1職員名簿'!$W$7:$W$106,$S$5)</f>
        <v>0</v>
      </c>
      <c r="V9" s="125">
        <f t="shared" ref="V9:V20" si="0">C9-I9-J9-M9-P9-S9</f>
        <v>0</v>
      </c>
      <c r="W9" s="125">
        <f t="shared" ref="W9:W20" si="1">D9+F9-K9-N9-Q9-T9</f>
        <v>0</v>
      </c>
      <c r="X9" s="132" t="e">
        <f t="shared" ref="X9:X20" si="2">ROUNDDOWN((E9+G9-L9-O9-R9-U9)/H9,3)</f>
        <v>#DIV/0!</v>
      </c>
      <c r="Y9" s="193" t="e">
        <f>IF($AN$11=0,0,IF(AND($AO$11&gt;=36,$AO$11&lt;=300),1,0))</f>
        <v>#N/A</v>
      </c>
      <c r="Z9" s="194" t="e">
        <f>VLOOKUP($AO$11,$AN$13:$AO$19,2,1)</f>
        <v>#N/A</v>
      </c>
      <c r="AA9" s="239" t="e">
        <f>V9+W9+X9-Y9-Z9</f>
        <v>#DIV/0!</v>
      </c>
      <c r="AB9" s="239" t="e">
        <f>AA9-B9</f>
        <v>#DIV/0!</v>
      </c>
      <c r="AC9" s="240"/>
      <c r="AD9" s="239" t="e">
        <f>'④-2月別配置内訳書(2)-(2)-(B)'!AG9</f>
        <v>#N/A</v>
      </c>
      <c r="AE9" s="239" t="e">
        <f>'④-3月別配置内訳書(2)-(2)-(C)・(D)'!AC9</f>
        <v>#DIV/0!</v>
      </c>
      <c r="AF9" s="38"/>
      <c r="AG9" s="126">
        <v>4</v>
      </c>
      <c r="AH9" s="137" t="e">
        <f>IF(ROUNDDOWN(SUM(AA9,AD9,AE9),0)&gt;=B9,"○",B9-ROUNDDOWN(SUM(AA9,AD9,AE9),0))</f>
        <v>#DIV/0!</v>
      </c>
      <c r="AI9" s="138" t="e">
        <f>IF(ROUNDDOWN(SUM(AB9:AE9),0)&lt;=0,"×",ROUNDDOWN(SUM(AB9:AE9),0))</f>
        <v>#DIV/0!</v>
      </c>
      <c r="AK9" s="193" t="e">
        <f>IF(ROUNDDOWN(SUM(Y9:AA9)+AD9+AE9-B9,0)&gt;=Y9,Y9,0)</f>
        <v>#N/A</v>
      </c>
      <c r="AL9" s="193" t="e">
        <f>IF(ROUNDDOWN(SUM(Y9:AA9)+AD9+AE9-B9-Y9,0)&gt;=1,MIN(ROUNDDOWN(SUM(Y9:AA9)+AD9+AE9-B9-Y9,0),Z9),0)</f>
        <v>#N/A</v>
      </c>
      <c r="AN9" s="191" t="s">
        <v>694</v>
      </c>
      <c r="AO9" s="23"/>
    </row>
    <row r="10" spans="1:41" s="33" customFormat="1" ht="36" customHeight="1" thickBot="1">
      <c r="A10" s="196">
        <v>5</v>
      </c>
      <c r="B10" s="125" t="e">
        <f>'③児童数及び職員定数 (2)-(1)'!T11</f>
        <v>#N/A</v>
      </c>
      <c r="C10" s="61">
        <f>COUNTIFS('②-1職員名簿'!AQ$7:AQ$106,"A",'②-2勤務時間数入力'!G$7:G$106,"正")</f>
        <v>0</v>
      </c>
      <c r="D10" s="61">
        <f>COUNTIFS('②-1職員名簿'!AQ$7:AQ$106,"A",'②-2勤務時間数入力'!$C$7:$C$106,"常勤的非常勤",'②-2勤務時間数入力'!S$7:S$106,"常")</f>
        <v>0</v>
      </c>
      <c r="E10" s="222">
        <f>SUMIFS('②-2勤務時間数入力'!S$7:S$106,'②-1職員名簿'!AQ$7:AQ$106,"A",'②-1職員名簿'!$C$7:$C$106,"パート")</f>
        <v>0</v>
      </c>
      <c r="F10" s="223">
        <f>COUNTIFS('②-1職員名簿'!AQ$7:AQ$106,"A",'②-2勤務時間数入力'!$C$7:$C$106,"嘱託常勤",'②-2勤務時間数入力'!S$7:S$106,"常")</f>
        <v>0</v>
      </c>
      <c r="G10" s="223">
        <f>SUMIFS('②-2勤務時間数入力'!S$7:S$106,'②-1職員名簿'!AQ$7:AQ$106,"A",'②-1職員名簿'!$C$7:$C$106,"嘱託等")</f>
        <v>0</v>
      </c>
      <c r="H10" s="128">
        <f>'②-2勤務時間数入力'!AH8</f>
        <v>0</v>
      </c>
      <c r="I10" s="129">
        <f>COUNTIFS('②-1職員名簿'!W7:W106,"園長",'②-1職員名簿'!AQ$7:AQ$106,"A",'②-1職員名簿'!AD$7:AD$106,"○")</f>
        <v>0</v>
      </c>
      <c r="J10" s="61">
        <f>COUNTIFS('②-1職員名簿'!AQ$7:AQ$106,"A",'②-1職員名簿'!$W$7:$W$106,$J$5,'②-2勤務時間数入力'!G$7:G$106,"正")</f>
        <v>0</v>
      </c>
      <c r="K10" s="61">
        <f>COUNTIFS('②-1職員名簿'!AQ$7:AQ$106,"A",'②-1職員名簿'!$W$7:$W$106,$J$5,'②-2勤務時間数入力'!S$7:S$106,"常")</f>
        <v>0</v>
      </c>
      <c r="L10" s="61">
        <f>SUMIFS('②-2勤務時間数入力'!S$7:S$106,'②-1職員名簿'!AQ$7:AQ$106,"A",'②-1職員名簿'!$W$7:$W$106,$J$5)</f>
        <v>0</v>
      </c>
      <c r="M10" s="61">
        <f>COUNTIFS('②-1職員名簿'!AQ$7:AQ$106,"A",'②-1職員名簿'!$W$7:$W$106,$M$5,'②-2勤務時間数入力'!G$7:G$106,"正")</f>
        <v>0</v>
      </c>
      <c r="N10" s="61">
        <f>COUNTIFS('②-1職員名簿'!AQ$7:AQ$106,"A",'②-1職員名簿'!$W$7:$W$106,$M$5,'②-2勤務時間数入力'!S$7:S$106,"常")</f>
        <v>0</v>
      </c>
      <c r="O10" s="61">
        <f>SUMIFS('②-2勤務時間数入力'!S$7:S$106,'②-1職員名簿'!AQ$7:AQ$106,"A",'②-1職員名簿'!$W$7:$W$106,$M$5)</f>
        <v>0</v>
      </c>
      <c r="P10" s="61">
        <f>COUNTIFS('②-1職員名簿'!AQ$7:AQ$106,"A",'②-1職員名簿'!$W$7:$W$106,$P$5,'②-2勤務時間数入力'!G$7:G$106,"正")</f>
        <v>0</v>
      </c>
      <c r="Q10" s="61">
        <f>COUNTIFS('②-1職員名簿'!AQ$7:AQ$106,"A",'②-1職員名簿'!$W$7:$W$106,$P$5,'②-2勤務時間数入力'!S$7:S$106,"常")</f>
        <v>0</v>
      </c>
      <c r="R10" s="61">
        <f>SUMIFS('②-2勤務時間数入力'!S$7:S$106,'②-1職員名簿'!AQ$7:AQ$106,"A",'②-1職員名簿'!$W$7:$W$106,$P$5)</f>
        <v>0</v>
      </c>
      <c r="S10" s="61">
        <f>COUNTIFS('②-1職員名簿'!AQ$7:AQ$106,"A",'②-1職員名簿'!$W$7:$W$106,$S$5,'②-2勤務時間数入力'!G$7:G$106,"正")</f>
        <v>0</v>
      </c>
      <c r="T10" s="61">
        <f>COUNTIFS('②-1職員名簿'!AQ$7:AQ$106,"A",'②-1職員名簿'!$W$7:$W$106,$S$5,'②-2勤務時間数入力'!S$7:S$106,"常")</f>
        <v>0</v>
      </c>
      <c r="U10" s="61">
        <f>SUMIFS('②-2勤務時間数入力'!S$7:S$106,'②-1職員名簿'!AQ$7:AQ$106,"A",'②-1職員名簿'!$W$7:$W$106,$S$5)</f>
        <v>0</v>
      </c>
      <c r="V10" s="125">
        <f t="shared" si="0"/>
        <v>0</v>
      </c>
      <c r="W10" s="125">
        <f>D10+F10-K10-N10-Q10-T10</f>
        <v>0</v>
      </c>
      <c r="X10" s="132" t="e">
        <f t="shared" si="2"/>
        <v>#DIV/0!</v>
      </c>
      <c r="Y10" s="193" t="e">
        <f t="shared" ref="Y10:Y20" si="3">IF($AN$11=0,0,IF(AND($AO$11&gt;=36,$AO$11&lt;=300),1,0))</f>
        <v>#N/A</v>
      </c>
      <c r="Z10" s="194" t="e">
        <f t="shared" ref="Z10:Z20" si="4">VLOOKUP($AO$11,$AN$13:$AO$19,2,1)</f>
        <v>#N/A</v>
      </c>
      <c r="AA10" s="239" t="e">
        <f t="shared" ref="AA10:AA20" si="5">V10+W10+X10-Y10-Z10</f>
        <v>#DIV/0!</v>
      </c>
      <c r="AB10" s="239" t="e">
        <f t="shared" ref="AB10:AB20" si="6">AA10-B10</f>
        <v>#DIV/0!</v>
      </c>
      <c r="AC10" s="133"/>
      <c r="AD10" s="134" t="e">
        <f>'④-2月別配置内訳書(2)-(2)-(B)'!AG10</f>
        <v>#N/A</v>
      </c>
      <c r="AE10" s="134" t="e">
        <f>'④-3月別配置内訳書(2)-(2)-(C)・(D)'!AC10</f>
        <v>#DIV/0!</v>
      </c>
      <c r="AF10" s="38"/>
      <c r="AG10" s="126">
        <v>5</v>
      </c>
      <c r="AH10" s="306" t="e">
        <f>IF(ROUNDDOWN(SUM(AA10,AD10,AE10),0)&gt;=B10,"○",B10-ROUNDDOWN(SUM(AA10,AD10,AE10),0))</f>
        <v>#DIV/0!</v>
      </c>
      <c r="AI10" s="138" t="e">
        <f>IF(ROUNDDOWN(SUM(AB10:AE10),0)&lt;=0,"×",ROUNDDOWN(SUM(AB10:AE10),0))</f>
        <v>#DIV/0!</v>
      </c>
      <c r="AK10" s="193" t="e">
        <f t="shared" ref="AK10:AK20" si="7">IF(ROUNDDOWN(SUM(Y10:AA10)+AD10+AE10-B10,0)&gt;=Y10,Y10,0)</f>
        <v>#N/A</v>
      </c>
      <c r="AL10" s="193" t="e">
        <f t="shared" ref="AL10:AL20" si="8">IF(ROUNDDOWN(SUM(Y10:AA10)+AD10+AE10-B10-Y10,0)&gt;=1,MIN(ROUNDDOWN(SUM(Y10:AA10)+AD10+AE10-B10-Y10,0),Z10),0)</f>
        <v>#N/A</v>
      </c>
      <c r="AN10" s="33" t="s">
        <v>720</v>
      </c>
      <c r="AO10" s="33" t="s">
        <v>695</v>
      </c>
    </row>
    <row r="11" spans="1:41" s="33" customFormat="1" ht="36" customHeight="1" thickBot="1">
      <c r="A11" s="196">
        <v>6</v>
      </c>
      <c r="B11" s="125" t="e">
        <f>'③児童数及び職員定数 (2)-(1)'!T12</f>
        <v>#N/A</v>
      </c>
      <c r="C11" s="61">
        <f>COUNTIFS('②-1職員名簿'!AR$7:AR$106,"A",'②-2勤務時間数入力'!H$7:H$106,"正")</f>
        <v>0</v>
      </c>
      <c r="D11" s="61">
        <f>COUNTIFS('②-1職員名簿'!AR$7:AR$106,"A",'②-2勤務時間数入力'!$C$7:$C$106,"常勤的非常勤",'②-2勤務時間数入力'!T$7:T$106,"常")</f>
        <v>0</v>
      </c>
      <c r="E11" s="222">
        <f>SUMIFS('②-2勤務時間数入力'!T$7:T$106,'②-1職員名簿'!AR$7:AR$106,"A",'②-1職員名簿'!$C$7:$C$106,"パート")</f>
        <v>0</v>
      </c>
      <c r="F11" s="223">
        <f>COUNTIFS('②-1職員名簿'!AR$7:AR$106,"A",'②-2勤務時間数入力'!$C$7:$C$106,"嘱託常勤",'②-2勤務時間数入力'!T$7:T$106,"常")</f>
        <v>0</v>
      </c>
      <c r="G11" s="223">
        <f>SUMIFS('②-2勤務時間数入力'!T$7:T$106,'②-1職員名簿'!AR$7:AR$106,"A",'②-1職員名簿'!$C$7:$C$106,"嘱託等")</f>
        <v>0</v>
      </c>
      <c r="H11" s="128">
        <f>'②-2勤務時間数入力'!AH9</f>
        <v>0</v>
      </c>
      <c r="I11" s="129">
        <f>COUNTIFS('②-1職員名簿'!W7:W106,"園長",'②-1職員名簿'!AR$7:AR$106,"A",'②-1職員名簿'!AE$7:AE$106,"○")</f>
        <v>0</v>
      </c>
      <c r="J11" s="61">
        <f>COUNTIFS('②-1職員名簿'!AR$7:AR$106,"A",'②-1職員名簿'!$W$7:$W$106,$J$5,'②-2勤務時間数入力'!H$7:H$106,"正")</f>
        <v>0</v>
      </c>
      <c r="K11" s="61">
        <f>COUNTIFS('②-1職員名簿'!AR$7:AR$106,"A",'②-1職員名簿'!$W$7:$W$106,$J$5,'②-2勤務時間数入力'!T$7:T$106,"常")</f>
        <v>0</v>
      </c>
      <c r="L11" s="61">
        <f>SUMIFS('②-2勤務時間数入力'!T$7:T$106,'②-1職員名簿'!AR$7:AR$106,"A",'②-1職員名簿'!$W$7:$W$106,$J$5)</f>
        <v>0</v>
      </c>
      <c r="M11" s="61">
        <f>COUNTIFS('②-1職員名簿'!AR$7:AR$106,"A",'②-1職員名簿'!$W$7:$W$106,$M$5,'②-2勤務時間数入力'!H$7:H$106,"正")</f>
        <v>0</v>
      </c>
      <c r="N11" s="61">
        <f>COUNTIFS('②-1職員名簿'!AR$7:AR$106,"A",'②-1職員名簿'!$W$7:$W$106,$M$5,'②-2勤務時間数入力'!T$7:T$106,"常")</f>
        <v>0</v>
      </c>
      <c r="O11" s="61">
        <f>SUMIFS('②-2勤務時間数入力'!T$7:T$106,'②-1職員名簿'!AR$7:AR$106,"A",'②-1職員名簿'!$W$7:$W$106,$M$5)</f>
        <v>0</v>
      </c>
      <c r="P11" s="61">
        <f>COUNTIFS('②-1職員名簿'!AR$7:AR$106,"A",'②-1職員名簿'!$W$7:$W$106,$P$5,'②-2勤務時間数入力'!H$7:H$106,"正")</f>
        <v>0</v>
      </c>
      <c r="Q11" s="61">
        <f>COUNTIFS('②-1職員名簿'!AR$7:AR$106,"A",'②-1職員名簿'!$W$7:$W$106,$P$5,'②-2勤務時間数入力'!T$7:T$106,"常")</f>
        <v>0</v>
      </c>
      <c r="R11" s="61">
        <f>SUMIFS('②-2勤務時間数入力'!T$7:T$106,'②-1職員名簿'!AR$7:AR$106,"A",'②-1職員名簿'!$W$7:$W$106,$P$5)</f>
        <v>0</v>
      </c>
      <c r="S11" s="61">
        <f>COUNTIFS('②-1職員名簿'!AR$7:AR$106,"A",'②-1職員名簿'!$W$7:$W$106,$S$5,'②-2勤務時間数入力'!H$7:H$106,"正")</f>
        <v>0</v>
      </c>
      <c r="T11" s="61">
        <f>COUNTIFS('②-1職員名簿'!AR$7:AR$106,"A",'②-1職員名簿'!$W$7:$W$106,$S$5,'②-2勤務時間数入力'!T$7:T$106,"常")</f>
        <v>0</v>
      </c>
      <c r="U11" s="61">
        <f>SUMIFS('②-2勤務時間数入力'!T$7:T$106,'②-1職員名簿'!AR$7:AR$106,"A",'②-1職員名簿'!$W$7:$W$106,$S$5)</f>
        <v>0</v>
      </c>
      <c r="V11" s="125">
        <f t="shared" si="0"/>
        <v>0</v>
      </c>
      <c r="W11" s="125">
        <f t="shared" si="1"/>
        <v>0</v>
      </c>
      <c r="X11" s="132" t="e">
        <f t="shared" si="2"/>
        <v>#DIV/0!</v>
      </c>
      <c r="Y11" s="193" t="e">
        <f t="shared" si="3"/>
        <v>#N/A</v>
      </c>
      <c r="Z11" s="194" t="e">
        <f t="shared" si="4"/>
        <v>#N/A</v>
      </c>
      <c r="AA11" s="239" t="e">
        <f t="shared" si="5"/>
        <v>#DIV/0!</v>
      </c>
      <c r="AB11" s="239" t="e">
        <f t="shared" si="6"/>
        <v>#DIV/0!</v>
      </c>
      <c r="AC11" s="133"/>
      <c r="AD11" s="134" t="e">
        <f>'④-2月別配置内訳書(2)-(2)-(B)'!AG11</f>
        <v>#N/A</v>
      </c>
      <c r="AE11" s="134" t="e">
        <f>'④-3月別配置内訳書(2)-(2)-(C)・(D)'!AC11</f>
        <v>#DIV/0!</v>
      </c>
      <c r="AF11" s="38"/>
      <c r="AG11" s="126">
        <v>6</v>
      </c>
      <c r="AH11" s="306" t="e">
        <f t="shared" ref="AH11:AH20" si="9">IF(ROUNDDOWN(SUM(AA11,AD11,AE11),0)&gt;=B11,"○",B11-ROUNDDOWN(SUM(AA11,AD11,AE11),0))</f>
        <v>#DIV/0!</v>
      </c>
      <c r="AI11" s="138" t="e">
        <f t="shared" ref="AI11:AI20" si="10">IF(ROUNDDOWN(SUM(AB11:AE11),0)&lt;=0,"×",ROUNDDOWN(SUM(AB11:AE11),0))</f>
        <v>#DIV/0!</v>
      </c>
      <c r="AK11" s="193" t="e">
        <f t="shared" si="7"/>
        <v>#N/A</v>
      </c>
      <c r="AL11" s="193" t="e">
        <f t="shared" si="8"/>
        <v>#N/A</v>
      </c>
      <c r="AN11" s="192" t="e">
        <f>SUM(①基本情報!F10:F11)</f>
        <v>#N/A</v>
      </c>
      <c r="AO11" s="192" t="e">
        <f>SUM(①基本情報!$F$10:$G$11)</f>
        <v>#N/A</v>
      </c>
    </row>
    <row r="12" spans="1:41" s="33" customFormat="1" ht="36" customHeight="1">
      <c r="A12" s="196">
        <v>7</v>
      </c>
      <c r="B12" s="125" t="e">
        <f>'③児童数及び職員定数 (2)-(1)'!T13</f>
        <v>#N/A</v>
      </c>
      <c r="C12" s="61">
        <f>COUNTIFS('②-1職員名簿'!AS$7:AS$106,"A",'②-2勤務時間数入力'!I$7:I$106,"正")</f>
        <v>0</v>
      </c>
      <c r="D12" s="61">
        <f>COUNTIFS('②-1職員名簿'!AS$7:AS$106,"A",'②-2勤務時間数入力'!$C$7:$C$106,"常勤的非常勤",'②-2勤務時間数入力'!U$7:U$106,"常")</f>
        <v>0</v>
      </c>
      <c r="E12" s="222">
        <f>SUMIFS('②-2勤務時間数入力'!U$7:U$106,'②-1職員名簿'!AS$7:AS$106,"A",'②-1職員名簿'!$C$7:$C$106,"パート")</f>
        <v>0</v>
      </c>
      <c r="F12" s="223">
        <f>COUNTIFS('②-1職員名簿'!AS$7:AS$106,"A",'②-2勤務時間数入力'!$C$7:$C$106,"嘱託常勤",'②-2勤務時間数入力'!U$7:U$106,"常")</f>
        <v>0</v>
      </c>
      <c r="G12" s="223">
        <f>SUMIFS('②-2勤務時間数入力'!U$7:U$106,'②-1職員名簿'!AS$7:AS$106,"A",'②-1職員名簿'!$C$7:$C$106,"嘱託等")</f>
        <v>0</v>
      </c>
      <c r="H12" s="128">
        <f>'②-2勤務時間数入力'!AH10</f>
        <v>0</v>
      </c>
      <c r="I12" s="129">
        <f>COUNTIFS('②-1職員名簿'!W7:W106,"園長",'②-1職員名簿'!AS$7:AS$106,"A",'②-1職員名簿'!AF$7:AF$106,"○")</f>
        <v>0</v>
      </c>
      <c r="J12" s="61">
        <f>COUNTIFS('②-1職員名簿'!AS$7:AS$106,"A",'②-1職員名簿'!$W$7:$W$106,$J$5,'②-2勤務時間数入力'!I$7:I$106,"正")</f>
        <v>0</v>
      </c>
      <c r="K12" s="61">
        <f>COUNTIFS('②-1職員名簿'!AS$7:AS$106,"A",'②-1職員名簿'!$W$7:$W$106,$J$5,'②-2勤務時間数入力'!U$7:U$106,"常")</f>
        <v>0</v>
      </c>
      <c r="L12" s="61">
        <f>SUMIFS('②-2勤務時間数入力'!U$7:U$106,'②-1職員名簿'!AS$7:AS$106,"A",'②-1職員名簿'!$W$7:$W$106,$J$5)</f>
        <v>0</v>
      </c>
      <c r="M12" s="61">
        <f>COUNTIFS('②-1職員名簿'!AS$7:AS$106,"A",'②-1職員名簿'!$W$7:$W$106,$M$5,'②-2勤務時間数入力'!I$7:I$106,"正")</f>
        <v>0</v>
      </c>
      <c r="N12" s="61">
        <f>COUNTIFS('②-1職員名簿'!AS$7:AS$106,"A",'②-1職員名簿'!$W$7:$W$106,$M$5,'②-2勤務時間数入力'!U$7:U$106,"常")</f>
        <v>0</v>
      </c>
      <c r="O12" s="61">
        <f>SUMIFS('②-2勤務時間数入力'!U$7:U$106,'②-1職員名簿'!AS$7:AS$106,"A",'②-1職員名簿'!$W$7:$W$106,$M$5)</f>
        <v>0</v>
      </c>
      <c r="P12" s="61">
        <f>COUNTIFS('②-1職員名簿'!AS$7:AS$106,"A",'②-1職員名簿'!$W$7:$W$106,$P$5,'②-2勤務時間数入力'!I$7:I$106,"正")</f>
        <v>0</v>
      </c>
      <c r="Q12" s="61">
        <f>COUNTIFS('②-1職員名簿'!AS$7:AS$106,"A",'②-1職員名簿'!$W$7:$W$106,$P$5,'②-2勤務時間数入力'!U$7:U$106,"常")</f>
        <v>0</v>
      </c>
      <c r="R12" s="61">
        <f>SUMIFS('②-2勤務時間数入力'!U$7:U$106,'②-1職員名簿'!AS$7:AS$106,"A",'②-1職員名簿'!$W$7:$W$106,$P$5)</f>
        <v>0</v>
      </c>
      <c r="S12" s="61">
        <f>COUNTIFS('②-1職員名簿'!AS$7:AS$106,"A",'②-1職員名簿'!$W$7:$W$106,$S$5,'②-2勤務時間数入力'!I$7:I$106,"正")</f>
        <v>0</v>
      </c>
      <c r="T12" s="61">
        <f>COUNTIFS('②-1職員名簿'!AS$7:AS$106,"A",'②-1職員名簿'!$W$7:$W$106,$S$5,'②-2勤務時間数入力'!U$7:U$106,"常")</f>
        <v>0</v>
      </c>
      <c r="U12" s="61">
        <f>SUMIFS('②-2勤務時間数入力'!U$7:U$106,'②-1職員名簿'!AS$7:AS$106,"A",'②-1職員名簿'!$W$7:$W$106,$S$5)</f>
        <v>0</v>
      </c>
      <c r="V12" s="125">
        <f t="shared" si="0"/>
        <v>0</v>
      </c>
      <c r="W12" s="125">
        <f t="shared" si="1"/>
        <v>0</v>
      </c>
      <c r="X12" s="132" t="e">
        <f t="shared" si="2"/>
        <v>#DIV/0!</v>
      </c>
      <c r="Y12" s="193" t="e">
        <f t="shared" si="3"/>
        <v>#N/A</v>
      </c>
      <c r="Z12" s="194" t="e">
        <f t="shared" si="4"/>
        <v>#N/A</v>
      </c>
      <c r="AA12" s="239" t="e">
        <f t="shared" si="5"/>
        <v>#DIV/0!</v>
      </c>
      <c r="AB12" s="239" t="e">
        <f t="shared" si="6"/>
        <v>#DIV/0!</v>
      </c>
      <c r="AC12" s="133"/>
      <c r="AD12" s="134" t="e">
        <f>'④-2月別配置内訳書(2)-(2)-(B)'!AG12</f>
        <v>#N/A</v>
      </c>
      <c r="AE12" s="134" t="e">
        <f>'④-3月別配置内訳書(2)-(2)-(C)・(D)'!AC12</f>
        <v>#DIV/0!</v>
      </c>
      <c r="AF12" s="38"/>
      <c r="AG12" s="126">
        <v>7</v>
      </c>
      <c r="AH12" s="306" t="e">
        <f t="shared" si="9"/>
        <v>#DIV/0!</v>
      </c>
      <c r="AI12" s="138" t="e">
        <f t="shared" si="10"/>
        <v>#DIV/0!</v>
      </c>
      <c r="AK12" s="193" t="e">
        <f t="shared" si="7"/>
        <v>#N/A</v>
      </c>
      <c r="AL12" s="193" t="e">
        <f t="shared" si="8"/>
        <v>#N/A</v>
      </c>
      <c r="AN12" s="33" t="s">
        <v>693</v>
      </c>
    </row>
    <row r="13" spans="1:41" s="33" customFormat="1" ht="36" customHeight="1">
      <c r="A13" s="196">
        <v>8</v>
      </c>
      <c r="B13" s="125" t="e">
        <f>'③児童数及び職員定数 (2)-(1)'!T14</f>
        <v>#N/A</v>
      </c>
      <c r="C13" s="61">
        <f>COUNTIFS('②-1職員名簿'!AT$7:AT$106,"A",'②-2勤務時間数入力'!J$7:J$106,"正")</f>
        <v>0</v>
      </c>
      <c r="D13" s="61">
        <f>COUNTIFS('②-1職員名簿'!AT$7:AT$106,"A",'②-2勤務時間数入力'!$C$7:$C$106,"常勤的非常勤",'②-2勤務時間数入力'!V$7:V$106,"常")</f>
        <v>0</v>
      </c>
      <c r="E13" s="61">
        <f>SUMIFS('②-2勤務時間数入力'!V$7:V$106,'②-1職員名簿'!AT$7:AT$106,"A",'②-1職員名簿'!$C$7:$C$106,"パート")</f>
        <v>0</v>
      </c>
      <c r="F13" s="61">
        <f>COUNTIFS('②-1職員名簿'!AT$7:AT$106,"A",'②-2勤務時間数入力'!$C$7:$C$106,"嘱託常勤",'②-2勤務時間数入力'!V$7:V$106,"常")</f>
        <v>0</v>
      </c>
      <c r="G13" s="61">
        <f>SUMIFS('②-2勤務時間数入力'!V$7:V$106,'②-1職員名簿'!AT$7:AT$106,"A",'②-1職員名簿'!$C$7:$C$106,"嘱託等")</f>
        <v>0</v>
      </c>
      <c r="H13" s="128">
        <f>'②-2勤務時間数入力'!AH11</f>
        <v>0</v>
      </c>
      <c r="I13" s="129">
        <f>COUNTIFS('②-1職員名簿'!W7:W106,"園長",'②-1職員名簿'!AT$7:AT$106,"A",'②-1職員名簿'!AG$7:AG$106,"○")</f>
        <v>0</v>
      </c>
      <c r="J13" s="61">
        <f>COUNTIFS('②-1職員名簿'!AT$7:AT$106,"A",'②-1職員名簿'!$W$7:$W$106,$J$5,'②-2勤務時間数入力'!J$7:J$106,"正")</f>
        <v>0</v>
      </c>
      <c r="K13" s="61">
        <f>COUNTIFS('②-1職員名簿'!AT$7:AT$106,"A",'②-1職員名簿'!$W$7:$W$106,$J$5,'②-2勤務時間数入力'!V$7:V$106,"常")</f>
        <v>0</v>
      </c>
      <c r="L13" s="61">
        <f>SUMIFS('②-2勤務時間数入力'!V$7:V$106,'②-1職員名簿'!AT$7:AT$106,"A",'②-1職員名簿'!$W$7:$W$106,$J$5)</f>
        <v>0</v>
      </c>
      <c r="M13" s="61">
        <f>COUNTIFS('②-1職員名簿'!AT$7:AT$106,"A",'②-1職員名簿'!$W$7:$W$106,$M$5,'②-2勤務時間数入力'!J$7:J$106,"正")</f>
        <v>0</v>
      </c>
      <c r="N13" s="61">
        <f>COUNTIFS('②-1職員名簿'!AT$7:AT$106,"A",'②-1職員名簿'!$W$7:$W$106,$M$5,'②-2勤務時間数入力'!V$7:V$106,"常")</f>
        <v>0</v>
      </c>
      <c r="O13" s="61">
        <f>SUMIFS('②-2勤務時間数入力'!V$7:V$106,'②-1職員名簿'!AT$7:AT$106,"A",'②-1職員名簿'!$W$7:$W$106,$M$5)</f>
        <v>0</v>
      </c>
      <c r="P13" s="61">
        <f>COUNTIFS('②-1職員名簿'!AT$7:AT$106,"A",'②-1職員名簿'!$W$7:$W$106,$P$5,'②-2勤務時間数入力'!J$7:J$106,"正")</f>
        <v>0</v>
      </c>
      <c r="Q13" s="61">
        <f>COUNTIFS('②-1職員名簿'!AT$7:AT$106,"A",'②-1職員名簿'!$W$7:$W$106,$P$5,'②-2勤務時間数入力'!V$7:V$106,"常")</f>
        <v>0</v>
      </c>
      <c r="R13" s="61">
        <f>SUMIFS('②-2勤務時間数入力'!V$7:V$106,'②-1職員名簿'!AT$7:AT$106,"A",'②-1職員名簿'!$W$7:$W$106,$P$5)</f>
        <v>0</v>
      </c>
      <c r="S13" s="61">
        <f>COUNTIFS('②-1職員名簿'!AT$7:AT$106,"A",'②-1職員名簿'!$W$7:$W$106,$S$5,'②-2勤務時間数入力'!J$7:J$106,"正")</f>
        <v>0</v>
      </c>
      <c r="T13" s="61">
        <f>COUNTIFS('②-1職員名簿'!AT$7:AT$106,"A",'②-1職員名簿'!$W$7:$W$106,$S$5,'②-2勤務時間数入力'!V$7:V$106,"常")</f>
        <v>0</v>
      </c>
      <c r="U13" s="61">
        <f>SUMIFS('②-2勤務時間数入力'!V$7:V$106,'②-1職員名簿'!AT$7:AT$106,"A",'②-1職員名簿'!$W$7:$W$106,$S$5)</f>
        <v>0</v>
      </c>
      <c r="V13" s="125">
        <f t="shared" si="0"/>
        <v>0</v>
      </c>
      <c r="W13" s="125">
        <f t="shared" si="1"/>
        <v>0</v>
      </c>
      <c r="X13" s="132" t="e">
        <f t="shared" si="2"/>
        <v>#DIV/0!</v>
      </c>
      <c r="Y13" s="193" t="e">
        <f t="shared" si="3"/>
        <v>#N/A</v>
      </c>
      <c r="Z13" s="194" t="e">
        <f t="shared" si="4"/>
        <v>#N/A</v>
      </c>
      <c r="AA13" s="239" t="e">
        <f t="shared" si="5"/>
        <v>#DIV/0!</v>
      </c>
      <c r="AB13" s="239" t="e">
        <f t="shared" si="6"/>
        <v>#DIV/0!</v>
      </c>
      <c r="AC13" s="133"/>
      <c r="AD13" s="134" t="e">
        <f>'④-2月別配置内訳書(2)-(2)-(B)'!AG13</f>
        <v>#N/A</v>
      </c>
      <c r="AE13" s="134" t="e">
        <f>'④-3月別配置内訳書(2)-(2)-(C)・(D)'!AC13</f>
        <v>#DIV/0!</v>
      </c>
      <c r="AF13" s="38"/>
      <c r="AG13" s="126">
        <v>8</v>
      </c>
      <c r="AH13" s="306" t="e">
        <f t="shared" si="9"/>
        <v>#DIV/0!</v>
      </c>
      <c r="AI13" s="138" t="e">
        <f t="shared" si="10"/>
        <v>#DIV/0!</v>
      </c>
      <c r="AK13" s="193" t="e">
        <f t="shared" si="7"/>
        <v>#N/A</v>
      </c>
      <c r="AL13" s="193" t="e">
        <f t="shared" si="8"/>
        <v>#N/A</v>
      </c>
      <c r="AN13" s="190">
        <v>0</v>
      </c>
      <c r="AO13" s="190">
        <v>1</v>
      </c>
    </row>
    <row r="14" spans="1:41" s="33" customFormat="1" ht="36" customHeight="1">
      <c r="A14" s="196">
        <v>9</v>
      </c>
      <c r="B14" s="125" t="e">
        <f>'③児童数及び職員定数 (2)-(1)'!T15</f>
        <v>#N/A</v>
      </c>
      <c r="C14" s="61">
        <f>COUNTIFS('②-1職員名簿'!AU$7:AU$106,"A",'②-2勤務時間数入力'!K$7:K$106,"正")</f>
        <v>0</v>
      </c>
      <c r="D14" s="61">
        <f>COUNTIFS('②-1職員名簿'!AU$7:AU$106,"A",'②-2勤務時間数入力'!$C$7:$C$106,"常勤的非常勤",'②-2勤務時間数入力'!W$7:W$106,"常")</f>
        <v>0</v>
      </c>
      <c r="E14" s="61">
        <f>SUMIFS('②-2勤務時間数入力'!W$7:W$106,'②-1職員名簿'!AU$7:AU$106,"A",'②-1職員名簿'!$C$7:$C$106,"パート")</f>
        <v>0</v>
      </c>
      <c r="F14" s="61">
        <f>COUNTIFS('②-1職員名簿'!AU$7:AU$106,"A",'②-2勤務時間数入力'!$C$7:$C$106,"嘱託常勤",'②-2勤務時間数入力'!W$7:W$106,"常")</f>
        <v>0</v>
      </c>
      <c r="G14" s="61">
        <f>SUMIFS('②-2勤務時間数入力'!W$7:W$106,'②-1職員名簿'!AU$7:AU$106,"A",'②-1職員名簿'!$C$7:$C$106,"嘱託等")</f>
        <v>0</v>
      </c>
      <c r="H14" s="128">
        <f>'②-2勤務時間数入力'!AH12</f>
        <v>0</v>
      </c>
      <c r="I14" s="129">
        <f>COUNTIFS('②-1職員名簿'!W7:W106,"園長",'②-1職員名簿'!AU$7:AU$106,"A",'②-1職員名簿'!AH$7:AH$106,"○")</f>
        <v>0</v>
      </c>
      <c r="J14" s="61">
        <f>COUNTIFS('②-1職員名簿'!AU$7:AU$106,"A",'②-1職員名簿'!$W$7:$W$106,$J$5,'②-2勤務時間数入力'!K$7:K$106,"正")</f>
        <v>0</v>
      </c>
      <c r="K14" s="61">
        <f>COUNTIFS('②-1職員名簿'!AU$7:AU$106,"A",'②-1職員名簿'!$W$7:$W$106,$J$5,'②-2勤務時間数入力'!W$7:W$106,"常")</f>
        <v>0</v>
      </c>
      <c r="L14" s="61">
        <f>SUMIFS('②-2勤務時間数入力'!W$7:W$106,'②-1職員名簿'!AU$7:AU$106,"A",'②-1職員名簿'!$W$7:$W$106,$J$5)</f>
        <v>0</v>
      </c>
      <c r="M14" s="61">
        <f>COUNTIFS('②-1職員名簿'!AU$7:AU$106,"A",'②-1職員名簿'!$W$7:$W$106,$M$5,'②-2勤務時間数入力'!K$7:K$106,"正")</f>
        <v>0</v>
      </c>
      <c r="N14" s="61">
        <f>COUNTIFS('②-1職員名簿'!AU$7:AU$106,"A",'②-1職員名簿'!$W$7:$W$106,$M$5,'②-2勤務時間数入力'!W$7:W$106,"常")</f>
        <v>0</v>
      </c>
      <c r="O14" s="61">
        <f>SUMIFS('②-2勤務時間数入力'!W$7:W$106,'②-1職員名簿'!AU$7:AU$106,"A",'②-1職員名簿'!$W$7:$W$106,$M$5)</f>
        <v>0</v>
      </c>
      <c r="P14" s="61">
        <f>COUNTIFS('②-1職員名簿'!AU$7:AU$106,"A",'②-1職員名簿'!$W$7:$W$106,$P$5,'②-2勤務時間数入力'!K$7:K$106,"正")</f>
        <v>0</v>
      </c>
      <c r="Q14" s="61">
        <f>COUNTIFS('②-1職員名簿'!AU$7:AU$106,"A",'②-1職員名簿'!$W$7:$W$106,$P$5,'②-2勤務時間数入力'!W$7:W$106,"常")</f>
        <v>0</v>
      </c>
      <c r="R14" s="61">
        <f>SUMIFS('②-2勤務時間数入力'!W$7:W$106,'②-1職員名簿'!AU$7:AU$106,"A",'②-1職員名簿'!$W$7:$W$106,$P$5)</f>
        <v>0</v>
      </c>
      <c r="S14" s="61">
        <f>COUNTIFS('②-1職員名簿'!AU$7:AU$106,"A",'②-1職員名簿'!$W$7:$W$106,$S$5,'②-2勤務時間数入力'!K$7:K$106,"正")</f>
        <v>0</v>
      </c>
      <c r="T14" s="61">
        <f>COUNTIFS('②-1職員名簿'!AU$7:AU$106,"A",'②-1職員名簿'!$W$7:$W$106,$S$5,'②-2勤務時間数入力'!W$7:W$106,"常")</f>
        <v>0</v>
      </c>
      <c r="U14" s="61">
        <f>SUMIFS('②-2勤務時間数入力'!W$7:W$106,'②-1職員名簿'!AU$7:AU$106,"A",'②-1職員名簿'!$W$7:$W$106,$S$5)</f>
        <v>0</v>
      </c>
      <c r="V14" s="125">
        <f t="shared" si="0"/>
        <v>0</v>
      </c>
      <c r="W14" s="125">
        <f t="shared" si="1"/>
        <v>0</v>
      </c>
      <c r="X14" s="132" t="e">
        <f t="shared" si="2"/>
        <v>#DIV/0!</v>
      </c>
      <c r="Y14" s="193" t="e">
        <f t="shared" si="3"/>
        <v>#N/A</v>
      </c>
      <c r="Z14" s="194" t="e">
        <f t="shared" si="4"/>
        <v>#N/A</v>
      </c>
      <c r="AA14" s="239" t="e">
        <f>V14+W14+X14-Y14-Z14</f>
        <v>#DIV/0!</v>
      </c>
      <c r="AB14" s="239" t="e">
        <f>AA14-B14</f>
        <v>#DIV/0!</v>
      </c>
      <c r="AC14" s="133"/>
      <c r="AD14" s="134" t="e">
        <f>'④-2月別配置内訳書(2)-(2)-(B)'!AG14</f>
        <v>#N/A</v>
      </c>
      <c r="AE14" s="134" t="e">
        <f>'④-3月別配置内訳書(2)-(2)-(C)・(D)'!AC14</f>
        <v>#DIV/0!</v>
      </c>
      <c r="AF14" s="38"/>
      <c r="AG14" s="126">
        <v>9</v>
      </c>
      <c r="AH14" s="306" t="e">
        <f>IF(ROUNDDOWN(SUM(AA14,AD14,AE14),0)&gt;=B14,"○",B14-ROUNDDOWN(SUM(AA14,AD14,AE14),0))</f>
        <v>#DIV/0!</v>
      </c>
      <c r="AI14" s="138" t="e">
        <f t="shared" si="10"/>
        <v>#DIV/0!</v>
      </c>
      <c r="AK14" s="193" t="e">
        <f t="shared" si="7"/>
        <v>#N/A</v>
      </c>
      <c r="AL14" s="193" t="e">
        <f t="shared" si="8"/>
        <v>#N/A</v>
      </c>
      <c r="AN14" s="190">
        <v>46</v>
      </c>
      <c r="AO14" s="190">
        <v>2</v>
      </c>
    </row>
    <row r="15" spans="1:41" s="33" customFormat="1" ht="36" customHeight="1">
      <c r="A15" s="196">
        <v>10</v>
      </c>
      <c r="B15" s="125" t="e">
        <f>'③児童数及び職員定数 (2)-(1)'!T16</f>
        <v>#N/A</v>
      </c>
      <c r="C15" s="61">
        <f>COUNTIFS('②-1職員名簿'!AV$7:AV$106,"A",'②-2勤務時間数入力'!L$7:L$106,"正")</f>
        <v>0</v>
      </c>
      <c r="D15" s="61">
        <f>COUNTIFS('②-1職員名簿'!AV$7:AV$106,"A",'②-2勤務時間数入力'!$C$7:$C$106,"常勤的非常勤",'②-2勤務時間数入力'!X$7:X$106,"常")</f>
        <v>0</v>
      </c>
      <c r="E15" s="61">
        <f>SUMIFS('②-2勤務時間数入力'!X$7:X$106,'②-1職員名簿'!AV$7:AV$106,"A",'②-1職員名簿'!$C$7:$C$106,"パート")</f>
        <v>0</v>
      </c>
      <c r="F15" s="61">
        <f>COUNTIFS('②-1職員名簿'!AV$7:AV$106,"A",'②-2勤務時間数入力'!$C$7:$C$106,"嘱託常勤",'②-2勤務時間数入力'!X$7:X$106,"常")</f>
        <v>0</v>
      </c>
      <c r="G15" s="61">
        <f>SUMIFS('②-2勤務時間数入力'!X$7:X$106,'②-1職員名簿'!AV$7:AV$106,"A",'②-1職員名簿'!$C$7:$C$106,"嘱託等")</f>
        <v>0</v>
      </c>
      <c r="H15" s="128">
        <f>'②-2勤務時間数入力'!AH13</f>
        <v>0</v>
      </c>
      <c r="I15" s="129">
        <f>COUNTIFS('②-1職員名簿'!W7:W106,"園長",'②-1職員名簿'!AV$7:AV$106,"A",'②-1職員名簿'!AI$7:AI$106,"○")</f>
        <v>0</v>
      </c>
      <c r="J15" s="61">
        <f>COUNTIFS('②-1職員名簿'!AV$7:AV$106,"A",'②-1職員名簿'!$W$7:$W$106,$J$5,'②-2勤務時間数入力'!L$7:L$106,"正")</f>
        <v>0</v>
      </c>
      <c r="K15" s="61">
        <f>COUNTIFS('②-1職員名簿'!AV$7:AV$106,"A",'②-1職員名簿'!$W$7:$W$106,$J$5,'②-2勤務時間数入力'!X$7:X$106,"常")</f>
        <v>0</v>
      </c>
      <c r="L15" s="61">
        <f>SUMIFS('②-2勤務時間数入力'!X$7:X$106,'②-1職員名簿'!AV$7:AV$106,"A",'②-1職員名簿'!$W$7:$W$106,$J$5)</f>
        <v>0</v>
      </c>
      <c r="M15" s="61">
        <f>COUNTIFS('②-1職員名簿'!AV$7:AV$106,"A",'②-1職員名簿'!$W$7:$W$106,$M$5,'②-2勤務時間数入力'!L$7:L$106,"正")</f>
        <v>0</v>
      </c>
      <c r="N15" s="61">
        <f>COUNTIFS('②-1職員名簿'!AV$7:AV$106,"A",'②-1職員名簿'!$W$7:$W$106,$M$5,'②-2勤務時間数入力'!X$7:X$106,"常")</f>
        <v>0</v>
      </c>
      <c r="O15" s="61">
        <f>SUMIFS('②-2勤務時間数入力'!X$7:X$106,'②-1職員名簿'!AV$7:AV$106,"A",'②-1職員名簿'!$W$7:$W$106,$M$5)</f>
        <v>0</v>
      </c>
      <c r="P15" s="61">
        <f>COUNTIFS('②-1職員名簿'!AV$7:AV$106,"A",'②-1職員名簿'!$W$7:$W$106,$P$5,'②-2勤務時間数入力'!L$7:L$106,"正")</f>
        <v>0</v>
      </c>
      <c r="Q15" s="61">
        <f>COUNTIFS('②-1職員名簿'!AV$7:AV$106,"A",'②-1職員名簿'!$W$7:$W$106,$P$5,'②-2勤務時間数入力'!X$7:X$106,"常")</f>
        <v>0</v>
      </c>
      <c r="R15" s="61">
        <f>SUMIFS('②-2勤務時間数入力'!X$7:X$106,'②-1職員名簿'!AV$7:AV$106,"A",'②-1職員名簿'!$W$7:$W$106,$P$5)</f>
        <v>0</v>
      </c>
      <c r="S15" s="61">
        <f>COUNTIFS('②-1職員名簿'!AV$7:AV$106,"A",'②-1職員名簿'!$W$7:$W$106,$S$5,'②-2勤務時間数入力'!L$7:L$106,"正")</f>
        <v>0</v>
      </c>
      <c r="T15" s="61">
        <f>COUNTIFS('②-1職員名簿'!AV$7:AV$106,"A",'②-1職員名簿'!$W$7:$W$106,$S$5,'②-2勤務時間数入力'!X$7:X$106,"常")</f>
        <v>0</v>
      </c>
      <c r="U15" s="61">
        <f>SUMIFS('②-2勤務時間数入力'!X$7:X$106,'②-1職員名簿'!AV$7:AV$106,"A",'②-1職員名簿'!$W$7:$W$106,$S$5)</f>
        <v>0</v>
      </c>
      <c r="V15" s="125">
        <f t="shared" si="0"/>
        <v>0</v>
      </c>
      <c r="W15" s="125">
        <f t="shared" si="1"/>
        <v>0</v>
      </c>
      <c r="X15" s="132" t="e">
        <f t="shared" si="2"/>
        <v>#DIV/0!</v>
      </c>
      <c r="Y15" s="193" t="e">
        <f t="shared" si="3"/>
        <v>#N/A</v>
      </c>
      <c r="Z15" s="194" t="e">
        <f t="shared" si="4"/>
        <v>#N/A</v>
      </c>
      <c r="AA15" s="239" t="e">
        <f t="shared" si="5"/>
        <v>#DIV/0!</v>
      </c>
      <c r="AB15" s="239" t="e">
        <f t="shared" si="6"/>
        <v>#DIV/0!</v>
      </c>
      <c r="AC15" s="133"/>
      <c r="AD15" s="134" t="e">
        <f>'④-2月別配置内訳書(2)-(2)-(B)'!AG15</f>
        <v>#N/A</v>
      </c>
      <c r="AE15" s="134" t="e">
        <f>'④-3月別配置内訳書(2)-(2)-(C)・(D)'!AC15</f>
        <v>#DIV/0!</v>
      </c>
      <c r="AF15" s="38"/>
      <c r="AG15" s="126">
        <v>10</v>
      </c>
      <c r="AH15" s="306" t="e">
        <f t="shared" si="9"/>
        <v>#DIV/0!</v>
      </c>
      <c r="AI15" s="138" t="e">
        <f t="shared" si="10"/>
        <v>#DIV/0!</v>
      </c>
      <c r="AK15" s="193" t="e">
        <f t="shared" si="7"/>
        <v>#N/A</v>
      </c>
      <c r="AL15" s="193" t="e">
        <f t="shared" si="8"/>
        <v>#N/A</v>
      </c>
      <c r="AN15" s="190">
        <v>151</v>
      </c>
      <c r="AO15" s="190">
        <v>3</v>
      </c>
    </row>
    <row r="16" spans="1:41" s="33" customFormat="1" ht="36" customHeight="1">
      <c r="A16" s="196">
        <v>11</v>
      </c>
      <c r="B16" s="125" t="e">
        <f>'③児童数及び職員定数 (2)-(1)'!T17</f>
        <v>#N/A</v>
      </c>
      <c r="C16" s="61">
        <f>COUNTIFS('②-1職員名簿'!AW$7:AW$106,"A",'②-2勤務時間数入力'!M$7:M$106,"正")</f>
        <v>0</v>
      </c>
      <c r="D16" s="61">
        <f>COUNTIFS('②-1職員名簿'!AW$7:AW$106,"A",'②-2勤務時間数入力'!$C$7:$C$106,"常勤的非常勤",'②-2勤務時間数入力'!Y$7:Y$106,"常")</f>
        <v>0</v>
      </c>
      <c r="E16" s="61">
        <f>SUMIFS('②-2勤務時間数入力'!Y$7:Y$106,'②-1職員名簿'!AW$7:AW$106,"A",'②-1職員名簿'!$C$7:$C$106,"パート")</f>
        <v>0</v>
      </c>
      <c r="F16" s="61">
        <f>COUNTIFS('②-1職員名簿'!AW$7:AW$106,"A",'②-2勤務時間数入力'!$C$7:$C$106,"嘱託常勤",'②-2勤務時間数入力'!Y$7:Y$106,"常")</f>
        <v>0</v>
      </c>
      <c r="G16" s="61">
        <f>SUMIFS('②-2勤務時間数入力'!Y$7:Y$106,'②-1職員名簿'!AW$7:AW$106,"A",'②-1職員名簿'!$C$7:$C$106,"嘱託等")</f>
        <v>0</v>
      </c>
      <c r="H16" s="128">
        <f>'②-2勤務時間数入力'!AH14</f>
        <v>0</v>
      </c>
      <c r="I16" s="129">
        <f>COUNTIFS('②-1職員名簿'!W7:W106,"園長",'②-1職員名簿'!AW$7:AW$106,"A",'②-1職員名簿'!AJ$7:AJ$106,"○")</f>
        <v>0</v>
      </c>
      <c r="J16" s="61">
        <f>COUNTIFS('②-1職員名簿'!AW$7:AW$106,"A",'②-1職員名簿'!$W$7:$W$106,$J$5,'②-2勤務時間数入力'!M$7:M$106,"正")</f>
        <v>0</v>
      </c>
      <c r="K16" s="61">
        <f>COUNTIFS('②-1職員名簿'!AW$7:AW$106,"A",'②-1職員名簿'!$W$7:$W$106,$J$5,'②-2勤務時間数入力'!Y$7:Y$106,"常")</f>
        <v>0</v>
      </c>
      <c r="L16" s="61">
        <f>SUMIFS('②-2勤務時間数入力'!Y$7:Y$106,'②-1職員名簿'!AW$7:AW$106,"A",'②-1職員名簿'!$W$7:$W$106,$J$5)</f>
        <v>0</v>
      </c>
      <c r="M16" s="61">
        <f>COUNTIFS('②-1職員名簿'!AW$7:AW$106,"A",'②-1職員名簿'!$W$7:$W$106,$M$5,'②-2勤務時間数入力'!M$7:M$106,"正")</f>
        <v>0</v>
      </c>
      <c r="N16" s="61">
        <f>COUNTIFS('②-1職員名簿'!AW$7:AW$106,"A",'②-1職員名簿'!$W$7:$W$106,$M$5,'②-2勤務時間数入力'!Y$7:Y$106,"常")</f>
        <v>0</v>
      </c>
      <c r="O16" s="61">
        <f>SUMIFS('②-2勤務時間数入力'!Y$7:Y$106,'②-1職員名簿'!AW$7:AW$106,"A",'②-1職員名簿'!$W$7:$W$106,$M$5)</f>
        <v>0</v>
      </c>
      <c r="P16" s="61">
        <f>COUNTIFS('②-1職員名簿'!AW$7:AW$106,"A",'②-1職員名簿'!$W$7:$W$106,$P$5,'②-2勤務時間数入力'!M$7:M$106,"正")</f>
        <v>0</v>
      </c>
      <c r="Q16" s="61">
        <f>COUNTIFS('②-1職員名簿'!AW$7:AW$106,"A",'②-1職員名簿'!$W$7:$W$106,$P$5,'②-2勤務時間数入力'!Y$7:Y$106,"常")</f>
        <v>0</v>
      </c>
      <c r="R16" s="61">
        <f>SUMIFS('②-2勤務時間数入力'!Y$7:Y$106,'②-1職員名簿'!AW$7:AW$106,"A",'②-1職員名簿'!$W$7:$W$106,$P$5)</f>
        <v>0</v>
      </c>
      <c r="S16" s="61">
        <f>COUNTIFS('②-1職員名簿'!AW$7:AW$106,"A",'②-1職員名簿'!$W$7:$W$106,$S$5,'②-2勤務時間数入力'!M$7:M$106,"正")</f>
        <v>0</v>
      </c>
      <c r="T16" s="61">
        <f>COUNTIFS('②-1職員名簿'!AW$7:AW$106,"A",'②-1職員名簿'!$W$7:$W$106,$S$5,'②-2勤務時間数入力'!Y$7:Y$106,"常")</f>
        <v>0</v>
      </c>
      <c r="U16" s="61">
        <f>SUMIFS('②-2勤務時間数入力'!Y$7:Y$106,'②-1職員名簿'!AW$7:AW$106,"A",'②-1職員名簿'!$W$7:$W$106,$S$5)</f>
        <v>0</v>
      </c>
      <c r="V16" s="125">
        <f t="shared" si="0"/>
        <v>0</v>
      </c>
      <c r="W16" s="125">
        <f t="shared" si="1"/>
        <v>0</v>
      </c>
      <c r="X16" s="132" t="e">
        <f t="shared" si="2"/>
        <v>#DIV/0!</v>
      </c>
      <c r="Y16" s="193" t="e">
        <f t="shared" si="3"/>
        <v>#N/A</v>
      </c>
      <c r="Z16" s="194" t="e">
        <f t="shared" si="4"/>
        <v>#N/A</v>
      </c>
      <c r="AA16" s="239" t="e">
        <f t="shared" si="5"/>
        <v>#DIV/0!</v>
      </c>
      <c r="AB16" s="239" t="e">
        <f t="shared" si="6"/>
        <v>#DIV/0!</v>
      </c>
      <c r="AC16" s="133"/>
      <c r="AD16" s="134" t="e">
        <f>'④-2月別配置内訳書(2)-(2)-(B)'!AG16</f>
        <v>#N/A</v>
      </c>
      <c r="AE16" s="134" t="e">
        <f>'④-3月別配置内訳書(2)-(2)-(C)・(D)'!AC16</f>
        <v>#DIV/0!</v>
      </c>
      <c r="AF16" s="38"/>
      <c r="AG16" s="126">
        <v>11</v>
      </c>
      <c r="AH16" s="306" t="e">
        <f>IF(ROUNDDOWN(SUM(AA16,AD16,AE16),0)&gt;=B16,"○",B16-ROUNDDOWN(SUM(AA16,AD16,AE16),0))</f>
        <v>#DIV/0!</v>
      </c>
      <c r="AI16" s="138" t="e">
        <f t="shared" si="10"/>
        <v>#DIV/0!</v>
      </c>
      <c r="AK16" s="193" t="e">
        <f t="shared" si="7"/>
        <v>#N/A</v>
      </c>
      <c r="AL16" s="193" t="e">
        <f t="shared" si="8"/>
        <v>#N/A</v>
      </c>
      <c r="AN16" s="190">
        <v>241</v>
      </c>
      <c r="AO16" s="190">
        <v>3.5</v>
      </c>
    </row>
    <row r="17" spans="1:41" s="33" customFormat="1" ht="36" customHeight="1">
      <c r="A17" s="196">
        <v>12</v>
      </c>
      <c r="B17" s="125" t="e">
        <f>'③児童数及び職員定数 (2)-(1)'!T18</f>
        <v>#N/A</v>
      </c>
      <c r="C17" s="61">
        <f>COUNTIFS('②-1職員名簿'!AX$7:AX$106,"A",'②-2勤務時間数入力'!N$7:N$106,"正")</f>
        <v>0</v>
      </c>
      <c r="D17" s="61">
        <f>COUNTIFS('②-1職員名簿'!AX$7:AX$106,"A",'②-2勤務時間数入力'!$C$7:$C$106,"常勤的非常勤",'②-2勤務時間数入力'!Z$7:Z$106,"常")</f>
        <v>0</v>
      </c>
      <c r="E17" s="61">
        <f>SUMIFS('②-2勤務時間数入力'!Z$7:Z$106,'②-1職員名簿'!AX$7:AX$106,"A",'②-1職員名簿'!$C$7:$C$106,"パート")</f>
        <v>0</v>
      </c>
      <c r="F17" s="61">
        <f>COUNTIFS('②-1職員名簿'!AX$7:AX$106,"A",'②-2勤務時間数入力'!$C$7:$C$106,"嘱託常勤",'②-2勤務時間数入力'!Z$7:Z$106,"常")</f>
        <v>0</v>
      </c>
      <c r="G17" s="61">
        <f>SUMIFS('②-2勤務時間数入力'!Z$7:Z$106,'②-1職員名簿'!AX$7:AX$106,"A",'②-1職員名簿'!$C$7:$C$106,"嘱託等")</f>
        <v>0</v>
      </c>
      <c r="H17" s="128">
        <f>'②-2勤務時間数入力'!AH15</f>
        <v>0</v>
      </c>
      <c r="I17" s="129">
        <f>COUNTIFS('②-1職員名簿'!W7:W106,"園長",'②-1職員名簿'!AX$7:AX$106,"A",'②-1職員名簿'!AK$7:AK$106,"○")</f>
        <v>0</v>
      </c>
      <c r="J17" s="61">
        <f>COUNTIFS('②-1職員名簿'!AX$7:AX$106,"A",'②-1職員名簿'!$W$7:$W$106,$J$5,'②-2勤務時間数入力'!N$7:N$106,"正")</f>
        <v>0</v>
      </c>
      <c r="K17" s="61">
        <f>COUNTIFS('②-1職員名簿'!AX$7:AX$106,"A",'②-1職員名簿'!$W$7:$W$106,$J$5,'②-2勤務時間数入力'!Z$7:Z$106,"常")</f>
        <v>0</v>
      </c>
      <c r="L17" s="61">
        <f>SUMIFS('②-2勤務時間数入力'!Z$7:Z$106,'②-1職員名簿'!AX$7:AX$106,"A",'②-1職員名簿'!$W$7:$W$106,$J$5)</f>
        <v>0</v>
      </c>
      <c r="M17" s="61">
        <f>COUNTIFS('②-1職員名簿'!AX$7:AX$106,"A",'②-1職員名簿'!$W$7:$W$106,$M$5,'②-2勤務時間数入力'!N$7:N$106,"正")</f>
        <v>0</v>
      </c>
      <c r="N17" s="61">
        <f>COUNTIFS('②-1職員名簿'!AX$7:AX$106,"A",'②-1職員名簿'!$W$7:$W$106,$M$5,'②-2勤務時間数入力'!Z$7:Z$106,"常")</f>
        <v>0</v>
      </c>
      <c r="O17" s="61">
        <f>SUMIFS('②-2勤務時間数入力'!Z$7:Z$106,'②-1職員名簿'!AX$7:AX$106,"A",'②-1職員名簿'!$W$7:$W$106,$M$5)</f>
        <v>0</v>
      </c>
      <c r="P17" s="61">
        <f>COUNTIFS('②-1職員名簿'!AX$7:AX$106,"A",'②-1職員名簿'!$W$7:$W$106,$P$5,'②-2勤務時間数入力'!N$7:N$106,"正")</f>
        <v>0</v>
      </c>
      <c r="Q17" s="61">
        <f>COUNTIFS('②-1職員名簿'!AX$7:AX$106,"A",'②-1職員名簿'!$W$7:$W$106,$P$5,'②-2勤務時間数入力'!Z$7:Z$106,"常")</f>
        <v>0</v>
      </c>
      <c r="R17" s="61">
        <f>SUMIFS('②-2勤務時間数入力'!Z$7:Z$106,'②-1職員名簿'!AX$7:AX$106,"A",'②-1職員名簿'!$W$7:$W$106,$P$5)</f>
        <v>0</v>
      </c>
      <c r="S17" s="61">
        <f>COUNTIFS('②-1職員名簿'!AX$7:AX$106,"A",'②-1職員名簿'!$W$7:$W$106,$S$5,'②-2勤務時間数入力'!N$7:N$106,"正")</f>
        <v>0</v>
      </c>
      <c r="T17" s="61">
        <f>COUNTIFS('②-1職員名簿'!AX$7:AX$106,"A",'②-1職員名簿'!$W$7:$W$106,$S$5,'②-2勤務時間数入力'!Z$7:Z$106,"常")</f>
        <v>0</v>
      </c>
      <c r="U17" s="61">
        <f>SUMIFS('②-2勤務時間数入力'!Z$7:Z$106,'②-1職員名簿'!AX$7:AX$106,"A",'②-1職員名簿'!$W$7:$W$106,$S$5)</f>
        <v>0</v>
      </c>
      <c r="V17" s="125">
        <f t="shared" si="0"/>
        <v>0</v>
      </c>
      <c r="W17" s="125">
        <f t="shared" si="1"/>
        <v>0</v>
      </c>
      <c r="X17" s="132" t="e">
        <f t="shared" si="2"/>
        <v>#DIV/0!</v>
      </c>
      <c r="Y17" s="193" t="e">
        <f t="shared" si="3"/>
        <v>#N/A</v>
      </c>
      <c r="Z17" s="194" t="e">
        <f t="shared" si="4"/>
        <v>#N/A</v>
      </c>
      <c r="AA17" s="239" t="e">
        <f t="shared" si="5"/>
        <v>#DIV/0!</v>
      </c>
      <c r="AB17" s="239" t="e">
        <f t="shared" si="6"/>
        <v>#DIV/0!</v>
      </c>
      <c r="AC17" s="133"/>
      <c r="AD17" s="134" t="e">
        <f>'④-2月別配置内訳書(2)-(2)-(B)'!AG17</f>
        <v>#N/A</v>
      </c>
      <c r="AE17" s="134" t="e">
        <f>'④-3月別配置内訳書(2)-(2)-(C)・(D)'!AC17</f>
        <v>#DIV/0!</v>
      </c>
      <c r="AF17" s="38"/>
      <c r="AG17" s="126">
        <v>12</v>
      </c>
      <c r="AH17" s="306" t="e">
        <f t="shared" si="9"/>
        <v>#DIV/0!</v>
      </c>
      <c r="AI17" s="138" t="e">
        <f t="shared" si="10"/>
        <v>#DIV/0!</v>
      </c>
      <c r="AK17" s="193" t="e">
        <f t="shared" si="7"/>
        <v>#N/A</v>
      </c>
      <c r="AL17" s="193" t="e">
        <f t="shared" si="8"/>
        <v>#N/A</v>
      </c>
      <c r="AN17" s="190">
        <v>271</v>
      </c>
      <c r="AO17" s="190">
        <v>5</v>
      </c>
    </row>
    <row r="18" spans="1:41" s="33" customFormat="1" ht="36" customHeight="1">
      <c r="A18" s="196">
        <v>1</v>
      </c>
      <c r="B18" s="125" t="e">
        <f>'③児童数及び職員定数 (2)-(1)'!T19</f>
        <v>#N/A</v>
      </c>
      <c r="C18" s="61">
        <f>COUNTIFS('②-1職員名簿'!AY$7:AY$106,"A",'②-2勤務時間数入力'!O$7:O$106,"正")</f>
        <v>0</v>
      </c>
      <c r="D18" s="61">
        <f>COUNTIFS('②-1職員名簿'!AY$7:AY$106,"A",'②-2勤務時間数入力'!$C$7:$C$106,"常勤的非常勤",'②-2勤務時間数入力'!AA$7:AA$106,"常")</f>
        <v>0</v>
      </c>
      <c r="E18" s="61">
        <f>SUMIFS('②-2勤務時間数入力'!AA$7:AA$106,'②-1職員名簿'!AY$7:AY$106,"A",'②-1職員名簿'!$C$7:$C$106,"パート")</f>
        <v>0</v>
      </c>
      <c r="F18" s="61">
        <f>COUNTIFS('②-1職員名簿'!AY$7:AY$106,"A",'②-2勤務時間数入力'!$C$7:$C$106,"嘱託常勤",'②-2勤務時間数入力'!AA$7:AA$106,"常")</f>
        <v>0</v>
      </c>
      <c r="G18" s="61">
        <f>SUMIFS('②-2勤務時間数入力'!AA$7:AA$106,'②-1職員名簿'!AY$7:AY$106,"A",'②-1職員名簿'!$C$7:$C$106,"嘱託等")</f>
        <v>0</v>
      </c>
      <c r="H18" s="128">
        <f>'②-2勤務時間数入力'!AH16</f>
        <v>0</v>
      </c>
      <c r="I18" s="129">
        <f>COUNTIFS('②-1職員名簿'!W7:W106,"園長",'②-1職員名簿'!AY$7:AY$106,"A",'②-1職員名簿'!AL$7:AL$106,"○")</f>
        <v>0</v>
      </c>
      <c r="J18" s="61">
        <f>COUNTIFS('②-1職員名簿'!AY$7:AY$106,"A",'②-1職員名簿'!$W$7:$W$106,$J$5,'②-2勤務時間数入力'!O$7:O$106,"正")</f>
        <v>0</v>
      </c>
      <c r="K18" s="61">
        <f>COUNTIFS('②-1職員名簿'!AY$7:AY$106,"A",'②-1職員名簿'!$W$7:$W$106,$J$5,'②-2勤務時間数入力'!AA$7:AA$106,"常")</f>
        <v>0</v>
      </c>
      <c r="L18" s="61">
        <f>SUMIFS('②-2勤務時間数入力'!AA$7:AA$106,'②-1職員名簿'!AY$7:AY$106,"A",'②-1職員名簿'!$W$7:$W$106,$J$5)</f>
        <v>0</v>
      </c>
      <c r="M18" s="61">
        <f>COUNTIFS('②-1職員名簿'!AY$7:AY$106,"A",'②-1職員名簿'!$W$7:$W$106,$M$5,'②-2勤務時間数入力'!O$7:O$106,"正")</f>
        <v>0</v>
      </c>
      <c r="N18" s="61">
        <f>COUNTIFS('②-1職員名簿'!AY$7:AY$106,"A",'②-1職員名簿'!$W$7:$W$106,$M$5,'②-2勤務時間数入力'!AA$7:AA$106,"常")</f>
        <v>0</v>
      </c>
      <c r="O18" s="61">
        <f>SUMIFS('②-2勤務時間数入力'!AA$7:AA$106,'②-1職員名簿'!AY$7:AY$106,"A",'②-1職員名簿'!$W$7:$W$106,$M$5)</f>
        <v>0</v>
      </c>
      <c r="P18" s="61">
        <f>COUNTIFS('②-1職員名簿'!AY$7:AY$106,"A",'②-1職員名簿'!$W$7:$W$106,$P$5,'②-2勤務時間数入力'!O$7:O$106,"正")</f>
        <v>0</v>
      </c>
      <c r="Q18" s="61">
        <f>COUNTIFS('②-1職員名簿'!AY$7:AY$106,"A",'②-1職員名簿'!$W$7:$W$106,$P$5,'②-2勤務時間数入力'!AA$7:AA$106,"常")</f>
        <v>0</v>
      </c>
      <c r="R18" s="61">
        <f>SUMIFS('②-2勤務時間数入力'!AA$7:AA$106,'②-1職員名簿'!AY$7:AY$106,"A",'②-1職員名簿'!$W$7:$W$106,$P$5)</f>
        <v>0</v>
      </c>
      <c r="S18" s="61">
        <f>COUNTIFS('②-1職員名簿'!AY$7:AY$106,"A",'②-1職員名簿'!$W$7:$W$106,$S$5,'②-2勤務時間数入力'!O$7:O$106,"正")</f>
        <v>0</v>
      </c>
      <c r="T18" s="61">
        <f>COUNTIFS('②-1職員名簿'!AY$7:AY$106,"A",'②-1職員名簿'!$W$7:$W$106,$S$5,'②-2勤務時間数入力'!AA$7:AA$106,"常")</f>
        <v>0</v>
      </c>
      <c r="U18" s="61">
        <f>SUMIFS('②-2勤務時間数入力'!AA$7:AA$106,'②-1職員名簿'!AY$7:AY$106,"A",'②-1職員名簿'!$W$7:$W$106,$S$5)</f>
        <v>0</v>
      </c>
      <c r="V18" s="125">
        <f t="shared" si="0"/>
        <v>0</v>
      </c>
      <c r="W18" s="125">
        <f t="shared" si="1"/>
        <v>0</v>
      </c>
      <c r="X18" s="132" t="e">
        <f t="shared" si="2"/>
        <v>#DIV/0!</v>
      </c>
      <c r="Y18" s="193" t="e">
        <f t="shared" si="3"/>
        <v>#N/A</v>
      </c>
      <c r="Z18" s="194" t="e">
        <f t="shared" si="4"/>
        <v>#N/A</v>
      </c>
      <c r="AA18" s="239" t="e">
        <f t="shared" si="5"/>
        <v>#DIV/0!</v>
      </c>
      <c r="AB18" s="239" t="e">
        <f t="shared" si="6"/>
        <v>#DIV/0!</v>
      </c>
      <c r="AC18" s="133"/>
      <c r="AD18" s="134" t="e">
        <f>'④-2月別配置内訳書(2)-(2)-(B)'!AG18</f>
        <v>#N/A</v>
      </c>
      <c r="AE18" s="134" t="e">
        <f>'④-3月別配置内訳書(2)-(2)-(C)・(D)'!AC18</f>
        <v>#DIV/0!</v>
      </c>
      <c r="AF18" s="38"/>
      <c r="AG18" s="126">
        <v>1</v>
      </c>
      <c r="AH18" s="306" t="e">
        <f t="shared" si="9"/>
        <v>#DIV/0!</v>
      </c>
      <c r="AI18" s="138" t="e">
        <f t="shared" si="10"/>
        <v>#DIV/0!</v>
      </c>
      <c r="AK18" s="193" t="e">
        <f t="shared" si="7"/>
        <v>#N/A</v>
      </c>
      <c r="AL18" s="193" t="e">
        <f t="shared" si="8"/>
        <v>#N/A</v>
      </c>
      <c r="AN18" s="190">
        <v>301</v>
      </c>
      <c r="AO18" s="190">
        <v>6</v>
      </c>
    </row>
    <row r="19" spans="1:41" s="33" customFormat="1" ht="36" customHeight="1">
      <c r="A19" s="196">
        <v>2</v>
      </c>
      <c r="B19" s="125" t="e">
        <f>'③児童数及び職員定数 (2)-(1)'!T20</f>
        <v>#N/A</v>
      </c>
      <c r="C19" s="61">
        <f>COUNTIFS('②-1職員名簿'!AZ$7:AZ$106,"A",'②-2勤務時間数入力'!P$7:P$106,"正")</f>
        <v>0</v>
      </c>
      <c r="D19" s="61">
        <f>COUNTIFS('②-1職員名簿'!AZ$7:AZ$106,"A",'②-2勤務時間数入力'!$C$7:$C$106,"常勤的非常勤",'②-2勤務時間数入力'!AB$7:AB$106,"常")</f>
        <v>0</v>
      </c>
      <c r="E19" s="61">
        <f>SUMIFS('②-2勤務時間数入力'!AB$7:AB$106,'②-1職員名簿'!AZ$7:AZ$106,"A",'②-1職員名簿'!$C$7:$C$106,"パート")</f>
        <v>0</v>
      </c>
      <c r="F19" s="61">
        <f>COUNTIFS('②-1職員名簿'!AZ$7:AZ$106,"A",'②-2勤務時間数入力'!$C$7:$C$106,"嘱託常勤",'②-2勤務時間数入力'!AB$7:AB$106,"常")</f>
        <v>0</v>
      </c>
      <c r="G19" s="61">
        <f>SUMIFS('②-2勤務時間数入力'!AB$7:AB$106,'②-1職員名簿'!AZ$7:AZ$106,"A",'②-1職員名簿'!$C$7:$C$106,"嘱託等")</f>
        <v>0</v>
      </c>
      <c r="H19" s="128">
        <f>'②-2勤務時間数入力'!AH17</f>
        <v>0</v>
      </c>
      <c r="I19" s="129">
        <f>COUNTIFS('②-1職員名簿'!W7:W106,"園長",'②-1職員名簿'!AZ$7:AZ$106,"A",'②-1職員名簿'!AM$7:AM$106,"○")</f>
        <v>0</v>
      </c>
      <c r="J19" s="61">
        <f>COUNTIFS('②-1職員名簿'!AZ$7:AZ$106,"A",'②-1職員名簿'!$W$7:$W$106,$J$5,'②-2勤務時間数入力'!P$7:P$106,"正")</f>
        <v>0</v>
      </c>
      <c r="K19" s="61">
        <f>COUNTIFS('②-1職員名簿'!AZ$7:AZ$106,"A",'②-1職員名簿'!$W$7:$W$106,$J$5,'②-2勤務時間数入力'!AB$7:AB$106,"常")</f>
        <v>0</v>
      </c>
      <c r="L19" s="61">
        <f>SUMIFS('②-2勤務時間数入力'!AB$7:AB$106,'②-1職員名簿'!AZ$7:AZ$106,"A",'②-1職員名簿'!$W$7:$W$106,$J$5)</f>
        <v>0</v>
      </c>
      <c r="M19" s="61">
        <f>COUNTIFS('②-1職員名簿'!AZ$7:AZ$106,"A",'②-1職員名簿'!$W$7:$W$106,$M$5,'②-2勤務時間数入力'!P$7:P$106,"正")</f>
        <v>0</v>
      </c>
      <c r="N19" s="61">
        <f>COUNTIFS('②-1職員名簿'!AZ$7:AZ$106,"A",'②-1職員名簿'!$W$7:$W$106,$M$5,'②-2勤務時間数入力'!AB$7:AB$106,"常")</f>
        <v>0</v>
      </c>
      <c r="O19" s="61">
        <f>SUMIFS('②-2勤務時間数入力'!AB$7:AB$106,'②-1職員名簿'!AZ$7:AZ$106,"A",'②-1職員名簿'!$W$7:$W$106,$M$5)</f>
        <v>0</v>
      </c>
      <c r="P19" s="61">
        <f>COUNTIFS('②-1職員名簿'!AZ$7:AZ$106,"A",'②-1職員名簿'!$W$7:$W$106,$P$5,'②-2勤務時間数入力'!P$7:P$106,"正")</f>
        <v>0</v>
      </c>
      <c r="Q19" s="61">
        <f>COUNTIFS('②-1職員名簿'!AZ$7:AZ$106,"A",'②-1職員名簿'!$W$7:$W$106,$P$5,'②-2勤務時間数入力'!AB$7:AB$106,"常")</f>
        <v>0</v>
      </c>
      <c r="R19" s="61">
        <f>SUMIFS('②-2勤務時間数入力'!AB$7:AB$106,'②-1職員名簿'!AZ$7:AZ$106,"A",'②-1職員名簿'!$W$7:$W$106,$P$5)</f>
        <v>0</v>
      </c>
      <c r="S19" s="61">
        <f>COUNTIFS('②-1職員名簿'!AZ$7:AZ$106,"A",'②-1職員名簿'!$W$7:$W$106,$S$5,'②-2勤務時間数入力'!P$7:P$106,"正")</f>
        <v>0</v>
      </c>
      <c r="T19" s="61">
        <f>COUNTIFS('②-1職員名簿'!AZ$7:AZ$106,"A",'②-1職員名簿'!$W$7:$W$106,$S$5,'②-2勤務時間数入力'!AB$7:AB$106,"常")</f>
        <v>0</v>
      </c>
      <c r="U19" s="61">
        <f>SUMIFS('②-2勤務時間数入力'!AB$7:AB$106,'②-1職員名簿'!AZ$7:AZ$106,"A",'②-1職員名簿'!$W$7:$W$106,$S$5)</f>
        <v>0</v>
      </c>
      <c r="V19" s="125">
        <f t="shared" si="0"/>
        <v>0</v>
      </c>
      <c r="W19" s="125">
        <f t="shared" si="1"/>
        <v>0</v>
      </c>
      <c r="X19" s="132" t="e">
        <f t="shared" si="2"/>
        <v>#DIV/0!</v>
      </c>
      <c r="Y19" s="193" t="e">
        <f t="shared" si="3"/>
        <v>#N/A</v>
      </c>
      <c r="Z19" s="194" t="e">
        <f t="shared" si="4"/>
        <v>#N/A</v>
      </c>
      <c r="AA19" s="239" t="e">
        <f t="shared" si="5"/>
        <v>#DIV/0!</v>
      </c>
      <c r="AB19" s="239" t="e">
        <f t="shared" si="6"/>
        <v>#DIV/0!</v>
      </c>
      <c r="AC19" s="133"/>
      <c r="AD19" s="134" t="e">
        <f>'④-2月別配置内訳書(2)-(2)-(B)'!AG19</f>
        <v>#N/A</v>
      </c>
      <c r="AE19" s="134" t="e">
        <f>'④-3月別配置内訳書(2)-(2)-(C)・(D)'!AC19</f>
        <v>#DIV/0!</v>
      </c>
      <c r="AF19" s="38"/>
      <c r="AG19" s="126">
        <v>2</v>
      </c>
      <c r="AH19" s="306" t="e">
        <f t="shared" si="9"/>
        <v>#DIV/0!</v>
      </c>
      <c r="AI19" s="138" t="e">
        <f t="shared" si="10"/>
        <v>#DIV/0!</v>
      </c>
      <c r="AK19" s="193" t="e">
        <f t="shared" si="7"/>
        <v>#N/A</v>
      </c>
      <c r="AL19" s="193" t="e">
        <f t="shared" si="8"/>
        <v>#N/A</v>
      </c>
      <c r="AN19" s="190">
        <v>451</v>
      </c>
      <c r="AO19" s="190">
        <v>8</v>
      </c>
    </row>
    <row r="20" spans="1:41" s="33" customFormat="1" ht="36" customHeight="1">
      <c r="A20" s="196">
        <v>3</v>
      </c>
      <c r="B20" s="125" t="e">
        <f>'③児童数及び職員定数 (2)-(1)'!T21</f>
        <v>#N/A</v>
      </c>
      <c r="C20" s="61">
        <f>COUNTIFS('②-1職員名簿'!BA$7:BA$106,"A",'②-2勤務時間数入力'!Q$7:Q$106,"正")</f>
        <v>0</v>
      </c>
      <c r="D20" s="61">
        <f>COUNTIFS('②-1職員名簿'!BA$7:BA$106,"A",'②-2勤務時間数入力'!$C$7:$C$106,"常勤的非常勤",'②-2勤務時間数入力'!AC$7:AC$106,"常")</f>
        <v>0</v>
      </c>
      <c r="E20" s="61">
        <f>SUMIFS('②-2勤務時間数入力'!AC$7:AC$106,'②-1職員名簿'!BA$7:BA$106,"A",'②-1職員名簿'!$C$7:$C$106,"パート")</f>
        <v>0</v>
      </c>
      <c r="F20" s="61">
        <f>COUNTIFS('②-1職員名簿'!BA$7:BA$106,"A",'②-2勤務時間数入力'!$C$7:$C$106,"嘱託常勤",'②-2勤務時間数入力'!AC$7:AC$106,"常")</f>
        <v>0</v>
      </c>
      <c r="G20" s="61">
        <f>SUMIFS('②-2勤務時間数入力'!AC$7:AC$106,'②-1職員名簿'!BA$7:BA$106,"A",'②-1職員名簿'!$C$7:$C$106,"嘱託等")</f>
        <v>0</v>
      </c>
      <c r="H20" s="128">
        <f>'②-2勤務時間数入力'!AH18</f>
        <v>0</v>
      </c>
      <c r="I20" s="128">
        <f>COUNTIFS('②-1職員名簿'!W7:W106,"園長",'②-1職員名簿'!BA$7:BA$106,"A",'②-1職員名簿'!AN$7:AN$106,"○")</f>
        <v>0</v>
      </c>
      <c r="J20" s="61">
        <f>COUNTIFS('②-1職員名簿'!BA$7:BA$106,"A",'②-1職員名簿'!$W$7:$W$106,$J$5,'②-2勤務時間数入力'!Q$7:Q$106,"正")</f>
        <v>0</v>
      </c>
      <c r="K20" s="61">
        <f>COUNTIFS('②-1職員名簿'!BA$7:BA$106,"A",'②-1職員名簿'!$W$7:$W$106,$J$5,'②-2勤務時間数入力'!AC$7:AC$106,"常")</f>
        <v>0</v>
      </c>
      <c r="L20" s="61">
        <f>SUMIFS('②-2勤務時間数入力'!AC$7:AC$106,'②-1職員名簿'!BA$7:BA$106,"A",'②-1職員名簿'!$W$7:$W$106,$J$5)</f>
        <v>0</v>
      </c>
      <c r="M20" s="61">
        <f>COUNTIFS('②-1職員名簿'!BA$7:BA$106,"A",'②-1職員名簿'!$W$7:$W$106,$M$5,'②-2勤務時間数入力'!Q$7:Q$106,"正")</f>
        <v>0</v>
      </c>
      <c r="N20" s="61">
        <f>COUNTIFS('②-1職員名簿'!BA$7:BA$106,"A",'②-1職員名簿'!$W$7:$W$106,$M$5,'②-2勤務時間数入力'!AC$7:AC$106,"常")</f>
        <v>0</v>
      </c>
      <c r="O20" s="61">
        <f>SUMIFS('②-2勤務時間数入力'!AC$7:AC$106,'②-1職員名簿'!BA$7:BA$106,"A",'②-1職員名簿'!$W$7:$W$106,$M$5)</f>
        <v>0</v>
      </c>
      <c r="P20" s="61">
        <f>COUNTIFS('②-1職員名簿'!BA$7:BA$106,"A",'②-1職員名簿'!$W$7:$W$106,$P$5,'②-2勤務時間数入力'!Q$7:Q$106,"正")</f>
        <v>0</v>
      </c>
      <c r="Q20" s="61">
        <f>COUNTIFS('②-1職員名簿'!BA$7:BA$106,"A",'②-1職員名簿'!$W$7:$W$106,$P$5,'②-2勤務時間数入力'!AC$7:AC$106,"常")</f>
        <v>0</v>
      </c>
      <c r="R20" s="61">
        <f>SUMIFS('②-2勤務時間数入力'!AC$7:AC$106,'②-1職員名簿'!BA$7:BA$106,"A",'②-1職員名簿'!$W$7:$W$106,$P$5)</f>
        <v>0</v>
      </c>
      <c r="S20" s="61">
        <f>COUNTIFS('②-1職員名簿'!BA$7:BA$106,"A",'②-1職員名簿'!$W$7:$W$106,$S$5,'②-2勤務時間数入力'!Q$7:Q$106,"正")</f>
        <v>0</v>
      </c>
      <c r="T20" s="61">
        <f>COUNTIFS('②-1職員名簿'!BA$7:BA$106,"A",'②-1職員名簿'!$W$7:$W$106,$S$5,'②-2勤務時間数入力'!AC$7:AC$106,"常")</f>
        <v>0</v>
      </c>
      <c r="U20" s="61">
        <f>SUMIFS('②-2勤務時間数入力'!AC$7:AC$106,'②-1職員名簿'!BA$7:BA$106,"A",'②-1職員名簿'!$W$7:$W$106,$S$5)</f>
        <v>0</v>
      </c>
      <c r="V20" s="125">
        <f t="shared" si="0"/>
        <v>0</v>
      </c>
      <c r="W20" s="125">
        <f t="shared" si="1"/>
        <v>0</v>
      </c>
      <c r="X20" s="132" t="e">
        <f t="shared" si="2"/>
        <v>#DIV/0!</v>
      </c>
      <c r="Y20" s="193" t="e">
        <f t="shared" si="3"/>
        <v>#N/A</v>
      </c>
      <c r="Z20" s="194" t="e">
        <f t="shared" si="4"/>
        <v>#N/A</v>
      </c>
      <c r="AA20" s="239" t="e">
        <f t="shared" si="5"/>
        <v>#DIV/0!</v>
      </c>
      <c r="AB20" s="239" t="e">
        <f t="shared" si="6"/>
        <v>#DIV/0!</v>
      </c>
      <c r="AC20" s="133"/>
      <c r="AD20" s="134" t="e">
        <f>'④-2月別配置内訳書(2)-(2)-(B)'!AG20</f>
        <v>#N/A</v>
      </c>
      <c r="AE20" s="134" t="e">
        <f>'④-3月別配置内訳書(2)-(2)-(C)・(D)'!AC20</f>
        <v>#DIV/0!</v>
      </c>
      <c r="AF20" s="38"/>
      <c r="AG20" s="126">
        <v>3</v>
      </c>
      <c r="AH20" s="306" t="e">
        <f t="shared" si="9"/>
        <v>#DIV/0!</v>
      </c>
      <c r="AI20" s="138" t="e">
        <f t="shared" si="10"/>
        <v>#DIV/0!</v>
      </c>
      <c r="AK20" s="193" t="e">
        <f t="shared" si="7"/>
        <v>#N/A</v>
      </c>
      <c r="AL20" s="193" t="e">
        <f t="shared" si="8"/>
        <v>#N/A</v>
      </c>
    </row>
    <row r="21" spans="1:41" s="33" customFormat="1" ht="18.75" customHeight="1">
      <c r="A21" s="34"/>
      <c r="B21" s="35"/>
      <c r="C21" s="36"/>
      <c r="D21" s="42"/>
      <c r="E21" s="42"/>
      <c r="F21" s="42"/>
      <c r="G21" s="42"/>
      <c r="H21" s="36"/>
      <c r="I21" s="36"/>
      <c r="J21" s="38"/>
      <c r="K21" s="42"/>
      <c r="L21" s="42"/>
      <c r="M21" s="38"/>
      <c r="N21" s="42"/>
      <c r="O21" s="42"/>
      <c r="P21" s="38"/>
      <c r="Q21" s="42"/>
      <c r="R21" s="42"/>
      <c r="S21" s="38"/>
      <c r="T21" s="42"/>
      <c r="U21" s="42"/>
      <c r="V21" s="39"/>
      <c r="W21" s="45"/>
      <c r="X21" s="45"/>
      <c r="Y21" s="45"/>
      <c r="Z21" s="45"/>
      <c r="AA21" s="45"/>
      <c r="AB21" s="45"/>
      <c r="AC21" s="45"/>
      <c r="AD21" s="38"/>
      <c r="AE21" s="46"/>
      <c r="AF21" s="38"/>
      <c r="AG21" s="36"/>
      <c r="AH21" s="42"/>
      <c r="AI21" s="45"/>
      <c r="AJ21" s="38"/>
    </row>
    <row r="22" spans="1:41" s="33" customFormat="1" ht="18.75" customHeight="1">
      <c r="A22" s="41" t="s">
        <v>174</v>
      </c>
      <c r="B22" s="42" t="s">
        <v>175</v>
      </c>
      <c r="C22" s="42"/>
      <c r="D22" s="37"/>
      <c r="E22" s="37"/>
      <c r="F22" s="37"/>
      <c r="G22" s="37"/>
      <c r="H22" s="42"/>
      <c r="I22" s="42"/>
      <c r="J22" s="44"/>
      <c r="K22" s="37"/>
      <c r="L22" s="37"/>
      <c r="M22" s="42"/>
      <c r="N22" s="37"/>
      <c r="O22" s="37"/>
      <c r="P22" s="42"/>
      <c r="Q22" s="37"/>
      <c r="R22" s="37"/>
      <c r="S22" s="42"/>
      <c r="T22" s="37"/>
      <c r="U22" s="37"/>
      <c r="V22" s="45"/>
      <c r="W22" s="37"/>
      <c r="X22" s="37"/>
      <c r="Y22" s="37"/>
      <c r="Z22" s="37"/>
      <c r="AA22" s="37"/>
      <c r="AB22" s="37"/>
      <c r="AC22" s="37"/>
      <c r="AD22" s="37"/>
      <c r="AE22" s="37"/>
      <c r="AF22" s="38"/>
      <c r="AG22" s="42"/>
      <c r="AH22" s="37"/>
      <c r="AI22" s="37"/>
      <c r="AJ22" s="38"/>
    </row>
    <row r="23" spans="1:41" s="33" customFormat="1" ht="18.75" customHeight="1">
      <c r="A23" s="41" t="s">
        <v>176</v>
      </c>
      <c r="B23" s="47" t="s">
        <v>721</v>
      </c>
      <c r="C23" s="37"/>
      <c r="D23" s="42"/>
      <c r="E23" s="42"/>
      <c r="F23" s="42"/>
      <c r="G23" s="42"/>
      <c r="H23" s="37"/>
      <c r="I23" s="37"/>
      <c r="J23" s="37"/>
      <c r="K23" s="44"/>
      <c r="L23" s="44"/>
      <c r="M23" s="37"/>
      <c r="N23" s="44"/>
      <c r="O23" s="44"/>
      <c r="P23" s="37"/>
      <c r="Q23" s="44"/>
      <c r="R23" s="44"/>
      <c r="S23" s="37"/>
      <c r="T23" s="44"/>
      <c r="U23" s="44"/>
      <c r="V23" s="37"/>
      <c r="W23" s="45"/>
      <c r="X23" s="45"/>
      <c r="Y23" s="45"/>
      <c r="Z23" s="45"/>
      <c r="AA23" s="45"/>
      <c r="AB23" s="45"/>
      <c r="AC23" s="45"/>
      <c r="AD23" s="38"/>
      <c r="AE23" s="46"/>
      <c r="AF23" s="37"/>
      <c r="AG23" s="37"/>
      <c r="AH23" s="42"/>
      <c r="AI23" s="45"/>
      <c r="AJ23" s="37"/>
    </row>
    <row r="24" spans="1:41" ht="18.75" customHeight="1">
      <c r="A24" s="41" t="s">
        <v>177</v>
      </c>
      <c r="B24" s="42" t="s">
        <v>178</v>
      </c>
      <c r="C24" s="42"/>
      <c r="H24" s="42"/>
      <c r="I24" s="42"/>
      <c r="J24" s="44"/>
      <c r="K24" s="38"/>
      <c r="L24" s="38"/>
      <c r="M24" s="44"/>
      <c r="N24" s="38"/>
      <c r="O24" s="38"/>
      <c r="P24" s="44"/>
      <c r="Q24" s="38"/>
      <c r="R24" s="38"/>
      <c r="S24" s="44"/>
      <c r="T24" s="38"/>
      <c r="U24" s="38"/>
      <c r="V24" s="45"/>
      <c r="W24" s="39"/>
      <c r="X24" s="39"/>
      <c r="Y24" s="39"/>
      <c r="Z24" s="39"/>
      <c r="AA24" s="39"/>
      <c r="AB24" s="39"/>
      <c r="AC24" s="39"/>
      <c r="AD24" s="38"/>
      <c r="AF24" s="38"/>
      <c r="AG24" s="42"/>
      <c r="AI24" s="39"/>
      <c r="AJ24" s="38"/>
    </row>
    <row r="25" spans="1:41" ht="18.75" customHeight="1">
      <c r="A25" s="35"/>
      <c r="J25" s="38"/>
      <c r="M25" s="38"/>
      <c r="P25" s="38"/>
      <c r="S25" s="38"/>
      <c r="V25" s="39"/>
      <c r="AF25" s="38"/>
      <c r="AJ25" s="38"/>
    </row>
    <row r="26" spans="1:41" ht="25" customHeight="1">
      <c r="F26" s="48"/>
      <c r="I26" s="645" t="s">
        <v>321</v>
      </c>
      <c r="J26" s="645"/>
      <c r="K26" s="645"/>
      <c r="L26" s="645"/>
      <c r="M26" s="645"/>
      <c r="N26" s="645"/>
      <c r="O26" s="645"/>
      <c r="P26" s="645"/>
      <c r="Q26" s="645"/>
      <c r="R26" s="645"/>
      <c r="S26" s="645"/>
      <c r="T26" s="645"/>
      <c r="U26" s="645"/>
      <c r="V26" s="645"/>
      <c r="W26" s="645"/>
      <c r="X26" s="645"/>
      <c r="Y26" s="645"/>
      <c r="Z26" s="645"/>
      <c r="AA26" s="645"/>
      <c r="AB26" s="644"/>
      <c r="AC26" s="644"/>
      <c r="AD26" s="644"/>
      <c r="AE26" s="644"/>
    </row>
    <row r="27" spans="1:41" ht="25" customHeight="1">
      <c r="B27" s="48"/>
      <c r="I27" s="645" t="s">
        <v>323</v>
      </c>
      <c r="J27" s="645"/>
      <c r="K27" s="645"/>
      <c r="L27" s="645"/>
      <c r="M27" s="645"/>
      <c r="N27" s="645"/>
      <c r="O27" s="645"/>
      <c r="P27" s="645"/>
      <c r="Q27" s="645"/>
      <c r="R27" s="645"/>
      <c r="S27" s="645"/>
      <c r="T27" s="645"/>
      <c r="U27" s="645"/>
      <c r="V27" s="645"/>
      <c r="W27" s="645"/>
      <c r="X27" s="645"/>
      <c r="Y27" s="645"/>
      <c r="Z27" s="645"/>
      <c r="AA27" s="645"/>
      <c r="AB27" s="644"/>
      <c r="AC27" s="644"/>
      <c r="AD27" s="644"/>
      <c r="AE27" s="644"/>
    </row>
    <row r="28" spans="1:41" ht="25" customHeight="1">
      <c r="B28" s="48"/>
      <c r="I28" s="645" t="s">
        <v>322</v>
      </c>
      <c r="J28" s="645"/>
      <c r="K28" s="645"/>
      <c r="L28" s="645"/>
      <c r="M28" s="645"/>
      <c r="N28" s="645"/>
      <c r="O28" s="645"/>
      <c r="P28" s="645"/>
      <c r="Q28" s="645"/>
      <c r="R28" s="645"/>
      <c r="S28" s="645"/>
      <c r="T28" s="645"/>
      <c r="U28" s="645"/>
      <c r="V28" s="645"/>
      <c r="W28" s="645"/>
      <c r="X28" s="645"/>
      <c r="Y28" s="645"/>
      <c r="Z28" s="645"/>
      <c r="AA28" s="645"/>
      <c r="AB28" s="644"/>
      <c r="AC28" s="644"/>
      <c r="AD28" s="644"/>
      <c r="AE28" s="644"/>
    </row>
    <row r="29" spans="1:41" ht="25" customHeight="1">
      <c r="B29" s="48"/>
      <c r="I29" s="645" t="s">
        <v>324</v>
      </c>
      <c r="J29" s="645"/>
      <c r="K29" s="645"/>
      <c r="L29" s="645"/>
      <c r="M29" s="645"/>
      <c r="N29" s="645"/>
      <c r="O29" s="645"/>
      <c r="P29" s="645"/>
      <c r="Q29" s="645"/>
      <c r="R29" s="645"/>
      <c r="S29" s="645"/>
      <c r="T29" s="645"/>
      <c r="U29" s="645"/>
      <c r="V29" s="645"/>
      <c r="W29" s="645"/>
      <c r="X29" s="645"/>
      <c r="Y29" s="645"/>
      <c r="Z29" s="645"/>
      <c r="AA29" s="645"/>
      <c r="AB29" s="644"/>
      <c r="AC29" s="644"/>
      <c r="AD29" s="644"/>
      <c r="AE29" s="644"/>
    </row>
    <row r="30" spans="1:41" ht="25" customHeight="1">
      <c r="B30" s="48"/>
      <c r="I30" s="645"/>
      <c r="J30" s="645"/>
      <c r="K30" s="645"/>
      <c r="L30" s="645"/>
      <c r="M30" s="645"/>
      <c r="N30" s="645"/>
      <c r="O30" s="645"/>
      <c r="P30" s="645"/>
      <c r="Q30" s="645"/>
      <c r="R30" s="645"/>
      <c r="S30" s="645"/>
      <c r="T30" s="645"/>
      <c r="U30" s="645"/>
      <c r="V30" s="645"/>
      <c r="W30" s="645"/>
      <c r="X30" s="645"/>
      <c r="Y30" s="645"/>
      <c r="Z30" s="645"/>
      <c r="AA30" s="645"/>
      <c r="AB30" s="644"/>
      <c r="AC30" s="644"/>
      <c r="AD30" s="644"/>
      <c r="AE30" s="644"/>
    </row>
    <row r="31" spans="1:41" ht="25" customHeight="1">
      <c r="B31" s="48"/>
      <c r="AE31" s="36"/>
    </row>
    <row r="32" spans="1:41" ht="25" customHeight="1">
      <c r="B32" s="48"/>
      <c r="F32" s="48"/>
      <c r="AE32" s="36"/>
    </row>
    <row r="33" spans="2:31" ht="25" customHeight="1">
      <c r="B33" s="48"/>
      <c r="AE33" s="36"/>
    </row>
    <row r="34" spans="2:31" ht="25" customHeight="1">
      <c r="B34" s="48"/>
      <c r="F34" s="48"/>
      <c r="AE34" s="36"/>
    </row>
    <row r="35" spans="2:31" ht="25" customHeight="1">
      <c r="F35" s="48"/>
      <c r="AE35" s="36"/>
    </row>
    <row r="36" spans="2:31" ht="25" customHeight="1">
      <c r="AE36" s="36"/>
    </row>
    <row r="37" spans="2:31" ht="25" customHeight="1">
      <c r="AE37" s="36"/>
    </row>
    <row r="38" spans="2:31" ht="25" customHeight="1">
      <c r="AE38" s="36"/>
    </row>
    <row r="39" spans="2:31" ht="25" customHeight="1">
      <c r="AE39" s="36"/>
    </row>
    <row r="40" spans="2:31" ht="25" customHeight="1">
      <c r="AE40" s="36"/>
    </row>
    <row r="41" spans="2:31" ht="25" customHeight="1">
      <c r="AE41" s="36"/>
    </row>
    <row r="42" spans="2:31" ht="25" customHeight="1">
      <c r="AE42" s="36"/>
    </row>
    <row r="43" spans="2:31" ht="25" customHeight="1">
      <c r="AE43" s="36"/>
    </row>
    <row r="44" spans="2:31" ht="25" customHeight="1">
      <c r="AE44" s="36"/>
    </row>
    <row r="45" spans="2:31" ht="25" customHeight="1">
      <c r="AE45" s="36"/>
    </row>
    <row r="46" spans="2:31" ht="25" customHeight="1">
      <c r="D46" s="48"/>
      <c r="AE46" s="36"/>
    </row>
    <row r="47" spans="2:31" ht="25" customHeight="1">
      <c r="D47" s="48"/>
      <c r="AE47" s="36"/>
    </row>
    <row r="48" spans="2:31" ht="25" customHeight="1">
      <c r="AE48" s="36"/>
    </row>
    <row r="49" spans="2:31" ht="25" customHeight="1">
      <c r="B49" s="48"/>
      <c r="AE49" s="36"/>
    </row>
    <row r="50" spans="2:31" ht="25" customHeight="1">
      <c r="B50" s="48"/>
      <c r="F50" s="48"/>
      <c r="AE50" s="36"/>
    </row>
    <row r="51" spans="2:31" ht="25" customHeight="1">
      <c r="F51" s="48"/>
      <c r="AE51" s="36"/>
    </row>
    <row r="52" spans="2:31" ht="25" customHeight="1">
      <c r="E52" s="48"/>
      <c r="AE52" s="36"/>
    </row>
    <row r="53" spans="2:31" ht="25" customHeight="1">
      <c r="E53" s="48"/>
      <c r="AE53" s="36"/>
    </row>
    <row r="54" spans="2:31" ht="25" customHeight="1">
      <c r="AE54" s="36"/>
    </row>
    <row r="55" spans="2:31" ht="25" customHeight="1">
      <c r="B55" s="48"/>
    </row>
  </sheetData>
  <sheetProtection algorithmName="SHA-512" hashValue="eGYYnWfUgFeUzOk8vTDnysboiUhVH9qN3Xi2tHsvUoSe/cr50grpJ1BY8EnfWefS0umaE5IWQxkuOXud7Gq0kg==" saltValue="a4QzlmKcbZTze8nDa9SwZg==" spinCount="100000" sheet="1" selectLockedCells="1"/>
  <mergeCells count="50">
    <mergeCell ref="M6:M7"/>
    <mergeCell ref="N6:N7"/>
    <mergeCell ref="AE5:AE6"/>
    <mergeCell ref="O6:O7"/>
    <mergeCell ref="X2:Y2"/>
    <mergeCell ref="Z2:AI2"/>
    <mergeCell ref="AB4:AB6"/>
    <mergeCell ref="AG4:AI4"/>
    <mergeCell ref="AE7:AE8"/>
    <mergeCell ref="AG6:AG8"/>
    <mergeCell ref="AH6:AH8"/>
    <mergeCell ref="T6:T7"/>
    <mergeCell ref="U6:U7"/>
    <mergeCell ref="S5:U5"/>
    <mergeCell ref="AD5:AD6"/>
    <mergeCell ref="V5:X5"/>
    <mergeCell ref="I5:I7"/>
    <mergeCell ref="D6:D7"/>
    <mergeCell ref="E6:E7"/>
    <mergeCell ref="F6:F7"/>
    <mergeCell ref="J6:J7"/>
    <mergeCell ref="A4:A8"/>
    <mergeCell ref="B4:B6"/>
    <mergeCell ref="C4:G4"/>
    <mergeCell ref="H4:H7"/>
    <mergeCell ref="C5:E5"/>
    <mergeCell ref="F5:G5"/>
    <mergeCell ref="C6:C7"/>
    <mergeCell ref="G6:G7"/>
    <mergeCell ref="Y5:Y7"/>
    <mergeCell ref="Z5:Z7"/>
    <mergeCell ref="I4:AA4"/>
    <mergeCell ref="V6:V7"/>
    <mergeCell ref="W6:W7"/>
    <mergeCell ref="X6:X7"/>
    <mergeCell ref="AA5:AA7"/>
    <mergeCell ref="P6:P7"/>
    <mergeCell ref="Q6:Q7"/>
    <mergeCell ref="R6:R7"/>
    <mergeCell ref="S6:S7"/>
    <mergeCell ref="J5:L5"/>
    <mergeCell ref="M5:O5"/>
    <mergeCell ref="P5:R5"/>
    <mergeCell ref="K6:K7"/>
    <mergeCell ref="L6:L7"/>
    <mergeCell ref="AK4:AK7"/>
    <mergeCell ref="AG5:AI5"/>
    <mergeCell ref="AI6:AI8"/>
    <mergeCell ref="AD7:AD8"/>
    <mergeCell ref="AL4:AL7"/>
  </mergeCells>
  <phoneticPr fontId="1"/>
  <dataValidations count="4">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D131076:G131087 C131077:C131088 H131077:I131088 D196612:G196623 C196613:C196624 H196613:I196624 D262148:G262159 C262149:C262160 H262149:I262160 D327684:G327695 C327685:C327696 H327685:I327696 D393220:G393231 C393221:C393232 H393221:I393232 D458756:G458767 C458757:C458768 H458757:I458768 D524292:G524303 C524293:C524304 H524293:I524304 D589828:G589839 C589829:C589840 H589829:I589840 D655364:G655375 C655365:C655376 H655365:I655376 D720900:G720911 C720901:C720912 H720901:I720912 D786436:G786447 C786437:C786448 H786437:I786448 D851972:G851983 C851973:C851984 H851973:I851984 D917508:G917519 C917509:C917520 H917509:I917520 D983044:G983055 C983045:C983056 H983045:I983056 D65540:G65551 C65541:C65552 H65541:I65552 AH983044:AH983055 AG983045:AG983056 AH65540:AH65551 AG65541:AG65552 AH131076:AH131087 AG131077:AG131088 AH196612:AH196623 AG196613:AG196624 AH262148:AH262159 AG262149:AG262160 AH327684:AH327695 AG327685:AG327696 AH393220:AH393231 AG393221:AG393232 AH458756:AH458767 AG458757:AG458768 AH524292:AH524303 AG524293:AG524304 AH589828:AH589839 AG589829:AG589840 AH655364:AH655375 AG655365:AG655376 AH720900:AH720911 AG720901:AG720912 AH786436:AH786447 AG786437:AG786448 AH851972:AH851983 AG851973:AG851984 AH917508:AH917519 AG917509:AG917520" xr:uid="{8ACAB8D5-C28C-48F5-B2DE-D7F6D37C9753}"/>
    <dataValidation allowBlank="1" showInputMessage="1" showErrorMessage="1" promptTitle="一時預かり" prompt="一時預かりにあたる保育士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J65541:J65552 K983044:L983055 J983045:J983056 K917508:L917519 J917509:J917520 K851972:L851983 J851973:J851984 K786436:L786447 J786437:J786448 K720900:L720911 J720901:J720912 K655364:L655375 J655365:J655376 K589828:L589839 J589829:J589840 K524292:L524303 J524293:J524304 K458756:L458767 J458757:J458768 K393220:L393231 J393221:J393232 K327684:L327695 J327685:J327696 K262148:L262159 J262149:J262160 K196612:L196623 J196613:J196624 K131076:L131087 J131077:J131088 K65540:L65551" xr:uid="{29938CE1-5931-488B-8E1E-1F8196EF63A0}"/>
    <dataValidation allowBlank="1" showInputMessage="1" showErrorMessage="1" promptTitle="その他（支援センター、加算等）" prompt="支援センター業務にあたる保育士、チーム保育推進加算、入所児童特別加算対象者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N983044:O983055 M983045:M983056 N917508:O917519 M917509:M917520 N851972:O851983 M851973:M851984 N786436:O786447 M786437:M786448 N720900:O720911 M720901:M720912 N655364:O655375 M655365:M655376 N589828:O589839 M589829:M589840 N524292:O524303 M524293:M524304 N458756:O458767 M458757:M458768 N393220:O393231 M393221:M393232 N327684:O327695 M327685:M327696 N262148:O262159 M262149:M262160 N196612:O196623 M196613:M196624 N131076:O131087 M131077:M131088 N65540:O65551 M65541:M65552 Q65540:R65551 P65541:P65552 Q131076:R131087 P131077:P131088 Q196612:R196623 P196613:P196624 Q262148:R262159 P262149:P262160 Q327684:R327695 P327685:P327696 Q393220:R393231 P393221:P393232 Q458756:R458767 P458757:P458768 Q524292:R524303 P524293:P524304 Q589828:R589839 P589829:P589840 Q655364:R655375 P655365:P655376 Q720900:R720911 P720901:P720912 Q786436:R786447 P786437:P786448 Q851972:R851983 P851973:P851984 Q917508:R917519 P917509:P917520 Q983044:R983055 P983045:P983056 T983044:U983055 S983045:S983056 T917508:U917519 S917509:S917520 T851972:U851983 S851973:S851984 T786436:U786447 S786437:S786448 T720900:U720911 S720901:S720912 T655364:U655375 S655365:S655376 T589828:U589839 S589829:S589840 T524292:U524303 S524293:S524304 T458756:U458767 S458757:S458768 T393220:U393231 S393221:S393232 T327684:U327695 S327685:S327696 T262148:U262159 S262149:S262160 T196612:U196623 S196613:S196624 T131076:U131087 S131077:S131088 T65540:U65551 S65541:S65552" xr:uid="{79B5E444-F48E-492A-8C5E-D33011E465A4}"/>
    <dataValidation allowBlank="1" showErrorMessage="1" sqref="C9:D20 E9:H9 I9:U20 F10:G12 E13:G20 H10:H20" xr:uid="{EAA1BA82-C2DD-4013-A190-EB66842D1FCF}"/>
  </dataValidations>
  <printOptions horizontalCentered="1"/>
  <pageMargins left="0.51181102362204722" right="0.39370078740157483" top="0.51181102362204722" bottom="0.51181102362204722" header="0.51181102362204722" footer="0.51181102362204722"/>
  <pageSetup paperSize="9" scale="61"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B25C7-51B0-4F4E-90A8-C8FEF7DEFAEF}">
  <sheetPr codeName="Sheet10">
    <tabColor rgb="FF00B050"/>
  </sheetPr>
  <dimension ref="A1:AM71"/>
  <sheetViews>
    <sheetView showGridLines="0" zoomScale="85" zoomScaleNormal="85" zoomScaleSheetLayoutView="84" workbookViewId="0">
      <selection activeCell="N32" sqref="N32"/>
    </sheetView>
  </sheetViews>
  <sheetFormatPr defaultColWidth="9" defaultRowHeight="25" customHeight="1"/>
  <cols>
    <col min="1" max="1" width="5.58203125" style="36" customWidth="1"/>
    <col min="2" max="28" width="4.58203125" style="36" customWidth="1"/>
    <col min="29" max="33" width="6.58203125" style="36" customWidth="1"/>
    <col min="34" max="34" width="1.75" style="36" customWidth="1"/>
    <col min="35" max="37" width="5.25" style="36" customWidth="1"/>
    <col min="38" max="38" width="4.5" style="48" bestFit="1" customWidth="1"/>
    <col min="39" max="39" width="5.58203125" style="36" customWidth="1"/>
    <col min="40" max="16384" width="9" style="36"/>
  </cols>
  <sheetData>
    <row r="1" spans="1:38" s="20" customFormat="1" ht="25" customHeight="1">
      <c r="A1" s="19" t="s">
        <v>89</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L1" s="21"/>
    </row>
    <row r="2" spans="1:38" s="19" customFormat="1" ht="25" customHeight="1">
      <c r="A2" s="19" t="s">
        <v>179</v>
      </c>
      <c r="V2" s="823" t="s">
        <v>117</v>
      </c>
      <c r="W2" s="823"/>
      <c r="X2" s="823">
        <f>①基本情報!D6</f>
        <v>0</v>
      </c>
      <c r="Y2" s="823"/>
      <c r="Z2" s="823"/>
      <c r="AA2" s="823"/>
      <c r="AB2" s="823"/>
      <c r="AC2" s="823"/>
      <c r="AD2" s="823"/>
      <c r="AE2" s="823"/>
      <c r="AF2" s="823"/>
      <c r="AG2" s="49"/>
      <c r="AI2" s="19" t="s">
        <v>118</v>
      </c>
    </row>
    <row r="3" spans="1:38" s="19" customFormat="1" ht="11.25" customHeight="1">
      <c r="AL3" s="22"/>
    </row>
    <row r="4" spans="1:38" s="24" customFormat="1" ht="25" customHeight="1">
      <c r="A4" s="794" t="s">
        <v>119</v>
      </c>
      <c r="B4" s="794" t="s">
        <v>180</v>
      </c>
      <c r="C4" s="794"/>
      <c r="D4" s="794"/>
      <c r="E4" s="794"/>
      <c r="F4" s="794"/>
      <c r="G4" s="794"/>
      <c r="H4" s="794"/>
      <c r="I4" s="794"/>
      <c r="J4" s="794"/>
      <c r="K4" s="794"/>
      <c r="L4" s="817" t="s">
        <v>121</v>
      </c>
      <c r="M4" s="794" t="s">
        <v>181</v>
      </c>
      <c r="N4" s="794"/>
      <c r="O4" s="794"/>
      <c r="P4" s="794"/>
      <c r="Q4" s="794"/>
      <c r="R4" s="794"/>
      <c r="S4" s="794"/>
      <c r="T4" s="794"/>
      <c r="U4" s="794"/>
      <c r="V4" s="794"/>
      <c r="W4" s="794"/>
      <c r="X4" s="794"/>
      <c r="Y4" s="794"/>
      <c r="Z4" s="794"/>
      <c r="AA4" s="794"/>
      <c r="AB4" s="794"/>
      <c r="AC4" s="794"/>
      <c r="AD4" s="794"/>
      <c r="AE4" s="794"/>
      <c r="AF4" s="794"/>
      <c r="AG4" s="794" t="s">
        <v>182</v>
      </c>
    </row>
    <row r="5" spans="1:38" s="23" customFormat="1" ht="27" customHeight="1">
      <c r="A5" s="794"/>
      <c r="B5" s="795" t="s">
        <v>183</v>
      </c>
      <c r="C5" s="795"/>
      <c r="D5" s="795"/>
      <c r="E5" s="795"/>
      <c r="F5" s="795"/>
      <c r="G5" s="795" t="s">
        <v>184</v>
      </c>
      <c r="H5" s="795"/>
      <c r="I5" s="795"/>
      <c r="J5" s="795"/>
      <c r="K5" s="795"/>
      <c r="L5" s="817"/>
      <c r="M5" s="820" t="s">
        <v>365</v>
      </c>
      <c r="N5" s="814" t="s">
        <v>127</v>
      </c>
      <c r="O5" s="814"/>
      <c r="P5" s="814"/>
      <c r="Q5" s="814" t="s">
        <v>128</v>
      </c>
      <c r="R5" s="814"/>
      <c r="S5" s="814"/>
      <c r="T5" s="814" t="s">
        <v>943</v>
      </c>
      <c r="U5" s="814"/>
      <c r="V5" s="814"/>
      <c r="W5" s="814" t="s">
        <v>129</v>
      </c>
      <c r="X5" s="814"/>
      <c r="Y5" s="814"/>
      <c r="Z5" s="814" t="s">
        <v>130</v>
      </c>
      <c r="AA5" s="814"/>
      <c r="AB5" s="814"/>
      <c r="AC5" s="794" t="s">
        <v>131</v>
      </c>
      <c r="AD5" s="794"/>
      <c r="AE5" s="794"/>
      <c r="AF5" s="794" t="s">
        <v>144</v>
      </c>
      <c r="AG5" s="794"/>
    </row>
    <row r="6" spans="1:38" s="23" customFormat="1" ht="37.5" customHeight="1">
      <c r="A6" s="794"/>
      <c r="B6" s="794" t="s">
        <v>126</v>
      </c>
      <c r="C6" s="794"/>
      <c r="D6" s="794"/>
      <c r="E6" s="794" t="s">
        <v>516</v>
      </c>
      <c r="F6" s="794"/>
      <c r="G6" s="794" t="s">
        <v>126</v>
      </c>
      <c r="H6" s="794"/>
      <c r="I6" s="794"/>
      <c r="J6" s="794" t="s">
        <v>516</v>
      </c>
      <c r="K6" s="794"/>
      <c r="L6" s="817"/>
      <c r="M6" s="821"/>
      <c r="N6" s="806" t="s">
        <v>135</v>
      </c>
      <c r="O6" s="806" t="s">
        <v>141</v>
      </c>
      <c r="P6" s="806" t="s">
        <v>142</v>
      </c>
      <c r="Q6" s="806" t="s">
        <v>135</v>
      </c>
      <c r="R6" s="806" t="s">
        <v>141</v>
      </c>
      <c r="S6" s="806" t="s">
        <v>142</v>
      </c>
      <c r="T6" s="806" t="s">
        <v>135</v>
      </c>
      <c r="U6" s="806" t="s">
        <v>141</v>
      </c>
      <c r="V6" s="806" t="s">
        <v>142</v>
      </c>
      <c r="W6" s="806" t="s">
        <v>135</v>
      </c>
      <c r="X6" s="806" t="s">
        <v>141</v>
      </c>
      <c r="Y6" s="806" t="s">
        <v>142</v>
      </c>
      <c r="Z6" s="806" t="s">
        <v>135</v>
      </c>
      <c r="AA6" s="806" t="s">
        <v>141</v>
      </c>
      <c r="AB6" s="806" t="s">
        <v>142</v>
      </c>
      <c r="AC6" s="806" t="s">
        <v>135</v>
      </c>
      <c r="AD6" s="806" t="s">
        <v>136</v>
      </c>
      <c r="AE6" s="806" t="s">
        <v>143</v>
      </c>
      <c r="AF6" s="794"/>
      <c r="AG6" s="30" t="s">
        <v>185</v>
      </c>
    </row>
    <row r="7" spans="1:38" s="23" customFormat="1" ht="78.75" customHeight="1">
      <c r="A7" s="794"/>
      <c r="B7" s="50" t="s">
        <v>186</v>
      </c>
      <c r="C7" s="50" t="s">
        <v>187</v>
      </c>
      <c r="D7" s="51" t="s">
        <v>188</v>
      </c>
      <c r="E7" s="50" t="s">
        <v>138</v>
      </c>
      <c r="F7" s="50" t="s">
        <v>139</v>
      </c>
      <c r="G7" s="50" t="s">
        <v>186</v>
      </c>
      <c r="H7" s="50" t="s">
        <v>187</v>
      </c>
      <c r="I7" s="51" t="s">
        <v>188</v>
      </c>
      <c r="J7" s="50" t="s">
        <v>138</v>
      </c>
      <c r="K7" s="50" t="s">
        <v>139</v>
      </c>
      <c r="L7" s="817"/>
      <c r="M7" s="822"/>
      <c r="N7" s="806"/>
      <c r="O7" s="806"/>
      <c r="P7" s="806"/>
      <c r="Q7" s="806"/>
      <c r="R7" s="806"/>
      <c r="S7" s="806"/>
      <c r="T7" s="806"/>
      <c r="U7" s="806"/>
      <c r="V7" s="806"/>
      <c r="W7" s="806"/>
      <c r="X7" s="806"/>
      <c r="Y7" s="806"/>
      <c r="Z7" s="806"/>
      <c r="AA7" s="806"/>
      <c r="AB7" s="806"/>
      <c r="AC7" s="806"/>
      <c r="AD7" s="806"/>
      <c r="AE7" s="806"/>
      <c r="AF7" s="794"/>
      <c r="AG7" s="806" t="s">
        <v>149</v>
      </c>
      <c r="AI7" s="52" t="s">
        <v>50</v>
      </c>
      <c r="AJ7" s="52" t="s">
        <v>51</v>
      </c>
    </row>
    <row r="8" spans="1:38" s="23" customFormat="1" ht="38.25" customHeight="1">
      <c r="A8" s="794"/>
      <c r="B8" s="30" t="s">
        <v>151</v>
      </c>
      <c r="C8" s="30" t="s">
        <v>152</v>
      </c>
      <c r="D8" s="30" t="s">
        <v>75</v>
      </c>
      <c r="E8" s="142" t="s">
        <v>76</v>
      </c>
      <c r="F8" s="142" t="s">
        <v>77</v>
      </c>
      <c r="G8" s="30" t="s">
        <v>78</v>
      </c>
      <c r="H8" s="30" t="s">
        <v>79</v>
      </c>
      <c r="I8" s="30" t="s">
        <v>80</v>
      </c>
      <c r="J8" s="30" t="s">
        <v>189</v>
      </c>
      <c r="K8" s="30" t="s">
        <v>190</v>
      </c>
      <c r="L8" s="31" t="s">
        <v>156</v>
      </c>
      <c r="M8" s="31"/>
      <c r="N8" s="30" t="s">
        <v>191</v>
      </c>
      <c r="O8" s="30" t="s">
        <v>192</v>
      </c>
      <c r="P8" s="30" t="s">
        <v>193</v>
      </c>
      <c r="Q8" s="30" t="s">
        <v>194</v>
      </c>
      <c r="R8" s="30" t="s">
        <v>195</v>
      </c>
      <c r="S8" s="30" t="s">
        <v>196</v>
      </c>
      <c r="T8" s="30" t="s">
        <v>197</v>
      </c>
      <c r="U8" s="30" t="s">
        <v>198</v>
      </c>
      <c r="V8" s="30" t="s">
        <v>199</v>
      </c>
      <c r="W8" s="30" t="s">
        <v>200</v>
      </c>
      <c r="X8" s="30" t="s">
        <v>201</v>
      </c>
      <c r="Y8" s="30" t="s">
        <v>202</v>
      </c>
      <c r="Z8" s="30" t="s">
        <v>203</v>
      </c>
      <c r="AA8" s="30" t="s">
        <v>204</v>
      </c>
      <c r="AB8" s="30" t="s">
        <v>172</v>
      </c>
      <c r="AC8" s="30" t="s">
        <v>205</v>
      </c>
      <c r="AD8" s="30" t="s">
        <v>206</v>
      </c>
      <c r="AE8" s="30" t="s">
        <v>207</v>
      </c>
      <c r="AF8" s="794"/>
      <c r="AG8" s="806"/>
    </row>
    <row r="9" spans="1:38" s="33" customFormat="1" ht="37.5" customHeight="1">
      <c r="A9" s="127">
        <v>4</v>
      </c>
      <c r="B9" s="61">
        <f>COUNTIFS('②-1職員名簿'!AP$7:AP$106,"B",'②-1職員名簿'!$BE$7:$BE$106,"正規職員",'②-1職員名簿'!$BF$7:$BF$106,"○")</f>
        <v>0</v>
      </c>
      <c r="C9" s="61">
        <f>COUNTIFS('②-1職員名簿'!AP$7:AP$106,"B",'②-2勤務時間数入力'!$C$7:$C$106,"常勤的非常勤",'②-1職員名簿'!$BF$7:$BF$106,"○",'②-2勤務時間数入力'!R$7:R$106,"常")</f>
        <v>0</v>
      </c>
      <c r="D9" s="61">
        <f>SUMIFS('②-2勤務時間数入力'!R$7:R$106,'②-1職員名簿'!AP$7:AP$106,"B",'②-1職員名簿'!$BF$7:$BF$106,"○",'②-1職員名簿'!$C$7:$C$106,"パート")</f>
        <v>0</v>
      </c>
      <c r="E9" s="61">
        <f>COUNTIFS('②-1職員名簿'!AP$7:AP$106,"B",'②-2勤務時間数入力'!$C$7:$C$106,"嘱託常勤",'②-1職員名簿'!$BF$7:$BF$106,"○",'②-2勤務時間数入力'!R$7:R$106,"常")</f>
        <v>0</v>
      </c>
      <c r="F9" s="61">
        <f>SUMIFS('②-2勤務時間数入力'!R$7:R$106,'②-1職員名簿'!AP$7:AP$106,"B",'②-1職員名簿'!$BF$7:$BF$106,"○",'②-1職員名簿'!$C$7:$C$106,"嘱託等")</f>
        <v>0</v>
      </c>
      <c r="G9" s="61">
        <f>COUNTIFS('②-1職員名簿'!AP$7:AP$106,"B",'②-1職員名簿'!$BE$7:$BE$106,"正規職員",'②-1職員名簿'!$BG$7:$BG$106,"○")</f>
        <v>0</v>
      </c>
      <c r="H9" s="61">
        <f>COUNTIFS('②-1職員名簿'!AP$7:AP$106,"B",'②-2勤務時間数入力'!$C$7:$C$106,"常勤的非常勤",'②-1職員名簿'!$BG$7:$BG$106,"○",'②-2勤務時間数入力'!R$7:R$106,"常")</f>
        <v>0</v>
      </c>
      <c r="I9" s="61">
        <f>SUMIFS('②-2勤務時間数入力'!R$7:R$106,'②-1職員名簿'!AP$7:AP$106,"B",'②-1職員名簿'!$BG$7:$BG$106,"○",'②-1職員名簿'!$C$7:$C$106,"パート")</f>
        <v>0</v>
      </c>
      <c r="J9" s="61">
        <f>COUNTIFS('②-1職員名簿'!AP$7:AP$106,"B",'②-2勤務時間数入力'!$C$7:$C$106,"嘱託常勤",'②-1職員名簿'!$BG$7:$BG$106,"○",'②-2勤務時間数入力'!R$7:R$106,"常")</f>
        <v>0</v>
      </c>
      <c r="K9" s="61">
        <f>SUMIFS('②-2勤務時間数入力'!R$7:R$106,'②-1職員名簿'!AP$7:AP$106,"B",'②-1職員名簿'!$BG$7:$BG$106,"○",'②-1職員名簿'!$C$7:$C$106,"嘱託等")</f>
        <v>0</v>
      </c>
      <c r="L9" s="128">
        <f>'②-2勤務時間数入力'!AH7</f>
        <v>0</v>
      </c>
      <c r="M9" s="129">
        <f>COUNTIFS('②-1職員名簿'!W7:W106,"園長",'②-1職員名簿'!AP$7:AP$106,"B")</f>
        <v>0</v>
      </c>
      <c r="N9" s="61">
        <f>COUNTIFS('②-1職員名簿'!AP$7:AP$106,"B",'②-1職員名簿'!$W$7:$W$106,$N$5,'②-2勤務時間数入力'!F$7:F$106,"正")</f>
        <v>0</v>
      </c>
      <c r="O9" s="61">
        <f>COUNTIFS('②-1職員名簿'!AP$7:AP$106,"B",'②-1職員名簿'!$W$7:$W$106,$N$5,'②-2勤務時間数入力'!R$7:R$106,"常")</f>
        <v>0</v>
      </c>
      <c r="P9" s="61">
        <f>SUMIFS('②-2勤務時間数入力'!R$7:R$106,'②-1職員名簿'!AP$7:AP$106,"B",'②-1職員名簿'!$W$7:$W$106,$N$5)</f>
        <v>0</v>
      </c>
      <c r="Q9" s="61">
        <f>COUNTIFS('②-1職員名簿'!AP$7:AP$106,"B",'②-1職員名簿'!$W$7:$W$106,$Q$5,'②-2勤務時間数入力'!F$7:F$106,"正")</f>
        <v>0</v>
      </c>
      <c r="R9" s="61">
        <f>COUNTIFS('②-1職員名簿'!AP$7:AP$106,"B",'②-1職員名簿'!$W$7:$W$106,$Q$5,'②-2勤務時間数入力'!R$7:R$106,"常")</f>
        <v>0</v>
      </c>
      <c r="S9" s="61">
        <f>SUMIFS('②-2勤務時間数入力'!R$7:R$106,'②-1職員名簿'!AP$7:AP$106,"B",'②-1職員名簿'!$W$7:$W$106,$Q$5)</f>
        <v>0</v>
      </c>
      <c r="T9" s="61">
        <f>COUNTIFS('②-1職員名簿'!AP$7:AP$106,"B",'②-1職員名簿'!$W$7:$W$106,$T$5,'②-2勤務時間数入力'!F$7:F$106,"正")</f>
        <v>0</v>
      </c>
      <c r="U9" s="61">
        <f>COUNTIFS('②-1職員名簿'!AP$7:AP$106,"B",'②-1職員名簿'!$W$7:$W$106,$T$5,'②-2勤務時間数入力'!R$7:R$106,"常")</f>
        <v>0</v>
      </c>
      <c r="V9" s="61">
        <f>SUMIFS('②-2勤務時間数入力'!R$7:R$106,'②-1職員名簿'!AP$7:AP$106,"B",'②-1職員名簿'!$W$7:$W$106,$T$5)</f>
        <v>0</v>
      </c>
      <c r="W9" s="61">
        <f>COUNTIFS('②-1職員名簿'!AP$7:AP$106,"B",'②-1職員名簿'!$W$7:$W$106,$W$5,'②-2勤務時間数入力'!F$7:F$106,"正")</f>
        <v>0</v>
      </c>
      <c r="X9" s="61">
        <f>COUNTIFS('②-1職員名簿'!AP$7:AP$106,"B",'②-1職員名簿'!$W$7:$W$106,$W$5,'②-2勤務時間数入力'!R$7:R$106,"常")</f>
        <v>0</v>
      </c>
      <c r="Y9" s="61">
        <f>SUMIFS('②-2勤務時間数入力'!R$7:R$106,'②-1職員名簿'!AP$7:AP$106,"B",'②-1職員名簿'!$W$7:$W$106,$W$5)</f>
        <v>0</v>
      </c>
      <c r="Z9" s="61">
        <f>COUNTIFS('②-1職員名簿'!AP$7:AP$106,"B",'②-1職員名簿'!$W$7:$W$106,$Z$5,'②-2勤務時間数入力'!F$7:F$106,"正")</f>
        <v>0</v>
      </c>
      <c r="AA9" s="61">
        <f>COUNTIFS('②-1職員名簿'!AP$7:AP$106,"B",'②-1職員名簿'!$W$7:$W$106,$Z$5,'②-2勤務時間数入力'!R$7:R$106,"常")</f>
        <v>0</v>
      </c>
      <c r="AB9" s="61">
        <f>SUMIFS('②-2勤務時間数入力'!R$7:R$106,'②-1職員名簿'!AP$7:AP$106,"B",'②-1職員名簿'!$W$7:$W$106,$Z$5)</f>
        <v>0</v>
      </c>
      <c r="AC9" s="130">
        <f t="shared" ref="AC9:AC20" si="0">B9+G9-N9-Q9-T9-W9-Z9</f>
        <v>0</v>
      </c>
      <c r="AD9" s="130">
        <f t="shared" ref="AD9:AD20" si="1">C9+E9+H9+J9-O9-R9-U9-X9-AA9</f>
        <v>0</v>
      </c>
      <c r="AE9" s="135" t="e">
        <f t="shared" ref="AE9:AE20" si="2">ROUNDDOWN((D9+F9+I9+K9-P9-S9-V9-Y9-AB9)/L9,3)</f>
        <v>#DIV/0!</v>
      </c>
      <c r="AF9" s="135" t="e">
        <f>AC9+AD9+AE9</f>
        <v>#DIV/0!</v>
      </c>
      <c r="AG9" s="134" t="e">
        <f>IF(①基本情報!$E$10&gt;90,MIN(AF9,3,MIN(AF9,AI9,3)+MIN(AF9,AJ9,1)),MIN(AF9,4,MIN(AF9,AI9,4)+MIN(AF9,AJ9,2)))</f>
        <v>#N/A</v>
      </c>
      <c r="AI9" s="33" t="e">
        <f>B9+C9+E9+ROUNDDOWN((D9+F9)/L9,3)</f>
        <v>#DIV/0!</v>
      </c>
      <c r="AJ9" s="33" t="e">
        <f>G9+H9+J9+ROUNDDOWN((I9+K9)/L9,3)</f>
        <v>#DIV/0!</v>
      </c>
    </row>
    <row r="10" spans="1:38" s="33" customFormat="1" ht="36" customHeight="1">
      <c r="A10" s="196">
        <v>5</v>
      </c>
      <c r="B10" s="61">
        <f>COUNTIFS('②-1職員名簿'!AD$7:AD$106,"●",'②-1職員名簿'!$BE$7:$BE$106,"正規職員",'②-1職員名簿'!$BF$7:$BF$106,"○")</f>
        <v>0</v>
      </c>
      <c r="C10" s="61">
        <f>COUNTIFS('②-1職員名簿'!AD$7:AD$106,"●",'②-2勤務時間数入力'!$C$7:$C$106,"常勤的非常勤",'②-1職員名簿'!$BF$7:$BF$106,"○",'②-2勤務時間数入力'!S$7:S$106,"常")</f>
        <v>0</v>
      </c>
      <c r="D10" s="61">
        <f>SUMIFS('②-2勤務時間数入力'!S$7:S$106,'②-1職員名簿'!AD$7:AD$106,"●",'②-1職員名簿'!$BF$7:$BF$106,"○",'②-1職員名簿'!$C$7:$C$106,"パート")</f>
        <v>0</v>
      </c>
      <c r="E10" s="61">
        <f>COUNTIFS('②-1職員名簿'!AD$7:AD$106,"●",'②-2勤務時間数入力'!$C$7:$C$106,"嘱託常勤",'②-1職員名簿'!$BF$7:$BF$106,"○",'②-2勤務時間数入力'!S$7:S$106,"常")</f>
        <v>0</v>
      </c>
      <c r="F10" s="61">
        <f>SUMIFS('②-2勤務時間数入力'!S$7:S$106,'②-1職員名簿'!AD$7:AD$106,"●",'②-1職員名簿'!$BF$7:$BF$106,"○",'②-1職員名簿'!$C$7:$C$106,"嘱託等")</f>
        <v>0</v>
      </c>
      <c r="G10" s="61">
        <f>COUNTIFS('②-1職員名簿'!AD$7:AD$106,"●",'②-1職員名簿'!$BE$7:$BE$106,"正規職員",'②-1職員名簿'!$BG$7:$BG$106,"○")</f>
        <v>0</v>
      </c>
      <c r="H10" s="61">
        <f>COUNTIFS('②-1職員名簿'!AD$7:AD$106,"●",'②-2勤務時間数入力'!$C$7:$C$106,"常勤的非常勤",'②-1職員名簿'!$BG$7:$BG$106,"○",'②-2勤務時間数入力'!S$7:S$106,"常")</f>
        <v>0</v>
      </c>
      <c r="I10" s="61">
        <f>SUMIFS('②-2勤務時間数入力'!S$7:S$106,'②-1職員名簿'!AD$7:AD$106,"●",'②-1職員名簿'!$BG$7:$BG$106,"○",'②-1職員名簿'!$C$7:$C$106,"パート")</f>
        <v>0</v>
      </c>
      <c r="J10" s="61">
        <f>COUNTIFS('②-1職員名簿'!AD$7:AD$106,"●",'②-2勤務時間数入力'!$C$7:$C$106,"嘱託常勤",'②-1職員名簿'!$BG$7:$BG$106,"○",'②-2勤務時間数入力'!S$7:S$106,"常")</f>
        <v>0</v>
      </c>
      <c r="K10" s="61">
        <f>SUMIFS('②-2勤務時間数入力'!S$7:S$106,'②-1職員名簿'!AD$7:AD$106,"●",'②-1職員名簿'!$BG$7:$BG$106,"○",'②-1職員名簿'!$C$7:$C$106,"嘱託等")</f>
        <v>0</v>
      </c>
      <c r="L10" s="128">
        <f>'②-2勤務時間数入力'!AH8</f>
        <v>0</v>
      </c>
      <c r="M10" s="129">
        <f>COUNTIFS('②-1職員名簿'!W7:W106,"園長",'②-1職員名簿'!AD$7:AD$106,"●")</f>
        <v>0</v>
      </c>
      <c r="N10" s="61">
        <f>COUNTIFS('②-1職員名簿'!AD$7:AD$106,"●",'②-1職員名簿'!$W$7:$W$106,$N$5,'②-2勤務時間数入力'!G$7:G$106,"正")</f>
        <v>0</v>
      </c>
      <c r="O10" s="61">
        <f>COUNTIFS('②-1職員名簿'!AD$7:AD$106,"●",'②-1職員名簿'!$W$7:$W$106,$N$5,'②-2勤務時間数入力'!S$7:S$106,"常")</f>
        <v>0</v>
      </c>
      <c r="P10" s="61">
        <f>SUMIFS('②-2勤務時間数入力'!S$7:S$106,'②-1職員名簿'!AD$7:AD$106,"●",'②-1職員名簿'!$W$7:$W$106,$N$5)</f>
        <v>0</v>
      </c>
      <c r="Q10" s="61">
        <f>COUNTIFS('②-1職員名簿'!AD$7:AD$106,"●",'②-1職員名簿'!$W$7:$W$106,$Q$5,'②-2勤務時間数入力'!G$7:G$106,"正")</f>
        <v>0</v>
      </c>
      <c r="R10" s="61">
        <f>COUNTIFS('②-1職員名簿'!AD$7:AD$106,"●",'②-1職員名簿'!$W$7:$W$106,$Q$5,'②-2勤務時間数入力'!S$7:S$106,"常")</f>
        <v>0</v>
      </c>
      <c r="S10" s="61">
        <f>SUMIFS('②-2勤務時間数入力'!S$7:S$106,'②-1職員名簿'!AD$7:AD$106,"●",'②-1職員名簿'!$W$7:$W$106,$Q$5)</f>
        <v>0</v>
      </c>
      <c r="T10" s="61">
        <f>COUNTIFS('②-1職員名簿'!AD$7:AD$106,"●",'②-1職員名簿'!$W$7:$W$106,$T$5,'②-2勤務時間数入力'!G$7:G$106,"正")</f>
        <v>0</v>
      </c>
      <c r="U10" s="61">
        <f>COUNTIFS('②-1職員名簿'!AD$7:AD$106,"●",'②-1職員名簿'!$W$7:$W$106,$T$5,'②-2勤務時間数入力'!S$7:S$106,"常")</f>
        <v>0</v>
      </c>
      <c r="V10" s="61">
        <f>SUMIFS('②-2勤務時間数入力'!S$7:S$106,'②-1職員名簿'!AD$7:AD$106,"●",'②-1職員名簿'!$W$7:$W$106,$T$5)</f>
        <v>0</v>
      </c>
      <c r="W10" s="61">
        <f>COUNTIFS('②-1職員名簿'!AD$7:AD$106,"●",'②-1職員名簿'!$W$7:$W$106,$W$5,'②-2勤務時間数入力'!G$7:G$106,"正")</f>
        <v>0</v>
      </c>
      <c r="X10" s="61">
        <f>COUNTIFS('②-1職員名簿'!AD$7:AD$106,"●",'②-1職員名簿'!$W$7:$W$106,$W$5,'②-2勤務時間数入力'!S$7:S$106,"常")</f>
        <v>0</v>
      </c>
      <c r="Y10" s="61">
        <f>SUMIFS('②-2勤務時間数入力'!S$7:S$106,'②-1職員名簿'!AD$7:AD$106,"●",'②-1職員名簿'!$W$7:$W$106,$W$5)</f>
        <v>0</v>
      </c>
      <c r="Z10" s="61">
        <f>COUNTIFS('②-1職員名簿'!AD$7:AD$106,"●",'②-1職員名簿'!$W$7:$W$106,$Z$5,'②-2勤務時間数入力'!G$7:G$106,"正")</f>
        <v>0</v>
      </c>
      <c r="AA10" s="61">
        <f>COUNTIFS('②-1職員名簿'!AD$7:AD$106,"●",'②-1職員名簿'!$W$7:$W$106,$Z$5,'②-2勤務時間数入力'!S$7:S$106,"常")</f>
        <v>0</v>
      </c>
      <c r="AB10" s="61">
        <f>SUMIFS('②-2勤務時間数入力'!S$7:S$106,'②-1職員名簿'!AD$7:AD$106,"●",'②-1職員名簿'!$W$7:$W$106,$Z$5)</f>
        <v>0</v>
      </c>
      <c r="AC10" s="130">
        <f t="shared" si="0"/>
        <v>0</v>
      </c>
      <c r="AD10" s="130">
        <f t="shared" si="1"/>
        <v>0</v>
      </c>
      <c r="AE10" s="135" t="e">
        <f t="shared" si="2"/>
        <v>#DIV/0!</v>
      </c>
      <c r="AF10" s="135" t="e">
        <f t="shared" ref="AF10:AF20" si="3">AC10+AD10+AE10</f>
        <v>#DIV/0!</v>
      </c>
      <c r="AG10" s="134" t="e">
        <f>IF(①基本情報!$E$10&gt;90,MIN(AF10,3,MIN(AF10,AI10,3)+MIN(AF10,AJ10,1)),MIN(AF10,4,MIN(AF10,AI10,4)+MIN(AF10,AJ10,2)))</f>
        <v>#N/A</v>
      </c>
      <c r="AI10" s="33" t="e">
        <f t="shared" ref="AI10:AI20" si="4">B10+C10+E10+ROUNDDOWN((D10+F10)/L10,3)</f>
        <v>#DIV/0!</v>
      </c>
      <c r="AJ10" s="33" t="e">
        <f t="shared" ref="AJ10:AJ20" si="5">G10+H10+J10+ROUNDDOWN((I10+K10)/L10,3)</f>
        <v>#DIV/0!</v>
      </c>
    </row>
    <row r="11" spans="1:38" s="33" customFormat="1" ht="36" customHeight="1">
      <c r="A11" s="196">
        <v>6</v>
      </c>
      <c r="B11" s="61">
        <f>COUNTIFS('②-1職員名簿'!AE$7:AE$106,"●",'②-1職員名簿'!$BE$7:$BE$106,"正規職員",'②-1職員名簿'!$BF$7:$BF$106,"○")</f>
        <v>0</v>
      </c>
      <c r="C11" s="61">
        <f>COUNTIFS('②-1職員名簿'!AE$7:AE$106,"●",'②-2勤務時間数入力'!$C$7:$C$106,"常勤的非常勤",'②-1職員名簿'!$BF$7:$BF$106,"○",'②-2勤務時間数入力'!T$7:T$106,"常")</f>
        <v>0</v>
      </c>
      <c r="D11" s="61">
        <f>SUMIFS('②-2勤務時間数入力'!T$7:T$106,'②-1職員名簿'!AE$7:AE$106,"●",'②-1職員名簿'!$BF$7:$BF$106,"○",'②-1職員名簿'!$C$7:$C$106,"パート")</f>
        <v>0</v>
      </c>
      <c r="E11" s="61">
        <f>COUNTIFS('②-1職員名簿'!AE$7:AE$106,"●",'②-2勤務時間数入力'!$C$7:$C$106,"嘱託常勤",'②-1職員名簿'!$BF$7:$BF$106,"○",'②-2勤務時間数入力'!T$7:T$106,"常")</f>
        <v>0</v>
      </c>
      <c r="F11" s="61">
        <f>SUMIFS('②-2勤務時間数入力'!T$7:T$106,'②-1職員名簿'!AE$7:AE$106,"●",'②-1職員名簿'!$BF$7:$BF$106,"○",'②-1職員名簿'!$C$7:$C$106,"嘱託等")</f>
        <v>0</v>
      </c>
      <c r="G11" s="61">
        <f>COUNTIFS('②-1職員名簿'!AE$7:AE$106,"●",'②-1職員名簿'!$BE$7:$BE$106,"正規職員",'②-1職員名簿'!$BG$7:$BG$106,"○")</f>
        <v>0</v>
      </c>
      <c r="H11" s="61">
        <f>COUNTIFS('②-1職員名簿'!AE$7:AE$106,"●",'②-2勤務時間数入力'!$C$7:$C$106,"常勤的非常勤",'②-1職員名簿'!$BG$7:$BG$106,"○",'②-2勤務時間数入力'!T$7:T$106,"常")</f>
        <v>0</v>
      </c>
      <c r="I11" s="61">
        <f>SUMIFS('②-2勤務時間数入力'!T$7:T$106,'②-1職員名簿'!AE$7:AE$106,"●",'②-1職員名簿'!$BG$7:$BG$106,"○",'②-1職員名簿'!$C$7:$C$106,"パート")</f>
        <v>0</v>
      </c>
      <c r="J11" s="61">
        <f>COUNTIFS('②-1職員名簿'!AE$7:AE$106,"●",'②-2勤務時間数入力'!$C$7:$C$106,"嘱託常勤",'②-1職員名簿'!$BG$7:$BG$106,"○",'②-2勤務時間数入力'!T$7:T$106,"常")</f>
        <v>0</v>
      </c>
      <c r="K11" s="61">
        <f>SUMIFS('②-2勤務時間数入力'!T$7:T$106,'②-1職員名簿'!AE$7:AE$106,"●",'②-1職員名簿'!$BG$7:$BG$106,"○",'②-1職員名簿'!$C$7:$C$106,"嘱託等")</f>
        <v>0</v>
      </c>
      <c r="L11" s="128">
        <f>'②-2勤務時間数入力'!AH9</f>
        <v>0</v>
      </c>
      <c r="M11" s="129">
        <f>COUNTIFS('②-1職員名簿'!W7:W106,"園長",'②-1職員名簿'!AE$7:AE$106,"●")</f>
        <v>0</v>
      </c>
      <c r="N11" s="61">
        <f>COUNTIFS('②-1職員名簿'!AE$7:AE$106,"●",'②-1職員名簿'!$W$7:$W$106,$N$5,'②-2勤務時間数入力'!H$7:H$106,"正")</f>
        <v>0</v>
      </c>
      <c r="O11" s="61">
        <f>COUNTIFS('②-1職員名簿'!AE$7:AE$106,"●",'②-1職員名簿'!$W$7:$W$106,$N$5,'②-2勤務時間数入力'!T$7:T$106,"常")</f>
        <v>0</v>
      </c>
      <c r="P11" s="61">
        <f>SUMIFS('②-2勤務時間数入力'!T$7:T$106,'②-1職員名簿'!AE$7:AE$106,"●",'②-1職員名簿'!$W$7:$W$106,$N$5)</f>
        <v>0</v>
      </c>
      <c r="Q11" s="61">
        <f>COUNTIFS('②-1職員名簿'!AE$7:AE$106,"●",'②-1職員名簿'!$W$7:$W$106,$Q$5,'②-2勤務時間数入力'!H$7:H$106,"正")</f>
        <v>0</v>
      </c>
      <c r="R11" s="61">
        <f>COUNTIFS('②-1職員名簿'!AE$7:AE$106,"●",'②-1職員名簿'!$W$7:$W$106,$Q$5,'②-2勤務時間数入力'!T$7:T$106,"常")</f>
        <v>0</v>
      </c>
      <c r="S11" s="61">
        <f>SUMIFS('②-2勤務時間数入力'!T$7:T$106,'②-1職員名簿'!AE$7:AE$106,"●",'②-1職員名簿'!$W$7:$W$106,$Q$5)</f>
        <v>0</v>
      </c>
      <c r="T11" s="61">
        <f>COUNTIFS('②-1職員名簿'!AE$7:AE$106,"●",'②-1職員名簿'!$W$7:$W$106,$T$5,'②-2勤務時間数入力'!H$7:H$106,"正")</f>
        <v>0</v>
      </c>
      <c r="U11" s="61">
        <f>COUNTIFS('②-1職員名簿'!AE$7:AE$106,"●",'②-1職員名簿'!$W$7:$W$106,$T$5,'②-2勤務時間数入力'!T$7:T$106,"常")</f>
        <v>0</v>
      </c>
      <c r="V11" s="61">
        <f>SUMIFS('②-2勤務時間数入力'!T$7:T$106,'②-1職員名簿'!AE$7:AE$106,"●",'②-1職員名簿'!$W$7:$W$106,$T$5)</f>
        <v>0</v>
      </c>
      <c r="W11" s="61">
        <f>COUNTIFS('②-1職員名簿'!AE$7:AE$106,"●",'②-1職員名簿'!$W$7:$W$106,$W$5,'②-2勤務時間数入力'!H$7:H$106,"正")</f>
        <v>0</v>
      </c>
      <c r="X11" s="61">
        <f>COUNTIFS('②-1職員名簿'!AE$7:AE$106,"●",'②-1職員名簿'!$W$7:$W$106,$W$5,'②-2勤務時間数入力'!T$7:T$106,"常")</f>
        <v>0</v>
      </c>
      <c r="Y11" s="61">
        <f>SUMIFS('②-2勤務時間数入力'!T$7:T$106,'②-1職員名簿'!AE$7:AE$106,"●",'②-1職員名簿'!$W$7:$W$106,$W$5)</f>
        <v>0</v>
      </c>
      <c r="Z11" s="61">
        <f>COUNTIFS('②-1職員名簿'!AE$7:AE$106,"●",'②-1職員名簿'!$W$7:$W$106,$Z$5,'②-2勤務時間数入力'!H$7:H$106,"正")</f>
        <v>0</v>
      </c>
      <c r="AA11" s="61">
        <f>COUNTIFS('②-1職員名簿'!AE$7:AE$106,"●",'②-1職員名簿'!$W$7:$W$106,$Z$5,'②-2勤務時間数入力'!T$7:T$106,"常")</f>
        <v>0</v>
      </c>
      <c r="AB11" s="61">
        <f>SUMIFS('②-2勤務時間数入力'!T$7:T$106,'②-1職員名簿'!AE$7:AE$106,"●",'②-1職員名簿'!$W$7:$W$106,$Z$5)</f>
        <v>0</v>
      </c>
      <c r="AC11" s="130">
        <f t="shared" si="0"/>
        <v>0</v>
      </c>
      <c r="AD11" s="130">
        <f t="shared" si="1"/>
        <v>0</v>
      </c>
      <c r="AE11" s="135" t="e">
        <f t="shared" si="2"/>
        <v>#DIV/0!</v>
      </c>
      <c r="AF11" s="135" t="e">
        <f t="shared" si="3"/>
        <v>#DIV/0!</v>
      </c>
      <c r="AG11" s="134" t="e">
        <f>IF(①基本情報!$E$10&gt;90,MIN(AF11,3,MIN(AF11,AI11,3)+MIN(AF11,AJ11,1)),MIN(AF11,4,MIN(AF11,AI11,4)+MIN(AF11,AJ11,2)))</f>
        <v>#N/A</v>
      </c>
      <c r="AI11" s="33" t="e">
        <f t="shared" si="4"/>
        <v>#DIV/0!</v>
      </c>
      <c r="AJ11" s="33" t="e">
        <f t="shared" si="5"/>
        <v>#DIV/0!</v>
      </c>
    </row>
    <row r="12" spans="1:38" s="33" customFormat="1" ht="36" customHeight="1">
      <c r="A12" s="196">
        <v>7</v>
      </c>
      <c r="B12" s="61">
        <f>COUNTIFS('②-1職員名簿'!AF$7:AF$106,"●",'②-1職員名簿'!$BE$7:$BE$106,"正規職員",'②-1職員名簿'!$BF$7:$BF$106,"○")</f>
        <v>0</v>
      </c>
      <c r="C12" s="61">
        <f>COUNTIFS('②-1職員名簿'!AF$7:AF$106,"●",'②-2勤務時間数入力'!$C$7:$C$106,"常勤的非常勤",'②-1職員名簿'!$BF$7:$BF$106,"○",'②-2勤務時間数入力'!U$7:U$106,"常")</f>
        <v>0</v>
      </c>
      <c r="D12" s="61">
        <f>SUMIFS('②-2勤務時間数入力'!U$7:U$106,'②-1職員名簿'!AF$7:AF$106,"●",'②-1職員名簿'!$BF$7:$BF$106,"○",'②-1職員名簿'!$C$7:$C$106,"パート")</f>
        <v>0</v>
      </c>
      <c r="E12" s="61">
        <f>COUNTIFS('②-1職員名簿'!AF$7:AF$106,"●",'②-2勤務時間数入力'!$C$7:$C$106,"嘱託常勤",'②-1職員名簿'!$BF$7:$BF$106,"○",'②-2勤務時間数入力'!U$7:U$106,"常")</f>
        <v>0</v>
      </c>
      <c r="F12" s="61">
        <f>SUMIFS('②-2勤務時間数入力'!U$7:U$106,'②-1職員名簿'!AF$7:AF$106,"●",'②-1職員名簿'!$BF$7:$BF$106,"○",'②-1職員名簿'!$C$7:$C$106,"嘱託等")</f>
        <v>0</v>
      </c>
      <c r="G12" s="61">
        <f>COUNTIFS('②-1職員名簿'!AF$7:AF$106,"●",'②-1職員名簿'!$BE$7:$BE$106,"正規職員",'②-1職員名簿'!$BG$7:$BG$106,"○")</f>
        <v>0</v>
      </c>
      <c r="H12" s="61">
        <f>COUNTIFS('②-1職員名簿'!AF$7:AF$106,"●",'②-2勤務時間数入力'!$C$7:$C$106,"常勤的非常勤",'②-1職員名簿'!$BG$7:$BG$106,"○",'②-2勤務時間数入力'!U$7:U$106,"常")</f>
        <v>0</v>
      </c>
      <c r="I12" s="61">
        <f>SUMIFS('②-2勤務時間数入力'!U$7:U$106,'②-1職員名簿'!AF$7:AF$106,"●",'②-1職員名簿'!$BG$7:$BG$106,"○",'②-1職員名簿'!$C$7:$C$106,"パート")</f>
        <v>0</v>
      </c>
      <c r="J12" s="61">
        <f>COUNTIFS('②-1職員名簿'!AF$7:AF$106,"●",'②-2勤務時間数入力'!$C$7:$C$106,"嘱託常勤",'②-1職員名簿'!$BG$7:$BG$106,"○",'②-2勤務時間数入力'!U$7:U$106,"常")</f>
        <v>0</v>
      </c>
      <c r="K12" s="61">
        <f>SUMIFS('②-2勤務時間数入力'!U$7:U$106,'②-1職員名簿'!AF$7:AF$106,"●",'②-1職員名簿'!$BG$7:$BG$106,"○",'②-1職員名簿'!$C$7:$C$106,"嘱託等")</f>
        <v>0</v>
      </c>
      <c r="L12" s="128">
        <f>'②-2勤務時間数入力'!AH10</f>
        <v>0</v>
      </c>
      <c r="M12" s="129">
        <f>COUNTIFS('②-1職員名簿'!W7:W106,"園長",'②-1職員名簿'!AF$7:AF$106,"●")</f>
        <v>0</v>
      </c>
      <c r="N12" s="61">
        <f>COUNTIFS('②-1職員名簿'!AF$7:AF$106,"●",'②-1職員名簿'!$W$7:$W$106,$N$5,'②-2勤務時間数入力'!I$7:I$106,"正")</f>
        <v>0</v>
      </c>
      <c r="O12" s="61">
        <f>COUNTIFS('②-1職員名簿'!AF$7:AF$106,"●",'②-1職員名簿'!$W$7:$W$106,$N$5,'②-2勤務時間数入力'!U$7:U$106,"常")</f>
        <v>0</v>
      </c>
      <c r="P12" s="61">
        <f>SUMIFS('②-2勤務時間数入力'!U$7:U$106,'②-1職員名簿'!AF$7:AF$106,"●",'②-1職員名簿'!$W$7:$W$106,$N$5)</f>
        <v>0</v>
      </c>
      <c r="Q12" s="61">
        <f>COUNTIFS('②-1職員名簿'!AF$7:AF$106,"●",'②-1職員名簿'!$W$7:$W$106,$Q$5,'②-2勤務時間数入力'!I$7:I$106,"正")</f>
        <v>0</v>
      </c>
      <c r="R12" s="61">
        <f>COUNTIFS('②-1職員名簿'!AF$7:AF$106,"●",'②-1職員名簿'!$W$7:$W$106,$Q$5,'②-2勤務時間数入力'!U$7:U$106,"常")</f>
        <v>0</v>
      </c>
      <c r="S12" s="61">
        <f>SUMIFS('②-2勤務時間数入力'!U$7:U$106,'②-1職員名簿'!AF$7:AF$106,"●",'②-1職員名簿'!$W$7:$W$106,$Q$5)</f>
        <v>0</v>
      </c>
      <c r="T12" s="61">
        <f>COUNTIFS('②-1職員名簿'!AF$7:AF$106,"●",'②-1職員名簿'!$W$7:$W$106,$T$5,'②-2勤務時間数入力'!I$7:I$106,"正")</f>
        <v>0</v>
      </c>
      <c r="U12" s="61">
        <f>COUNTIFS('②-1職員名簿'!AF$7:AF$106,"●",'②-1職員名簿'!$W$7:$W$106,$T$5,'②-2勤務時間数入力'!U$7:U$106,"常")</f>
        <v>0</v>
      </c>
      <c r="V12" s="61">
        <f>SUMIFS('②-2勤務時間数入力'!U$7:U$106,'②-1職員名簿'!AF$7:AF$106,"●",'②-1職員名簿'!$W$7:$W$106,$T$5)</f>
        <v>0</v>
      </c>
      <c r="W12" s="61">
        <f>COUNTIFS('②-1職員名簿'!AF$7:AF$106,"●",'②-1職員名簿'!$W$7:$W$106,$W$5,'②-2勤務時間数入力'!I$7:I$106,"正")</f>
        <v>0</v>
      </c>
      <c r="X12" s="61">
        <f>COUNTIFS('②-1職員名簿'!AF$7:AF$106,"●",'②-1職員名簿'!$W$7:$W$106,$W$5,'②-2勤務時間数入力'!U$7:U$106,"常")</f>
        <v>0</v>
      </c>
      <c r="Y12" s="61">
        <f>SUMIFS('②-2勤務時間数入力'!U$7:U$106,'②-1職員名簿'!AF$7:AF$106,"●",'②-1職員名簿'!$W$7:$W$106,$W$5)</f>
        <v>0</v>
      </c>
      <c r="Z12" s="61">
        <f>COUNTIFS('②-1職員名簿'!AF$7:AF$106,"●",'②-1職員名簿'!$W$7:$W$106,$Z$5,'②-2勤務時間数入力'!I$7:I$106,"正")</f>
        <v>0</v>
      </c>
      <c r="AA12" s="61">
        <f>COUNTIFS('②-1職員名簿'!AF$7:AF$106,"●",'②-1職員名簿'!$W$7:$W$106,$Z$5,'②-2勤務時間数入力'!U$7:U$106,"常")</f>
        <v>0</v>
      </c>
      <c r="AB12" s="61">
        <f>SUMIFS('②-2勤務時間数入力'!U$7:U$106,'②-1職員名簿'!AF$7:AF$106,"●",'②-1職員名簿'!$W$7:$W$106,$Z$5)</f>
        <v>0</v>
      </c>
      <c r="AC12" s="130">
        <f t="shared" si="0"/>
        <v>0</v>
      </c>
      <c r="AD12" s="130">
        <f t="shared" si="1"/>
        <v>0</v>
      </c>
      <c r="AE12" s="135" t="e">
        <f t="shared" si="2"/>
        <v>#DIV/0!</v>
      </c>
      <c r="AF12" s="135" t="e">
        <f t="shared" si="3"/>
        <v>#DIV/0!</v>
      </c>
      <c r="AG12" s="134" t="e">
        <f>IF(①基本情報!$E$10&gt;90,MIN(AF12,3,MIN(AF12,AI12,3)+MIN(AF12,AJ12,1)),MIN(AF12,4,MIN(AF12,AI12,4)+MIN(AF12,AJ12,2)))</f>
        <v>#N/A</v>
      </c>
      <c r="AI12" s="33" t="e">
        <f t="shared" si="4"/>
        <v>#DIV/0!</v>
      </c>
      <c r="AJ12" s="33" t="e">
        <f t="shared" si="5"/>
        <v>#DIV/0!</v>
      </c>
    </row>
    <row r="13" spans="1:38" s="33" customFormat="1" ht="36" customHeight="1">
      <c r="A13" s="196">
        <v>8</v>
      </c>
      <c r="B13" s="61">
        <f>COUNTIFS('②-1職員名簿'!AG$7:AG$106,"●",'②-1職員名簿'!$BE$7:$BE$106,"正規職員",'②-1職員名簿'!$BF$7:$BF$106,"○")</f>
        <v>0</v>
      </c>
      <c r="C13" s="61">
        <f>COUNTIFS('②-1職員名簿'!AG$7:AG$106,"●",'②-2勤務時間数入力'!$C$7:$C$106,"常勤的非常勤",'②-1職員名簿'!$BF$7:$BF$106,"○",'②-2勤務時間数入力'!V$7:V$106,"常")</f>
        <v>0</v>
      </c>
      <c r="D13" s="61">
        <f>SUMIFS('②-2勤務時間数入力'!V$7:V$106,'②-1職員名簿'!AG$7:AG$106,"●",'②-1職員名簿'!$BF$7:$BF$106,"○",'②-1職員名簿'!$C$7:$C$106,"パート")</f>
        <v>0</v>
      </c>
      <c r="E13" s="61">
        <f>COUNTIFS('②-1職員名簿'!AG$7:AG$106,"●",'②-2勤務時間数入力'!$C$7:$C$106,"嘱託常勤",'②-1職員名簿'!$BF$7:$BF$106,"○",'②-2勤務時間数入力'!V$7:V$106,"常")</f>
        <v>0</v>
      </c>
      <c r="F13" s="61">
        <f>SUMIFS('②-2勤務時間数入力'!V$7:V$106,'②-1職員名簿'!AG$7:AG$106,"●",'②-1職員名簿'!$BF$7:$BF$106,"○",'②-1職員名簿'!$C$7:$C$106,"嘱託等")</f>
        <v>0</v>
      </c>
      <c r="G13" s="61">
        <f>COUNTIFS('②-1職員名簿'!AG$7:AG$106,"●",'②-1職員名簿'!$BE$7:$BE$106,"正規職員",'②-1職員名簿'!$BG$7:$BG$106,"○")</f>
        <v>0</v>
      </c>
      <c r="H13" s="61">
        <f>COUNTIFS('②-1職員名簿'!AG$7:AG$106,"●",'②-2勤務時間数入力'!$C$7:$C$106,"常勤的非常勤",'②-1職員名簿'!$BG$7:$BG$106,"○",'②-2勤務時間数入力'!V$7:V$106,"常")</f>
        <v>0</v>
      </c>
      <c r="I13" s="61">
        <f>SUMIFS('②-2勤務時間数入力'!V$7:V$106,'②-1職員名簿'!AG$7:AG$106,"●",'②-1職員名簿'!$BG$7:$BG$106,"○",'②-1職員名簿'!$C$7:$C$106,"パート")</f>
        <v>0</v>
      </c>
      <c r="J13" s="61">
        <f>COUNTIFS('②-1職員名簿'!AG$7:AG$106,"●",'②-2勤務時間数入力'!$C$7:$C$106,"嘱託常勤",'②-1職員名簿'!$BG$7:$BG$106,"○",'②-2勤務時間数入力'!V$7:V$106,"常")</f>
        <v>0</v>
      </c>
      <c r="K13" s="61">
        <f>SUMIFS('②-2勤務時間数入力'!V$7:V$106,'②-1職員名簿'!AG$7:AG$106,"●",'②-1職員名簿'!$BG$7:$BG$106,"○",'②-1職員名簿'!$C$7:$C$106,"嘱託等")</f>
        <v>0</v>
      </c>
      <c r="L13" s="128">
        <f>'②-2勤務時間数入力'!AH11</f>
        <v>0</v>
      </c>
      <c r="M13" s="129">
        <f>COUNTIFS('②-1職員名簿'!W7:W106,"園長",'②-1職員名簿'!AG$7:AG$106,"●")</f>
        <v>0</v>
      </c>
      <c r="N13" s="61">
        <f>COUNTIFS('②-1職員名簿'!AG$7:AG$106,"●",'②-1職員名簿'!$W$7:$W$106,$N$5,'②-2勤務時間数入力'!J$7:J$106,"正")</f>
        <v>0</v>
      </c>
      <c r="O13" s="61">
        <f>COUNTIFS('②-1職員名簿'!AG$7:AG$106,"●",'②-1職員名簿'!$W$7:$W$106,$N$5,'②-2勤務時間数入力'!V$7:V$106,"常")</f>
        <v>0</v>
      </c>
      <c r="P13" s="61">
        <f>SUMIFS('②-2勤務時間数入力'!V$7:V$106,'②-1職員名簿'!AG$7:AG$106,"●",'②-1職員名簿'!$W$7:$W$106,$N$5)</f>
        <v>0</v>
      </c>
      <c r="Q13" s="61">
        <f>COUNTIFS('②-1職員名簿'!AG$7:AG$106,"●",'②-1職員名簿'!$W$7:$W$106,$Q$5,'②-2勤務時間数入力'!J$7:J$106,"正")</f>
        <v>0</v>
      </c>
      <c r="R13" s="61">
        <f>COUNTIFS('②-1職員名簿'!AG$7:AG$106,"●",'②-1職員名簿'!$W$7:$W$106,$Q$5,'②-2勤務時間数入力'!V$7:V$106,"常")</f>
        <v>0</v>
      </c>
      <c r="S13" s="61">
        <f>SUMIFS('②-2勤務時間数入力'!V$7:V$106,'②-1職員名簿'!AG$7:AG$106,"●",'②-1職員名簿'!$W$7:$W$106,$Q$5)</f>
        <v>0</v>
      </c>
      <c r="T13" s="61">
        <f>COUNTIFS('②-1職員名簿'!AG$7:AG$106,"●",'②-1職員名簿'!$W$7:$W$106,$T$5,'②-2勤務時間数入力'!J$7:J$106,"正")</f>
        <v>0</v>
      </c>
      <c r="U13" s="61">
        <f>COUNTIFS('②-1職員名簿'!AG$7:AG$106,"●",'②-1職員名簿'!$W$7:$W$106,$T$5,'②-2勤務時間数入力'!V$7:V$106,"常")</f>
        <v>0</v>
      </c>
      <c r="V13" s="61">
        <f>SUMIFS('②-2勤務時間数入力'!V$7:V$106,'②-1職員名簿'!AG$7:AG$106,"●",'②-1職員名簿'!$W$7:$W$106,$T$5)</f>
        <v>0</v>
      </c>
      <c r="W13" s="61">
        <f>COUNTIFS('②-1職員名簿'!AG$7:AG$106,"●",'②-1職員名簿'!$W$7:$W$106,$W$5,'②-2勤務時間数入力'!J$7:J$106,"正")</f>
        <v>0</v>
      </c>
      <c r="X13" s="61">
        <f>COUNTIFS('②-1職員名簿'!AG$7:AG$106,"●",'②-1職員名簿'!$W$7:$W$106,$W$5,'②-2勤務時間数入力'!V$7:V$106,"常")</f>
        <v>0</v>
      </c>
      <c r="Y13" s="61">
        <f>SUMIFS('②-2勤務時間数入力'!V$7:V$106,'②-1職員名簿'!AG$7:AG$106,"●",'②-1職員名簿'!$W$7:$W$106,$W$5)</f>
        <v>0</v>
      </c>
      <c r="Z13" s="61">
        <f>COUNTIFS('②-1職員名簿'!AG$7:AG$106,"●",'②-1職員名簿'!$W$7:$W$106,$Z$5,'②-2勤務時間数入力'!J$7:J$106,"正")</f>
        <v>0</v>
      </c>
      <c r="AA13" s="61">
        <f>COUNTIFS('②-1職員名簿'!AG$7:AG$106,"●",'②-1職員名簿'!$W$7:$W$106,$Z$5,'②-2勤務時間数入力'!V$7:V$106,"常")</f>
        <v>0</v>
      </c>
      <c r="AB13" s="61">
        <f>SUMIFS('②-2勤務時間数入力'!V$7:V$106,'②-1職員名簿'!AG$7:AG$106,"●",'②-1職員名簿'!$W$7:$W$106,$Z$5)</f>
        <v>0</v>
      </c>
      <c r="AC13" s="130">
        <f t="shared" si="0"/>
        <v>0</v>
      </c>
      <c r="AD13" s="130">
        <f t="shared" si="1"/>
        <v>0</v>
      </c>
      <c r="AE13" s="135" t="e">
        <f t="shared" si="2"/>
        <v>#DIV/0!</v>
      </c>
      <c r="AF13" s="135" t="e">
        <f t="shared" si="3"/>
        <v>#DIV/0!</v>
      </c>
      <c r="AG13" s="134" t="e">
        <f>IF(①基本情報!$E$10&gt;90,MIN(AF13,3,MIN(AF13,AI13,3)+MIN(AF13,AJ13,1)),MIN(AF13,4,MIN(AF13,AI13,4)+MIN(AF13,AJ13,2)))</f>
        <v>#N/A</v>
      </c>
      <c r="AI13" s="33" t="e">
        <f t="shared" si="4"/>
        <v>#DIV/0!</v>
      </c>
      <c r="AJ13" s="33" t="e">
        <f t="shared" si="5"/>
        <v>#DIV/0!</v>
      </c>
    </row>
    <row r="14" spans="1:38" s="33" customFormat="1" ht="36" customHeight="1">
      <c r="A14" s="196">
        <v>9</v>
      </c>
      <c r="B14" s="61">
        <f>COUNTIFS('②-1職員名簿'!AH$7:AH$106,"●",'②-1職員名簿'!$BE$7:$BE$106,"正規職員",'②-1職員名簿'!$BF$7:$BF$106,"○")</f>
        <v>0</v>
      </c>
      <c r="C14" s="61">
        <f>COUNTIFS('②-1職員名簿'!AH$7:AH$106,"●",'②-2勤務時間数入力'!$C$7:$C$106,"常勤的非常勤",'②-1職員名簿'!$BF$7:$BF$106,"○",'②-2勤務時間数入力'!W$7:W$106,"常")</f>
        <v>0</v>
      </c>
      <c r="D14" s="61">
        <f>SUMIFS('②-2勤務時間数入力'!W$7:W$106,'②-1職員名簿'!AH$7:AH$106,"●",'②-1職員名簿'!$BF$7:$BF$106,"○",'②-1職員名簿'!$C$7:$C$106,"パート")</f>
        <v>0</v>
      </c>
      <c r="E14" s="61">
        <f>COUNTIFS('②-1職員名簿'!AH$7:AH$106,"●",'②-2勤務時間数入力'!$C$7:$C$106,"嘱託常勤",'②-1職員名簿'!$BF$7:$BF$106,"○",'②-2勤務時間数入力'!W$7:W$106,"常")</f>
        <v>0</v>
      </c>
      <c r="F14" s="61">
        <f>SUMIFS('②-2勤務時間数入力'!W$7:W$106,'②-1職員名簿'!AH$7:AH$106,"●",'②-1職員名簿'!$BF$7:$BF$106,"○",'②-1職員名簿'!$C$7:$C$106,"嘱託等")</f>
        <v>0</v>
      </c>
      <c r="G14" s="61">
        <f>COUNTIFS('②-1職員名簿'!AH$7:AH$106,"●",'②-1職員名簿'!$BE$7:$BE$106,"正規職員",'②-1職員名簿'!$BG$7:$BG$106,"○")</f>
        <v>0</v>
      </c>
      <c r="H14" s="61">
        <f>COUNTIFS('②-1職員名簿'!AH$7:AH$106,"●",'②-2勤務時間数入力'!$C$7:$C$106,"常勤的非常勤",'②-1職員名簿'!$BG$7:$BG$106,"○",'②-2勤務時間数入力'!W$7:W$106,"常")</f>
        <v>0</v>
      </c>
      <c r="I14" s="61">
        <f>SUMIFS('②-2勤務時間数入力'!W$7:W$106,'②-1職員名簿'!AH$7:AH$106,"●",'②-1職員名簿'!$BG$7:$BG$106,"○",'②-1職員名簿'!$C$7:$C$106,"パート")</f>
        <v>0</v>
      </c>
      <c r="J14" s="61">
        <f>COUNTIFS('②-1職員名簿'!AH$7:AH$106,"●",'②-2勤務時間数入力'!$C$7:$C$106,"嘱託常勤",'②-1職員名簿'!$BG$7:$BG$106,"○",'②-2勤務時間数入力'!W$7:W$106,"常")</f>
        <v>0</v>
      </c>
      <c r="K14" s="61">
        <f>SUMIFS('②-2勤務時間数入力'!W$7:W$106,'②-1職員名簿'!AH$7:AH$106,"●",'②-1職員名簿'!$BG$7:$BG$106,"○",'②-1職員名簿'!$C$7:$C$106,"嘱託等")</f>
        <v>0</v>
      </c>
      <c r="L14" s="128">
        <f>'②-2勤務時間数入力'!AH12</f>
        <v>0</v>
      </c>
      <c r="M14" s="129">
        <f>COUNTIFS('②-1職員名簿'!W7:W106,"園長",'②-1職員名簿'!AH$7:AH$106,"●")</f>
        <v>0</v>
      </c>
      <c r="N14" s="61">
        <f>COUNTIFS('②-1職員名簿'!AH$7:AH$106,"●",'②-1職員名簿'!$W$7:$W$106,$N$5,'②-2勤務時間数入力'!K$7:K$106,"正")</f>
        <v>0</v>
      </c>
      <c r="O14" s="61">
        <f>COUNTIFS('②-1職員名簿'!AH$7:AH$106,"●",'②-1職員名簿'!$W$7:$W$106,$N$5,'②-2勤務時間数入力'!W$7:W$106,"常")</f>
        <v>0</v>
      </c>
      <c r="P14" s="61">
        <f>SUMIFS('②-2勤務時間数入力'!W$7:W$106,'②-1職員名簿'!AH$7:AH$106,"●",'②-1職員名簿'!$W$7:$W$106,$N$5)</f>
        <v>0</v>
      </c>
      <c r="Q14" s="61">
        <f>COUNTIFS('②-1職員名簿'!AH$7:AH$106,"●",'②-1職員名簿'!$W$7:$W$106,$Q$5,'②-2勤務時間数入力'!K$7:K$106,"正")</f>
        <v>0</v>
      </c>
      <c r="R14" s="61">
        <f>COUNTIFS('②-1職員名簿'!AH$7:AH$106,"●",'②-1職員名簿'!$W$7:$W$106,$Q$5,'②-2勤務時間数入力'!W$7:W$106,"常")</f>
        <v>0</v>
      </c>
      <c r="S14" s="61">
        <f>SUMIFS('②-2勤務時間数入力'!W$7:W$106,'②-1職員名簿'!AH$7:AH$106,"●",'②-1職員名簿'!$W$7:$W$106,$Q$5)</f>
        <v>0</v>
      </c>
      <c r="T14" s="61">
        <f>COUNTIFS('②-1職員名簿'!AH$7:AH$106,"●",'②-1職員名簿'!$W$7:$W$106,$T$5,'②-2勤務時間数入力'!K$7:K$106,"正")</f>
        <v>0</v>
      </c>
      <c r="U14" s="61">
        <f>COUNTIFS('②-1職員名簿'!AH$7:AH$106,"●",'②-1職員名簿'!$W$7:$W$106,$T$5,'②-2勤務時間数入力'!W$7:W$106,"常")</f>
        <v>0</v>
      </c>
      <c r="V14" s="61">
        <f>SUMIFS('②-2勤務時間数入力'!W$7:W$106,'②-1職員名簿'!AH$7:AH$106,"●",'②-1職員名簿'!$W$7:$W$106,$T$5)</f>
        <v>0</v>
      </c>
      <c r="W14" s="61">
        <f>COUNTIFS('②-1職員名簿'!AH$7:AH$106,"●",'②-1職員名簿'!$W$7:$W$106,$W$5,'②-2勤務時間数入力'!K$7:K$106,"正")</f>
        <v>0</v>
      </c>
      <c r="X14" s="61">
        <f>COUNTIFS('②-1職員名簿'!AH$7:AH$106,"●",'②-1職員名簿'!$W$7:$W$106,$W$5,'②-2勤務時間数入力'!W$7:W$106,"常")</f>
        <v>0</v>
      </c>
      <c r="Y14" s="61">
        <f>SUMIFS('②-2勤務時間数入力'!W$7:W$106,'②-1職員名簿'!AH$7:AH$106,"●",'②-1職員名簿'!$W$7:$W$106,$W$5)</f>
        <v>0</v>
      </c>
      <c r="Z14" s="61">
        <f>COUNTIFS('②-1職員名簿'!AH$7:AH$106,"●",'②-1職員名簿'!$W$7:$W$106,$Z$5,'②-2勤務時間数入力'!K$7:K$106,"正")</f>
        <v>0</v>
      </c>
      <c r="AA14" s="61">
        <f>COUNTIFS('②-1職員名簿'!AH$7:AH$106,"●",'②-1職員名簿'!$W$7:$W$106,$Z$5,'②-2勤務時間数入力'!W$7:W$106,"常")</f>
        <v>0</v>
      </c>
      <c r="AB14" s="61">
        <f>SUMIFS('②-2勤務時間数入力'!W$7:W$106,'②-1職員名簿'!AH$7:AH$106,"●",'②-1職員名簿'!$W$7:$W$106,$Z$5)</f>
        <v>0</v>
      </c>
      <c r="AC14" s="130">
        <f t="shared" si="0"/>
        <v>0</v>
      </c>
      <c r="AD14" s="130">
        <f t="shared" si="1"/>
        <v>0</v>
      </c>
      <c r="AE14" s="135" t="e">
        <f t="shared" si="2"/>
        <v>#DIV/0!</v>
      </c>
      <c r="AF14" s="135" t="e">
        <f t="shared" si="3"/>
        <v>#DIV/0!</v>
      </c>
      <c r="AG14" s="134" t="e">
        <f>IF(①基本情報!$E$10&gt;90,MIN(AF14,3,MIN(AF14,AI14,3)+MIN(AF14,AJ14,1)),MIN(AF14,4,MIN(AF14,AI14,4)+MIN(AF14,AJ14,2)))</f>
        <v>#N/A</v>
      </c>
      <c r="AI14" s="33" t="e">
        <f t="shared" si="4"/>
        <v>#DIV/0!</v>
      </c>
      <c r="AJ14" s="33" t="e">
        <f t="shared" si="5"/>
        <v>#DIV/0!</v>
      </c>
    </row>
    <row r="15" spans="1:38" s="33" customFormat="1" ht="36" customHeight="1">
      <c r="A15" s="196">
        <v>10</v>
      </c>
      <c r="B15" s="61">
        <f>COUNTIFS('②-1職員名簿'!AI$7:AI$106,"●",'②-1職員名簿'!$BE$7:$BE$106,"正規職員",'②-1職員名簿'!$BF$7:$BF$106,"○")</f>
        <v>0</v>
      </c>
      <c r="C15" s="61">
        <f>COUNTIFS('②-1職員名簿'!AI$7:AI$106,"●",'②-2勤務時間数入力'!$C$7:$C$106,"常勤的非常勤",'②-1職員名簿'!$BF$7:$BF$106,"○",'②-2勤務時間数入力'!X$7:X$106,"常")</f>
        <v>0</v>
      </c>
      <c r="D15" s="61">
        <f>SUMIFS('②-2勤務時間数入力'!X$7:X$106,'②-1職員名簿'!AI$7:AI$106,"●",'②-1職員名簿'!$BF$7:$BF$106,"○",'②-1職員名簿'!$C$7:$C$106,"パート")</f>
        <v>0</v>
      </c>
      <c r="E15" s="61">
        <f>COUNTIFS('②-1職員名簿'!AI$7:AI$106,"●",'②-2勤務時間数入力'!$C$7:$C$106,"嘱託常勤",'②-1職員名簿'!$BF$7:$BF$106,"○",'②-2勤務時間数入力'!X$7:X$106,"常")</f>
        <v>0</v>
      </c>
      <c r="F15" s="61">
        <f>SUMIFS('②-2勤務時間数入力'!X$7:X$106,'②-1職員名簿'!AI$7:AI$106,"●",'②-1職員名簿'!$BF$7:$BF$106,"○",'②-1職員名簿'!$C$7:$C$106,"嘱託等")</f>
        <v>0</v>
      </c>
      <c r="G15" s="61">
        <f>COUNTIFS('②-1職員名簿'!AI$7:AI$106,"●",'②-1職員名簿'!$BE$7:$BE$106,"正規職員",'②-1職員名簿'!$BG$7:$BG$106,"○")</f>
        <v>0</v>
      </c>
      <c r="H15" s="61">
        <f>COUNTIFS('②-1職員名簿'!AI$7:AI$106,"●",'②-2勤務時間数入力'!$C$7:$C$106,"常勤的非常勤",'②-1職員名簿'!$BG$7:$BG$106,"○",'②-2勤務時間数入力'!X$7:X$106,"常")</f>
        <v>0</v>
      </c>
      <c r="I15" s="61">
        <f>SUMIFS('②-2勤務時間数入力'!X$7:X$106,'②-1職員名簿'!AI$7:AI$106,"●",'②-1職員名簿'!$BG$7:$BG$106,"○",'②-1職員名簿'!$C$7:$C$106,"パート")</f>
        <v>0</v>
      </c>
      <c r="J15" s="61">
        <f>COUNTIFS('②-1職員名簿'!AI$7:AI$106,"●",'②-2勤務時間数入力'!$C$7:$C$106,"嘱託常勤",'②-1職員名簿'!$BG$7:$BG$106,"○",'②-2勤務時間数入力'!X$7:X$106,"常")</f>
        <v>0</v>
      </c>
      <c r="K15" s="61">
        <f>SUMIFS('②-2勤務時間数入力'!X$7:X$106,'②-1職員名簿'!AI$7:AI$106,"●",'②-1職員名簿'!$BG$7:$BG$106,"○",'②-1職員名簿'!$C$7:$C$106,"嘱託等")</f>
        <v>0</v>
      </c>
      <c r="L15" s="128">
        <f>'②-2勤務時間数入力'!AH13</f>
        <v>0</v>
      </c>
      <c r="M15" s="129">
        <f>COUNTIFS('②-1職員名簿'!W7:W106,"園長",'②-1職員名簿'!AI$7:AI$106,"●")</f>
        <v>0</v>
      </c>
      <c r="N15" s="61">
        <f>COUNTIFS('②-1職員名簿'!AI$7:AI$106,"●",'②-1職員名簿'!$W$7:$W$106,$N$5,'②-2勤務時間数入力'!L$7:L$106,"正")</f>
        <v>0</v>
      </c>
      <c r="O15" s="61">
        <f>COUNTIFS('②-1職員名簿'!AI$7:AI$106,"●",'②-1職員名簿'!$W$7:$W$106,$N$5,'②-2勤務時間数入力'!X$7:X$106,"常")</f>
        <v>0</v>
      </c>
      <c r="P15" s="61">
        <f>SUMIFS('②-2勤務時間数入力'!X$7:X$106,'②-1職員名簿'!AI$7:AI$106,"●",'②-1職員名簿'!$W$7:$W$106,$N$5)</f>
        <v>0</v>
      </c>
      <c r="Q15" s="61">
        <f>COUNTIFS('②-1職員名簿'!AI$7:AI$106,"●",'②-1職員名簿'!$W$7:$W$106,$Q$5,'②-2勤務時間数入力'!L$7:L$106,"正")</f>
        <v>0</v>
      </c>
      <c r="R15" s="61">
        <f>COUNTIFS('②-1職員名簿'!AI$7:AI$106,"●",'②-1職員名簿'!$W$7:$W$106,$Q$5,'②-2勤務時間数入力'!X$7:X$106,"常")</f>
        <v>0</v>
      </c>
      <c r="S15" s="61">
        <f>SUMIFS('②-2勤務時間数入力'!X$7:X$106,'②-1職員名簿'!AI$7:AI$106,"●",'②-1職員名簿'!$W$7:$W$106,$Q$5)</f>
        <v>0</v>
      </c>
      <c r="T15" s="61">
        <f>COUNTIFS('②-1職員名簿'!AI$7:AI$106,"●",'②-1職員名簿'!$W$7:$W$106,$T$5,'②-2勤務時間数入力'!L$7:L$106,"正")</f>
        <v>0</v>
      </c>
      <c r="U15" s="61">
        <f>COUNTIFS('②-1職員名簿'!AI$7:AI$106,"●",'②-1職員名簿'!$W$7:$W$106,$T$5,'②-2勤務時間数入力'!X$7:X$106,"常")</f>
        <v>0</v>
      </c>
      <c r="V15" s="61">
        <f>SUMIFS('②-2勤務時間数入力'!X$7:X$106,'②-1職員名簿'!AI$7:AI$106,"●",'②-1職員名簿'!$W$7:$W$106,$T$5)</f>
        <v>0</v>
      </c>
      <c r="W15" s="61">
        <f>COUNTIFS('②-1職員名簿'!AI$7:AI$106,"●",'②-1職員名簿'!$W$7:$W$106,$W$5,'②-2勤務時間数入力'!L$7:L$106,"正")</f>
        <v>0</v>
      </c>
      <c r="X15" s="61">
        <f>COUNTIFS('②-1職員名簿'!AI$7:AI$106,"●",'②-1職員名簿'!$W$7:$W$106,$W$5,'②-2勤務時間数入力'!X$7:X$106,"常")</f>
        <v>0</v>
      </c>
      <c r="Y15" s="61">
        <f>SUMIFS('②-2勤務時間数入力'!X$7:X$106,'②-1職員名簿'!AI$7:AI$106,"●",'②-1職員名簿'!$W$7:$W$106,$W$5)</f>
        <v>0</v>
      </c>
      <c r="Z15" s="61">
        <f>COUNTIFS('②-1職員名簿'!AI$7:AI$106,"●",'②-1職員名簿'!$W$7:$W$106,$Z$5,'②-2勤務時間数入力'!L$7:L$106,"正")</f>
        <v>0</v>
      </c>
      <c r="AA15" s="61">
        <f>COUNTIFS('②-1職員名簿'!AI$7:AI$106,"●",'②-1職員名簿'!$W$7:$W$106,$Z$5,'②-2勤務時間数入力'!X$7:X$106,"常")</f>
        <v>0</v>
      </c>
      <c r="AB15" s="61">
        <f>SUMIFS('②-2勤務時間数入力'!X$7:X$106,'②-1職員名簿'!AI$7:AI$106,"●",'②-1職員名簿'!$W$7:$W$106,$Z$5)</f>
        <v>0</v>
      </c>
      <c r="AC15" s="130">
        <f t="shared" si="0"/>
        <v>0</v>
      </c>
      <c r="AD15" s="130">
        <f t="shared" si="1"/>
        <v>0</v>
      </c>
      <c r="AE15" s="135" t="e">
        <f t="shared" si="2"/>
        <v>#DIV/0!</v>
      </c>
      <c r="AF15" s="135" t="e">
        <f t="shared" si="3"/>
        <v>#DIV/0!</v>
      </c>
      <c r="AG15" s="134" t="e">
        <f>IF(①基本情報!$E$10&gt;90,MIN(AF15,3,MIN(AF15,AI15,3)+MIN(AF15,AJ15,1)),MIN(AF15,4,MIN(AF15,AI15,4)+MIN(AF15,AJ15,2)))</f>
        <v>#N/A</v>
      </c>
      <c r="AI15" s="33" t="e">
        <f t="shared" si="4"/>
        <v>#DIV/0!</v>
      </c>
      <c r="AJ15" s="33" t="e">
        <f t="shared" si="5"/>
        <v>#DIV/0!</v>
      </c>
    </row>
    <row r="16" spans="1:38" s="33" customFormat="1" ht="36" customHeight="1">
      <c r="A16" s="196">
        <v>11</v>
      </c>
      <c r="B16" s="61">
        <f>COUNTIFS('②-1職員名簿'!AJ$7:AJ$106,"●",'②-1職員名簿'!$BE$7:$BE$106,"正規職員",'②-1職員名簿'!$BF$7:$BF$106,"○")</f>
        <v>0</v>
      </c>
      <c r="C16" s="61">
        <f>COUNTIFS('②-1職員名簿'!AJ$7:AJ$106,"●",'②-2勤務時間数入力'!$C$7:$C$106,"常勤的非常勤",'②-1職員名簿'!$BF$7:$BF$106,"○",'②-2勤務時間数入力'!Y$7:Y$106,"常")</f>
        <v>0</v>
      </c>
      <c r="D16" s="61">
        <f>SUMIFS('②-2勤務時間数入力'!Y$7:Y$106,'②-1職員名簿'!AJ$7:AJ$106,"●",'②-1職員名簿'!$BF$7:$BF$106,"○",'②-1職員名簿'!$C$7:$C$106,"パート")</f>
        <v>0</v>
      </c>
      <c r="E16" s="61">
        <f>COUNTIFS('②-1職員名簿'!AJ$7:AJ$106,"●",'②-2勤務時間数入力'!$C$7:$C$106,"嘱託常勤",'②-1職員名簿'!$BF$7:$BF$106,"○",'②-2勤務時間数入力'!Y$7:Y$106,"常")</f>
        <v>0</v>
      </c>
      <c r="F16" s="61">
        <f>SUMIFS('②-2勤務時間数入力'!Y$7:Y$106,'②-1職員名簿'!AJ$7:AJ$106,"●",'②-1職員名簿'!$BF$7:$BF$106,"○",'②-1職員名簿'!$C$7:$C$106,"嘱託等")</f>
        <v>0</v>
      </c>
      <c r="G16" s="61">
        <f>COUNTIFS('②-1職員名簿'!AJ$7:AJ$106,"●",'②-1職員名簿'!$BE$7:$BE$106,"正規職員",'②-1職員名簿'!$BG$7:$BG$106,"○")</f>
        <v>0</v>
      </c>
      <c r="H16" s="61">
        <f>COUNTIFS('②-1職員名簿'!AJ$7:AJ$106,"●",'②-2勤務時間数入力'!$C$7:$C$106,"常勤的非常勤",'②-1職員名簿'!$BG$7:$BG$106,"○",'②-2勤務時間数入力'!Y$7:Y$106,"常")</f>
        <v>0</v>
      </c>
      <c r="I16" s="61">
        <f>SUMIFS('②-2勤務時間数入力'!Y$7:Y$106,'②-1職員名簿'!AJ$7:AJ$106,"●",'②-1職員名簿'!$BG$7:$BG$106,"○",'②-1職員名簿'!$C$7:$C$106,"パート")</f>
        <v>0</v>
      </c>
      <c r="J16" s="61">
        <f>COUNTIFS('②-1職員名簿'!AJ$7:AJ$106,"●",'②-2勤務時間数入力'!$C$7:$C$106,"嘱託常勤",'②-1職員名簿'!$BG$7:$BG$106,"○",'②-2勤務時間数入力'!Y$7:Y$106,"常")</f>
        <v>0</v>
      </c>
      <c r="K16" s="61">
        <f>SUMIFS('②-2勤務時間数入力'!Y$7:Y$106,'②-1職員名簿'!AJ$7:AJ$106,"●",'②-1職員名簿'!$BG$7:$BG$106,"○",'②-1職員名簿'!$C$7:$C$106,"嘱託等")</f>
        <v>0</v>
      </c>
      <c r="L16" s="128">
        <f>'②-2勤務時間数入力'!AH14</f>
        <v>0</v>
      </c>
      <c r="M16" s="129">
        <f>COUNTIFS('②-1職員名簿'!W7:W106,"園長",'②-1職員名簿'!AJ$7:AJ$106,"●")</f>
        <v>0</v>
      </c>
      <c r="N16" s="61">
        <f>COUNTIFS('②-1職員名簿'!AJ$7:AJ$106,"●",'②-1職員名簿'!$W$7:$W$106,$N$5,'②-2勤務時間数入力'!M$7:M$106,"正")</f>
        <v>0</v>
      </c>
      <c r="O16" s="61">
        <f>COUNTIFS('②-1職員名簿'!AJ$7:AJ$106,"●",'②-1職員名簿'!$W$7:$W$106,$N$5,'②-2勤務時間数入力'!Y$7:Y$106,"常")</f>
        <v>0</v>
      </c>
      <c r="P16" s="61">
        <f>SUMIFS('②-2勤務時間数入力'!Y$7:Y$106,'②-1職員名簿'!AJ$7:AJ$106,"●",'②-1職員名簿'!$W$7:$W$106,$N$5)</f>
        <v>0</v>
      </c>
      <c r="Q16" s="61">
        <f>COUNTIFS('②-1職員名簿'!AJ$7:AJ$106,"●",'②-1職員名簿'!$W$7:$W$106,$Q$5,'②-2勤務時間数入力'!M$7:M$106,"正")</f>
        <v>0</v>
      </c>
      <c r="R16" s="61">
        <f>COUNTIFS('②-1職員名簿'!AJ$7:AJ$106,"●",'②-1職員名簿'!$W$7:$W$106,$Q$5,'②-2勤務時間数入力'!Y$7:Y$106,"常")</f>
        <v>0</v>
      </c>
      <c r="S16" s="61">
        <f>SUMIFS('②-2勤務時間数入力'!Y$7:Y$106,'②-1職員名簿'!AJ$7:AJ$106,"●",'②-1職員名簿'!$W$7:$W$106,$Q$5)</f>
        <v>0</v>
      </c>
      <c r="T16" s="61">
        <f>COUNTIFS('②-1職員名簿'!AJ$7:AJ$106,"●",'②-1職員名簿'!$W$7:$W$106,$T$5,'②-2勤務時間数入力'!M$7:M$106,"正")</f>
        <v>0</v>
      </c>
      <c r="U16" s="61">
        <f>COUNTIFS('②-1職員名簿'!AJ$7:AJ$106,"●",'②-1職員名簿'!$W$7:$W$106,$T$5,'②-2勤務時間数入力'!Y$7:Y$106,"常")</f>
        <v>0</v>
      </c>
      <c r="V16" s="61">
        <f>SUMIFS('②-2勤務時間数入力'!Y$7:Y$106,'②-1職員名簿'!AJ$7:AJ$106,"●",'②-1職員名簿'!$W$7:$W$106,$T$5)</f>
        <v>0</v>
      </c>
      <c r="W16" s="61">
        <f>COUNTIFS('②-1職員名簿'!AJ$7:AJ$106,"●",'②-1職員名簿'!$W$7:$W$106,$W$5,'②-2勤務時間数入力'!M$7:M$106,"正")</f>
        <v>0</v>
      </c>
      <c r="X16" s="61">
        <f>COUNTIFS('②-1職員名簿'!AJ$7:AJ$106,"●",'②-1職員名簿'!$W$7:$W$106,$W$5,'②-2勤務時間数入力'!Y$7:Y$106,"常")</f>
        <v>0</v>
      </c>
      <c r="Y16" s="61">
        <f>SUMIFS('②-2勤務時間数入力'!Y$7:Y$106,'②-1職員名簿'!AJ$7:AJ$106,"●",'②-1職員名簿'!$W$7:$W$106,$W$5)</f>
        <v>0</v>
      </c>
      <c r="Z16" s="61">
        <f>COUNTIFS('②-1職員名簿'!AJ$7:AJ$106,"●",'②-1職員名簿'!$W$7:$W$106,$Z$5,'②-2勤務時間数入力'!M$7:M$106,"正")</f>
        <v>0</v>
      </c>
      <c r="AA16" s="61">
        <f>COUNTIFS('②-1職員名簿'!AJ$7:AJ$106,"●",'②-1職員名簿'!$W$7:$W$106,$Z$5,'②-2勤務時間数入力'!Y$7:Y$106,"常")</f>
        <v>0</v>
      </c>
      <c r="AB16" s="61">
        <f>SUMIFS('②-2勤務時間数入力'!Y$7:Y$106,'②-1職員名簿'!AJ$7:AJ$106,"●",'②-1職員名簿'!$W$7:$W$106,$Z$5)</f>
        <v>0</v>
      </c>
      <c r="AC16" s="130">
        <f t="shared" si="0"/>
        <v>0</v>
      </c>
      <c r="AD16" s="130">
        <f t="shared" si="1"/>
        <v>0</v>
      </c>
      <c r="AE16" s="135" t="e">
        <f t="shared" si="2"/>
        <v>#DIV/0!</v>
      </c>
      <c r="AF16" s="135" t="e">
        <f t="shared" si="3"/>
        <v>#DIV/0!</v>
      </c>
      <c r="AG16" s="134" t="e">
        <f>IF(①基本情報!$E$10&gt;90,MIN(AF16,3,MIN(AF16,AI16,3)+MIN(AF16,AJ16,1)),MIN(AF16,4,MIN(AF16,AI16,4)+MIN(AF16,AJ16,2)))</f>
        <v>#N/A</v>
      </c>
      <c r="AI16" s="33" t="e">
        <f t="shared" si="4"/>
        <v>#DIV/0!</v>
      </c>
      <c r="AJ16" s="33" t="e">
        <f t="shared" si="5"/>
        <v>#DIV/0!</v>
      </c>
    </row>
    <row r="17" spans="1:39" s="33" customFormat="1" ht="36" customHeight="1">
      <c r="A17" s="196">
        <v>12</v>
      </c>
      <c r="B17" s="61">
        <f>COUNTIFS('②-1職員名簿'!AK$7:AK$106,"●",'②-1職員名簿'!$BE$7:$BE$106,"正規職員",'②-1職員名簿'!$BF$7:$BF$106,"○")</f>
        <v>0</v>
      </c>
      <c r="C17" s="61">
        <f>COUNTIFS('②-1職員名簿'!AK$7:AK$106,"●",'②-2勤務時間数入力'!$C$7:$C$106,"常勤的非常勤",'②-1職員名簿'!$BF$7:$BF$106,"○",'②-2勤務時間数入力'!Z$7:Z$106,"常")</f>
        <v>0</v>
      </c>
      <c r="D17" s="61">
        <f>SUMIFS('②-2勤務時間数入力'!Z$7:Z$106,'②-1職員名簿'!AK$7:AK$106,"●",'②-1職員名簿'!$BF$7:$BF$106,"○",'②-1職員名簿'!$C$7:$C$106,"パート")</f>
        <v>0</v>
      </c>
      <c r="E17" s="61">
        <f>COUNTIFS('②-1職員名簿'!AK$7:AK$106,"●",'②-2勤務時間数入力'!$C$7:$C$106,"嘱託常勤",'②-1職員名簿'!$BF$7:$BF$106,"○",'②-2勤務時間数入力'!Z$7:Z$106,"常")</f>
        <v>0</v>
      </c>
      <c r="F17" s="61">
        <f>SUMIFS('②-2勤務時間数入力'!Z$7:Z$106,'②-1職員名簿'!AK$7:AK$106,"●",'②-1職員名簿'!$BF$7:$BF$106,"○",'②-1職員名簿'!$C$7:$C$106,"嘱託等")</f>
        <v>0</v>
      </c>
      <c r="G17" s="61">
        <f>COUNTIFS('②-1職員名簿'!AK$7:AK$106,"●",'②-1職員名簿'!$BE$7:$BE$106,"正規職員",'②-1職員名簿'!$BG$7:$BG$106,"○")</f>
        <v>0</v>
      </c>
      <c r="H17" s="61">
        <f>COUNTIFS('②-1職員名簿'!AK$7:AK$106,"●",'②-2勤務時間数入力'!$C$7:$C$106,"常勤的非常勤",'②-1職員名簿'!$BG$7:$BG$106,"○",'②-2勤務時間数入力'!Z$7:Z$106,"常")</f>
        <v>0</v>
      </c>
      <c r="I17" s="61">
        <f>SUMIFS('②-2勤務時間数入力'!Z$7:Z$106,'②-1職員名簿'!AK$7:AK$106,"●",'②-1職員名簿'!$BG$7:$BG$106,"○",'②-1職員名簿'!$C$7:$C$106,"パート")</f>
        <v>0</v>
      </c>
      <c r="J17" s="61">
        <f>COUNTIFS('②-1職員名簿'!AK$7:AK$106,"●",'②-2勤務時間数入力'!$C$7:$C$106,"嘱託常勤",'②-1職員名簿'!$BG$7:$BG$106,"○",'②-2勤務時間数入力'!Z$7:Z$106,"常")</f>
        <v>0</v>
      </c>
      <c r="K17" s="61">
        <f>SUMIFS('②-2勤務時間数入力'!Z$7:Z$106,'②-1職員名簿'!AK$7:AK$106,"●",'②-1職員名簿'!$BG$7:$BG$106,"○",'②-1職員名簿'!$C$7:$C$106,"嘱託等")</f>
        <v>0</v>
      </c>
      <c r="L17" s="128">
        <f>'②-2勤務時間数入力'!AH15</f>
        <v>0</v>
      </c>
      <c r="M17" s="129">
        <f>COUNTIFS('②-1職員名簿'!W7:W106,"園長",'②-1職員名簿'!AK$7:AK$106,"●")</f>
        <v>0</v>
      </c>
      <c r="N17" s="61">
        <f>COUNTIFS('②-1職員名簿'!AK$7:AK$106,"●",'②-1職員名簿'!$W$7:$W$106,$N$5,'②-2勤務時間数入力'!N$7:N$106,"正")</f>
        <v>0</v>
      </c>
      <c r="O17" s="61">
        <f>COUNTIFS('②-1職員名簿'!AK$7:AK$106,"●",'②-1職員名簿'!$W$7:$W$106,$N$5,'②-2勤務時間数入力'!Z$7:Z$106,"常")</f>
        <v>0</v>
      </c>
      <c r="P17" s="61">
        <f>SUMIFS('②-2勤務時間数入力'!Z$7:Z$106,'②-1職員名簿'!AK$7:AK$106,"●",'②-1職員名簿'!$W$7:$W$106,$N$5)</f>
        <v>0</v>
      </c>
      <c r="Q17" s="61">
        <f>COUNTIFS('②-1職員名簿'!AK$7:AK$106,"●",'②-1職員名簿'!$W$7:$W$106,$Q$5,'②-2勤務時間数入力'!N$7:N$106,"正")</f>
        <v>0</v>
      </c>
      <c r="R17" s="61">
        <f>COUNTIFS('②-1職員名簿'!AK$7:AK$106,"●",'②-1職員名簿'!$W$7:$W$106,$Q$5,'②-2勤務時間数入力'!Z$7:Z$106,"常")</f>
        <v>0</v>
      </c>
      <c r="S17" s="61">
        <f>SUMIFS('②-2勤務時間数入力'!Z$7:Z$106,'②-1職員名簿'!AK$7:AK$106,"●",'②-1職員名簿'!$W$7:$W$106,$Q$5)</f>
        <v>0</v>
      </c>
      <c r="T17" s="61">
        <f>COUNTIFS('②-1職員名簿'!AK$7:AK$106,"●",'②-1職員名簿'!$W$7:$W$106,$T$5,'②-2勤務時間数入力'!N$7:N$106,"正")</f>
        <v>0</v>
      </c>
      <c r="U17" s="61">
        <f>COUNTIFS('②-1職員名簿'!AK$7:AK$106,"●",'②-1職員名簿'!$W$7:$W$106,$T$5,'②-2勤務時間数入力'!Z$7:Z$106,"常")</f>
        <v>0</v>
      </c>
      <c r="V17" s="61">
        <f>SUMIFS('②-2勤務時間数入力'!Z$7:Z$106,'②-1職員名簿'!AK$7:AK$106,"●",'②-1職員名簿'!$W$7:$W$106,$T$5)</f>
        <v>0</v>
      </c>
      <c r="W17" s="61">
        <f>COUNTIFS('②-1職員名簿'!AK$7:AK$106,"●",'②-1職員名簿'!$W$7:$W$106,$W$5,'②-2勤務時間数入力'!N$7:N$106,"正")</f>
        <v>0</v>
      </c>
      <c r="X17" s="61">
        <f>COUNTIFS('②-1職員名簿'!AK$7:AK$106,"●",'②-1職員名簿'!$W$7:$W$106,$W$5,'②-2勤務時間数入力'!Z$7:Z$106,"常")</f>
        <v>0</v>
      </c>
      <c r="Y17" s="61">
        <f>SUMIFS('②-2勤務時間数入力'!Z$7:Z$106,'②-1職員名簿'!AK$7:AK$106,"●",'②-1職員名簿'!$W$7:$W$106,$W$5)</f>
        <v>0</v>
      </c>
      <c r="Z17" s="61">
        <f>COUNTIFS('②-1職員名簿'!AK$7:AK$106,"●",'②-1職員名簿'!$W$7:$W$106,$Z$5,'②-2勤務時間数入力'!N$7:N$106,"正")</f>
        <v>0</v>
      </c>
      <c r="AA17" s="61">
        <f>COUNTIFS('②-1職員名簿'!AK$7:AK$106,"●",'②-1職員名簿'!$W$7:$W$106,$Z$5,'②-2勤務時間数入力'!Z$7:Z$106,"常")</f>
        <v>0</v>
      </c>
      <c r="AB17" s="61">
        <f>SUMIFS('②-2勤務時間数入力'!Z$7:Z$106,'②-1職員名簿'!AK$7:AK$106,"●",'②-1職員名簿'!$W$7:$W$106,$Z$5)</f>
        <v>0</v>
      </c>
      <c r="AC17" s="130">
        <f t="shared" si="0"/>
        <v>0</v>
      </c>
      <c r="AD17" s="130">
        <f t="shared" si="1"/>
        <v>0</v>
      </c>
      <c r="AE17" s="135" t="e">
        <f t="shared" si="2"/>
        <v>#DIV/0!</v>
      </c>
      <c r="AF17" s="135" t="e">
        <f t="shared" si="3"/>
        <v>#DIV/0!</v>
      </c>
      <c r="AG17" s="134" t="e">
        <f>IF(①基本情報!$E$10&gt;90,MIN(AF17,3,MIN(AF17,AI17,3)+MIN(AF17,AJ17,1)),MIN(AF17,4,MIN(AF17,AI17,4)+MIN(AF17,AJ17,2)))</f>
        <v>#N/A</v>
      </c>
      <c r="AI17" s="33" t="e">
        <f t="shared" si="4"/>
        <v>#DIV/0!</v>
      </c>
      <c r="AJ17" s="33" t="e">
        <f t="shared" si="5"/>
        <v>#DIV/0!</v>
      </c>
    </row>
    <row r="18" spans="1:39" s="33" customFormat="1" ht="36" customHeight="1">
      <c r="A18" s="196">
        <v>1</v>
      </c>
      <c r="B18" s="61">
        <f>COUNTIFS('②-1職員名簿'!AL$7:AL$106,"●",'②-1職員名簿'!$BE$7:$BE$106,"正規職員",'②-1職員名簿'!$BF$7:$BF$106,"○")</f>
        <v>0</v>
      </c>
      <c r="C18" s="61">
        <f>COUNTIFS('②-1職員名簿'!AL$7:AL$106,"●",'②-2勤務時間数入力'!$C$7:$C$106,"常勤的非常勤",'②-1職員名簿'!$BF$7:$BF$106,"○",'②-2勤務時間数入力'!AA$7:AA$106,"常")</f>
        <v>0</v>
      </c>
      <c r="D18" s="61">
        <f>SUMIFS('②-2勤務時間数入力'!AA$7:AA$106,'②-1職員名簿'!AL$7:AL$106,"●",'②-1職員名簿'!$BF$7:$BF$106,"○",'②-1職員名簿'!$C$7:$C$106,"パート")</f>
        <v>0</v>
      </c>
      <c r="E18" s="61">
        <f>COUNTIFS('②-1職員名簿'!AL$7:AL$106,"●",'②-2勤務時間数入力'!$C$7:$C$106,"嘱託常勤",'②-1職員名簿'!$BF$7:$BF$106,"○",'②-2勤務時間数入力'!AA$7:AA$106,"常")</f>
        <v>0</v>
      </c>
      <c r="F18" s="61">
        <f>SUMIFS('②-2勤務時間数入力'!AA$7:AA$106,'②-1職員名簿'!AL$7:AL$106,"●",'②-1職員名簿'!$BF$7:$BF$106,"○",'②-1職員名簿'!$C$7:$C$106,"嘱託等")</f>
        <v>0</v>
      </c>
      <c r="G18" s="61">
        <f>COUNTIFS('②-1職員名簿'!AL$7:AL$106,"●",'②-1職員名簿'!$BE$7:$BE$106,"正規職員",'②-1職員名簿'!$BG$7:$BG$106,"○")</f>
        <v>0</v>
      </c>
      <c r="H18" s="61">
        <f>COUNTIFS('②-1職員名簿'!AL$7:AL$106,"●",'②-2勤務時間数入力'!$C$7:$C$106,"常勤的非常勤",'②-1職員名簿'!$BG$7:$BG$106,"○",'②-2勤務時間数入力'!AA$7:AA$106,"常")</f>
        <v>0</v>
      </c>
      <c r="I18" s="61">
        <f>SUMIFS('②-2勤務時間数入力'!AA$7:AA$106,'②-1職員名簿'!AL$7:AL$106,"●",'②-1職員名簿'!$BG$7:$BG$106,"○",'②-1職員名簿'!$C$7:$C$106,"パート")</f>
        <v>0</v>
      </c>
      <c r="J18" s="61">
        <f>COUNTIFS('②-1職員名簿'!AL$7:AL$106,"●",'②-2勤務時間数入力'!$C$7:$C$106,"嘱託常勤",'②-1職員名簿'!$BG$7:$BG$106,"○",'②-2勤務時間数入力'!AA$7:AA$106,"常")</f>
        <v>0</v>
      </c>
      <c r="K18" s="61">
        <f>SUMIFS('②-2勤務時間数入力'!AA$7:AA$106,'②-1職員名簿'!AL$7:AL$106,"●",'②-1職員名簿'!$BG$7:$BG$106,"○",'②-1職員名簿'!$C$7:$C$106,"嘱託等")</f>
        <v>0</v>
      </c>
      <c r="L18" s="128">
        <f>'②-2勤務時間数入力'!AH16</f>
        <v>0</v>
      </c>
      <c r="M18" s="129">
        <f>COUNTIFS('②-1職員名簿'!W7:W106,"園長",'②-1職員名簿'!AL$7:AL$106,"●")</f>
        <v>0</v>
      </c>
      <c r="N18" s="61">
        <f>COUNTIFS('②-1職員名簿'!AL$7:AL$106,"●",'②-1職員名簿'!$W$7:$W$106,$N$5,'②-2勤務時間数入力'!O$7:O$106,"正")</f>
        <v>0</v>
      </c>
      <c r="O18" s="61">
        <f>COUNTIFS('②-1職員名簿'!AL$7:AL$106,"●",'②-1職員名簿'!$W$7:$W$106,$N$5,'②-2勤務時間数入力'!AA$7:AA$106,"常")</f>
        <v>0</v>
      </c>
      <c r="P18" s="61">
        <f>SUMIFS('②-2勤務時間数入力'!AA$7:AA$106,'②-1職員名簿'!AL$7:AL$106,"●",'②-1職員名簿'!$W$7:$W$106,$N$5)</f>
        <v>0</v>
      </c>
      <c r="Q18" s="61">
        <f>COUNTIFS('②-1職員名簿'!AL$7:AL$106,"●",'②-1職員名簿'!$W$7:$W$106,$Q$5,'②-2勤務時間数入力'!O$7:O$106,"正")</f>
        <v>0</v>
      </c>
      <c r="R18" s="61">
        <f>COUNTIFS('②-1職員名簿'!AL$7:AL$106,"●",'②-1職員名簿'!$W$7:$W$106,$Q$5,'②-2勤務時間数入力'!AA$7:AA$106,"常")</f>
        <v>0</v>
      </c>
      <c r="S18" s="61">
        <f>SUMIFS('②-2勤務時間数入力'!AA$7:AA$106,'②-1職員名簿'!AL$7:AL$106,"●",'②-1職員名簿'!$W$7:$W$106,$Q$5)</f>
        <v>0</v>
      </c>
      <c r="T18" s="61">
        <f>COUNTIFS('②-1職員名簿'!AL$7:AL$106,"●",'②-1職員名簿'!$W$7:$W$106,$T$5,'②-2勤務時間数入力'!O$7:O$106,"正")</f>
        <v>0</v>
      </c>
      <c r="U18" s="61">
        <f>COUNTIFS('②-1職員名簿'!AL$7:AL$106,"●",'②-1職員名簿'!$W$7:$W$106,$T$5,'②-2勤務時間数入力'!AA$7:AA$106,"常")</f>
        <v>0</v>
      </c>
      <c r="V18" s="61">
        <f>SUMIFS('②-2勤務時間数入力'!AA$7:AA$106,'②-1職員名簿'!AL$7:AL$106,"●",'②-1職員名簿'!$W$7:$W$106,$T$5)</f>
        <v>0</v>
      </c>
      <c r="W18" s="61">
        <f>COUNTIFS('②-1職員名簿'!AL$7:AL$106,"●",'②-1職員名簿'!$W$7:$W$106,$W$5,'②-2勤務時間数入力'!O$7:O$106,"正")</f>
        <v>0</v>
      </c>
      <c r="X18" s="61">
        <f>COUNTIFS('②-1職員名簿'!AL$7:AL$106,"●",'②-1職員名簿'!$W$7:$W$106,$W$5,'②-2勤務時間数入力'!AA$7:AA$106,"常")</f>
        <v>0</v>
      </c>
      <c r="Y18" s="61">
        <f>SUMIFS('②-2勤務時間数入力'!AA$7:AA$106,'②-1職員名簿'!AL$7:AL$106,"●",'②-1職員名簿'!$W$7:$W$106,$W$5)</f>
        <v>0</v>
      </c>
      <c r="Z18" s="61">
        <f>COUNTIFS('②-1職員名簿'!AL$7:AL$106,"●",'②-1職員名簿'!$W$7:$W$106,$Z$5,'②-2勤務時間数入力'!O$7:O$106,"正")</f>
        <v>0</v>
      </c>
      <c r="AA18" s="61">
        <f>COUNTIFS('②-1職員名簿'!AL$7:AL$106,"●",'②-1職員名簿'!$W$7:$W$106,$Z$5,'②-2勤務時間数入力'!AA$7:AA$106,"常")</f>
        <v>0</v>
      </c>
      <c r="AB18" s="61">
        <f>SUMIFS('②-2勤務時間数入力'!AA$7:AA$106,'②-1職員名簿'!AL$7:AL$106,"●",'②-1職員名簿'!$W$7:$W$106,$Z$5)</f>
        <v>0</v>
      </c>
      <c r="AC18" s="130">
        <f t="shared" si="0"/>
        <v>0</v>
      </c>
      <c r="AD18" s="130">
        <f t="shared" si="1"/>
        <v>0</v>
      </c>
      <c r="AE18" s="135" t="e">
        <f t="shared" si="2"/>
        <v>#DIV/0!</v>
      </c>
      <c r="AF18" s="135" t="e">
        <f t="shared" si="3"/>
        <v>#DIV/0!</v>
      </c>
      <c r="AG18" s="134" t="e">
        <f>IF(①基本情報!$E$10&gt;90,MIN(AF18,3,MIN(AF18,AI18,3)+MIN(AF18,AJ18,1)),MIN(AF18,4,MIN(AF18,AI18,4)+MIN(AF18,AJ18,2)))</f>
        <v>#N/A</v>
      </c>
      <c r="AI18" s="33" t="e">
        <f t="shared" si="4"/>
        <v>#DIV/0!</v>
      </c>
      <c r="AJ18" s="33" t="e">
        <f t="shared" si="5"/>
        <v>#DIV/0!</v>
      </c>
    </row>
    <row r="19" spans="1:39" s="33" customFormat="1" ht="36" customHeight="1">
      <c r="A19" s="196">
        <v>2</v>
      </c>
      <c r="B19" s="61">
        <f>COUNTIFS('②-1職員名簿'!AM$7:AM$106,"●",'②-1職員名簿'!$BE$7:$BE$106,"正規職員",'②-1職員名簿'!$BF$7:$BF$106,"○")</f>
        <v>0</v>
      </c>
      <c r="C19" s="61">
        <f>COUNTIFS('②-1職員名簿'!AM$7:AM$106,"●",'②-2勤務時間数入力'!$C$7:$C$106,"常勤的非常勤",'②-1職員名簿'!$BF$7:$BF$106,"○",'②-2勤務時間数入力'!AB$7:AB$106,"常")</f>
        <v>0</v>
      </c>
      <c r="D19" s="61">
        <f>SUMIFS('②-2勤務時間数入力'!AB$7:AB$106,'②-1職員名簿'!AM$7:AM$106,"●",'②-1職員名簿'!$BF$7:$BF$106,"○",'②-1職員名簿'!$C$7:$C$106,"パート")</f>
        <v>0</v>
      </c>
      <c r="E19" s="61">
        <f>COUNTIFS('②-1職員名簿'!AM$7:AM$106,"●",'②-2勤務時間数入力'!$C$7:$C$106,"嘱託常勤",'②-1職員名簿'!$BF$7:$BF$106,"○",'②-2勤務時間数入力'!AB$7:AB$106,"常")</f>
        <v>0</v>
      </c>
      <c r="F19" s="61">
        <f>SUMIFS('②-2勤務時間数入力'!AB$7:AB$106,'②-1職員名簿'!AM$7:AM$106,"●",'②-1職員名簿'!$BF$7:$BF$106,"○",'②-1職員名簿'!$C$7:$C$106,"嘱託等")</f>
        <v>0</v>
      </c>
      <c r="G19" s="61">
        <f>COUNTIFS('②-1職員名簿'!AM$7:AM$106,"●",'②-1職員名簿'!$BE$7:$BE$106,"正規職員",'②-1職員名簿'!$BG$7:$BG$106,"○")</f>
        <v>0</v>
      </c>
      <c r="H19" s="61">
        <f>COUNTIFS('②-1職員名簿'!AM$7:AM$106,"●",'②-2勤務時間数入力'!$C$7:$C$106,"常勤的非常勤",'②-1職員名簿'!$BG$7:$BG$106,"○",'②-2勤務時間数入力'!AB$7:AB$106,"常")</f>
        <v>0</v>
      </c>
      <c r="I19" s="61">
        <f>SUMIFS('②-2勤務時間数入力'!AB$7:AB$106,'②-1職員名簿'!AM$7:AM$106,"●",'②-1職員名簿'!$BG$7:$BG$106,"○",'②-1職員名簿'!$C$7:$C$106,"パート")</f>
        <v>0</v>
      </c>
      <c r="J19" s="61">
        <f>COUNTIFS('②-1職員名簿'!AM$7:AM$106,"●",'②-2勤務時間数入力'!$C$7:$C$106,"嘱託常勤",'②-1職員名簿'!$BG$7:$BG$106,"○",'②-2勤務時間数入力'!AB$7:AB$106,"常")</f>
        <v>0</v>
      </c>
      <c r="K19" s="61">
        <f>SUMIFS('②-2勤務時間数入力'!AB$7:AB$106,'②-1職員名簿'!AM$7:AM$106,"●",'②-1職員名簿'!$BG$7:$BG$106,"○",'②-1職員名簿'!$C$7:$C$106,"嘱託等")</f>
        <v>0</v>
      </c>
      <c r="L19" s="128">
        <f>'②-2勤務時間数入力'!AH17</f>
        <v>0</v>
      </c>
      <c r="M19" s="129">
        <f>COUNTIFS('②-1職員名簿'!W7:W106,"園長",'②-1職員名簿'!AM$7:AM$106,"●")</f>
        <v>0</v>
      </c>
      <c r="N19" s="61">
        <f>COUNTIFS('②-1職員名簿'!AM$7:AM$106,"●",'②-1職員名簿'!$W$7:$W$106,$N$5,'②-2勤務時間数入力'!P$7:P$106,"正")</f>
        <v>0</v>
      </c>
      <c r="O19" s="61">
        <f>COUNTIFS('②-1職員名簿'!AM$7:AM$106,"●",'②-1職員名簿'!$W$7:$W$106,$N$5,'②-2勤務時間数入力'!AB$7:AB$106,"常")</f>
        <v>0</v>
      </c>
      <c r="P19" s="61">
        <f>SUMIFS('②-2勤務時間数入力'!AB$7:AB$106,'②-1職員名簿'!AM$7:AM$106,"●",'②-1職員名簿'!$W$7:$W$106,$N$5)</f>
        <v>0</v>
      </c>
      <c r="Q19" s="61">
        <f>COUNTIFS('②-1職員名簿'!AM$7:AM$106,"●",'②-1職員名簿'!$W$7:$W$106,$Q$5,'②-2勤務時間数入力'!P$7:P$106,"正")</f>
        <v>0</v>
      </c>
      <c r="R19" s="61">
        <f>COUNTIFS('②-1職員名簿'!AM$7:AM$106,"●",'②-1職員名簿'!$W$7:$W$106,$Q$5,'②-2勤務時間数入力'!AB$7:AB$106,"常")</f>
        <v>0</v>
      </c>
      <c r="S19" s="61">
        <f>SUMIFS('②-2勤務時間数入力'!AB$7:AB$106,'②-1職員名簿'!AM$7:AM$106,"●",'②-1職員名簿'!$W$7:$W$106,$Q$5)</f>
        <v>0</v>
      </c>
      <c r="T19" s="61">
        <f>COUNTIFS('②-1職員名簿'!AM$7:AM$106,"●",'②-1職員名簿'!$W$7:$W$106,$T$5,'②-2勤務時間数入力'!P$7:P$106,"正")</f>
        <v>0</v>
      </c>
      <c r="U19" s="61">
        <f>COUNTIFS('②-1職員名簿'!AM$7:AM$106,"●",'②-1職員名簿'!$W$7:$W$106,$T$5,'②-2勤務時間数入力'!AB$7:AB$106,"常")</f>
        <v>0</v>
      </c>
      <c r="V19" s="61">
        <f>SUMIFS('②-2勤務時間数入力'!AB$7:AB$106,'②-1職員名簿'!AM$7:AM$106,"●",'②-1職員名簿'!$W$7:$W$106,$T$5)</f>
        <v>0</v>
      </c>
      <c r="W19" s="61">
        <f>COUNTIFS('②-1職員名簿'!AM$7:AM$106,"●",'②-1職員名簿'!$W$7:$W$106,$W$5,'②-2勤務時間数入力'!P$7:P$106,"正")</f>
        <v>0</v>
      </c>
      <c r="X19" s="61">
        <f>COUNTIFS('②-1職員名簿'!AM$7:AM$106,"●",'②-1職員名簿'!$W$7:$W$106,$W$5,'②-2勤務時間数入力'!AB$7:AB$106,"常")</f>
        <v>0</v>
      </c>
      <c r="Y19" s="61">
        <f>SUMIFS('②-2勤務時間数入力'!AB$7:AB$106,'②-1職員名簿'!AM$7:AM$106,"●",'②-1職員名簿'!$W$7:$W$106,$W$5)</f>
        <v>0</v>
      </c>
      <c r="Z19" s="61">
        <f>COUNTIFS('②-1職員名簿'!AM$7:AM$106,"●",'②-1職員名簿'!$W$7:$W$106,$Z$5,'②-2勤務時間数入力'!P$7:P$106,"正")</f>
        <v>0</v>
      </c>
      <c r="AA19" s="61">
        <f>COUNTIFS('②-1職員名簿'!AM$7:AM$106,"●",'②-1職員名簿'!$W$7:$W$106,$Z$5,'②-2勤務時間数入力'!AB$7:AB$106,"常")</f>
        <v>0</v>
      </c>
      <c r="AB19" s="61">
        <f>SUMIFS('②-2勤務時間数入力'!AB$7:AB$106,'②-1職員名簿'!AM$7:AM$106,"●",'②-1職員名簿'!$W$7:$W$106,$Z$5)</f>
        <v>0</v>
      </c>
      <c r="AC19" s="130">
        <f t="shared" si="0"/>
        <v>0</v>
      </c>
      <c r="AD19" s="130">
        <f t="shared" si="1"/>
        <v>0</v>
      </c>
      <c r="AE19" s="135" t="e">
        <f t="shared" si="2"/>
        <v>#DIV/0!</v>
      </c>
      <c r="AF19" s="135" t="e">
        <f t="shared" si="3"/>
        <v>#DIV/0!</v>
      </c>
      <c r="AG19" s="134" t="e">
        <f>IF(①基本情報!$E$10&gt;90,MIN(AF19,3,MIN(AF19,AI19,3)+MIN(AF19,AJ19,1)),MIN(AF19,4,MIN(AF19,AI19,4)+MIN(AF19,AJ19,2)))</f>
        <v>#N/A</v>
      </c>
      <c r="AI19" s="33" t="e">
        <f t="shared" si="4"/>
        <v>#DIV/0!</v>
      </c>
      <c r="AJ19" s="33" t="e">
        <f t="shared" si="5"/>
        <v>#DIV/0!</v>
      </c>
    </row>
    <row r="20" spans="1:39" s="33" customFormat="1" ht="36" customHeight="1">
      <c r="A20" s="196">
        <v>3</v>
      </c>
      <c r="B20" s="61">
        <f>COUNTIFS('②-1職員名簿'!AN$7:AN$106,"●",'②-1職員名簿'!$BE$7:$BE$106,"正規職員",'②-1職員名簿'!$BF$7:$BF$106,"○")</f>
        <v>0</v>
      </c>
      <c r="C20" s="61">
        <f>COUNTIFS('②-1職員名簿'!AN$7:AN$106,"●",'②-2勤務時間数入力'!$C$7:$C$106,"常勤的非常勤",'②-1職員名簿'!$BF$7:$BF$106,"○",'②-2勤務時間数入力'!AC$7:AC$106,"常")</f>
        <v>0</v>
      </c>
      <c r="D20" s="61">
        <f>SUMIFS('②-2勤務時間数入力'!AC$7:AC$106,'②-1職員名簿'!AN$7:AN$106,"●",'②-1職員名簿'!$BF$7:$BF$106,"○",'②-1職員名簿'!$C$7:$C$106,"パート")</f>
        <v>0</v>
      </c>
      <c r="E20" s="61">
        <f>COUNTIFS('②-1職員名簿'!AN$7:AN$106,"●",'②-2勤務時間数入力'!$C$7:$C$106,"嘱託常勤",'②-1職員名簿'!$BF$7:$BF$106,"○",'②-2勤務時間数入力'!AC$7:AC$106,"常")</f>
        <v>0</v>
      </c>
      <c r="F20" s="61">
        <f>SUMIFS('②-2勤務時間数入力'!AC$7:AC$106,'②-1職員名簿'!AN$7:AN$106,"●",'②-1職員名簿'!$BF$7:$BF$106,"○",'②-1職員名簿'!$C$7:$C$106,"嘱託等")</f>
        <v>0</v>
      </c>
      <c r="G20" s="61">
        <f>COUNTIFS('②-1職員名簿'!AN$7:AN$106,"●",'②-1職員名簿'!$BE$7:$BE$106,"正規職員",'②-1職員名簿'!$BG$7:$BG$106,"○")</f>
        <v>0</v>
      </c>
      <c r="H20" s="61">
        <f>COUNTIFS('②-1職員名簿'!AN$7:AN$106,"●",'②-2勤務時間数入力'!$C$7:$C$106,"常勤的非常勤",'②-1職員名簿'!$BG$7:$BG$106,"○",'②-2勤務時間数入力'!AC$7:AC$106,"常")</f>
        <v>0</v>
      </c>
      <c r="I20" s="61">
        <f>SUMIFS('②-2勤務時間数入力'!AC$7:AC$106,'②-1職員名簿'!AN$7:AN$106,"●",'②-1職員名簿'!$BG$7:$BG$106,"○",'②-1職員名簿'!$C$7:$C$106,"パート")</f>
        <v>0</v>
      </c>
      <c r="J20" s="61">
        <f>COUNTIFS('②-1職員名簿'!AN$7:AN$106,"●",'②-2勤務時間数入力'!$C$7:$C$106,"嘱託常勤",'②-1職員名簿'!$BG$7:$BG$106,"○",'②-2勤務時間数入力'!AC$7:AC$106,"常")</f>
        <v>0</v>
      </c>
      <c r="K20" s="61">
        <f>SUMIFS('②-2勤務時間数入力'!AC$7:AC$106,'②-1職員名簿'!AN$7:AN$106,"●",'②-1職員名簿'!$BG$7:$BG$106,"○",'②-1職員名簿'!$C$7:$C$106,"嘱託等")</f>
        <v>0</v>
      </c>
      <c r="L20" s="128">
        <f>'②-2勤務時間数入力'!AH18</f>
        <v>0</v>
      </c>
      <c r="M20" s="128">
        <f>COUNTIFS('②-1職員名簿'!W7:W106,"園長",'②-1職員名簿'!AN$7:AN$106,"●")</f>
        <v>0</v>
      </c>
      <c r="N20" s="61">
        <f>COUNTIFS('②-1職員名簿'!AN$7:AN$106,"●",'②-1職員名簿'!$W$7:$W$106,$N$5,'②-2勤務時間数入力'!Q$7:Q$106,"正")</f>
        <v>0</v>
      </c>
      <c r="O20" s="61">
        <f>COUNTIFS('②-1職員名簿'!AN$7:AN$106,"●",'②-1職員名簿'!$W$7:$W$106,$N$5,'②-2勤務時間数入力'!AC$7:AC$106,"常")</f>
        <v>0</v>
      </c>
      <c r="P20" s="61">
        <f>SUMIFS('②-2勤務時間数入力'!AC$7:AC$106,'②-1職員名簿'!AN$7:AN$106,"●",'②-1職員名簿'!$W$7:$W$106,$N$5)</f>
        <v>0</v>
      </c>
      <c r="Q20" s="61">
        <f>COUNTIFS('②-1職員名簿'!AN$7:AN$106,"●",'②-1職員名簿'!$W$7:$W$106,$Q$5,'②-2勤務時間数入力'!Q$7:Q$106,"正")</f>
        <v>0</v>
      </c>
      <c r="R20" s="61">
        <f>COUNTIFS('②-1職員名簿'!AN$7:AN$106,"●",'②-1職員名簿'!$W$7:$W$106,$Q$5,'②-2勤務時間数入力'!AC$7:AC$106,"常")</f>
        <v>0</v>
      </c>
      <c r="S20" s="61">
        <f>SUMIFS('②-2勤務時間数入力'!AC$7:AC$106,'②-1職員名簿'!AN$7:AN$106,"●",'②-1職員名簿'!$W$7:$W$106,$Q$5)</f>
        <v>0</v>
      </c>
      <c r="T20" s="61">
        <f>COUNTIFS('②-1職員名簿'!AN$7:AN$106,"●",'②-1職員名簿'!$W$7:$W$106,$T$5,'②-2勤務時間数入力'!Q$7:Q$106,"正")</f>
        <v>0</v>
      </c>
      <c r="U20" s="61">
        <f>COUNTIFS('②-1職員名簿'!AN$7:AN$106,"●",'②-1職員名簿'!$W$7:$W$106,$T$5,'②-2勤務時間数入力'!AC$7:AC$106,"常")</f>
        <v>0</v>
      </c>
      <c r="V20" s="61">
        <f>SUMIFS('②-2勤務時間数入力'!AC$7:AC$106,'②-1職員名簿'!AN$7:AN$106,"●",'②-1職員名簿'!$W$7:$W$106,$T$5)</f>
        <v>0</v>
      </c>
      <c r="W20" s="61">
        <f>COUNTIFS('②-1職員名簿'!AN$7:AN$106,"●",'②-1職員名簿'!$W$7:$W$106,$W$5,'②-2勤務時間数入力'!Q$7:Q$106,"正")</f>
        <v>0</v>
      </c>
      <c r="X20" s="61">
        <f>COUNTIFS('②-1職員名簿'!AN$7:AN$106,"●",'②-1職員名簿'!$W$7:$W$106,$W$5,'②-2勤務時間数入力'!AC$7:AC$106,"常")</f>
        <v>0</v>
      </c>
      <c r="Y20" s="61">
        <f>SUMIFS('②-2勤務時間数入力'!AC$7:AC$106,'②-1職員名簿'!AN$7:AN$106,"●",'②-1職員名簿'!$W$7:$W$106,$W$5)</f>
        <v>0</v>
      </c>
      <c r="Z20" s="61">
        <f>COUNTIFS('②-1職員名簿'!AN$7:AN$106,"●",'②-1職員名簿'!$W$7:$W$106,$Z$5,'②-2勤務時間数入力'!Q$7:Q$106,"正")</f>
        <v>0</v>
      </c>
      <c r="AA20" s="61">
        <f>COUNTIFS('②-1職員名簿'!AN$7:AN$106,"●",'②-1職員名簿'!$W$7:$W$106,$Z$5,'②-2勤務時間数入力'!AC$7:AC$106,"常")</f>
        <v>0</v>
      </c>
      <c r="AB20" s="61">
        <f>SUMIFS('②-2勤務時間数入力'!AC$7:AC$106,'②-1職員名簿'!AN$7:AN$106,"●",'②-1職員名簿'!$W$7:$W$106,$Z$5)</f>
        <v>0</v>
      </c>
      <c r="AC20" s="130">
        <f t="shared" si="0"/>
        <v>0</v>
      </c>
      <c r="AD20" s="130">
        <f t="shared" si="1"/>
        <v>0</v>
      </c>
      <c r="AE20" s="135" t="e">
        <f t="shared" si="2"/>
        <v>#DIV/0!</v>
      </c>
      <c r="AF20" s="135" t="e">
        <f t="shared" si="3"/>
        <v>#DIV/0!</v>
      </c>
      <c r="AG20" s="134" t="e">
        <f>IF(①基本情報!$E$10&gt;90,MIN(AF20,3,MIN(AF20,AI20,3)+MIN(AF20,AJ20,1)),MIN(AF20,4,MIN(AF20,AI20,4)+MIN(AF20,AJ20,2)))</f>
        <v>#N/A</v>
      </c>
      <c r="AI20" s="33" t="e">
        <f t="shared" si="4"/>
        <v>#DIV/0!</v>
      </c>
      <c r="AJ20" s="33" t="e">
        <f t="shared" si="5"/>
        <v>#DIV/0!</v>
      </c>
    </row>
    <row r="21" spans="1:39" s="33" customFormat="1" ht="18.75" customHeight="1">
      <c r="A21" s="34"/>
      <c r="B21" s="36"/>
      <c r="C21" s="42"/>
      <c r="D21" s="42"/>
      <c r="E21" s="42"/>
      <c r="F21" s="42"/>
      <c r="G21" s="36"/>
      <c r="H21" s="42"/>
      <c r="I21" s="42"/>
      <c r="J21" s="42"/>
      <c r="K21" s="42"/>
      <c r="L21" s="36"/>
      <c r="M21" s="36"/>
      <c r="N21" s="38"/>
      <c r="O21" s="42"/>
      <c r="P21" s="42"/>
      <c r="Q21" s="38"/>
      <c r="R21" s="42"/>
      <c r="S21" s="42"/>
      <c r="T21" s="38"/>
      <c r="U21" s="42"/>
      <c r="V21" s="42"/>
      <c r="W21" s="38"/>
      <c r="X21" s="42"/>
      <c r="Y21" s="42"/>
      <c r="Z21" s="38"/>
      <c r="AA21" s="42"/>
      <c r="AB21" s="45"/>
      <c r="AC21" s="39"/>
      <c r="AD21" s="45"/>
      <c r="AE21" s="45"/>
      <c r="AF21"/>
      <c r="AG21"/>
      <c r="AH21" s="38"/>
      <c r="AI21" s="38"/>
      <c r="AJ21" s="38"/>
      <c r="AK21" s="38"/>
      <c r="AL21" s="40"/>
      <c r="AM21" s="39"/>
    </row>
    <row r="22" spans="1:39" s="33" customFormat="1" ht="18.75" customHeight="1">
      <c r="A22" s="41"/>
      <c r="B22" s="42"/>
      <c r="C22" s="46"/>
      <c r="D22" s="46"/>
      <c r="E22" s="46"/>
      <c r="F22" s="46"/>
      <c r="G22" s="42"/>
      <c r="H22" s="46"/>
      <c r="I22" s="46"/>
      <c r="J22" s="46"/>
      <c r="K22" s="46"/>
      <c r="L22" s="42"/>
      <c r="M22" s="42"/>
      <c r="N22" s="42"/>
      <c r="O22" s="46"/>
      <c r="P22" s="46"/>
      <c r="Q22" s="42"/>
      <c r="R22" s="46"/>
      <c r="S22" s="46"/>
      <c r="T22" s="42"/>
      <c r="U22" s="46"/>
      <c r="V22" s="46"/>
      <c r="W22" s="42"/>
      <c r="X22" s="46"/>
      <c r="Y22" s="46"/>
      <c r="Z22" s="42"/>
      <c r="AA22" s="46"/>
      <c r="AB22" s="46"/>
      <c r="AC22" s="45"/>
      <c r="AD22" s="46"/>
      <c r="AE22" s="46"/>
      <c r="AF22" s="46"/>
      <c r="AG22" s="46"/>
      <c r="AH22" s="46"/>
      <c r="AI22" s="46"/>
      <c r="AJ22" s="46"/>
      <c r="AK22" s="40"/>
      <c r="AL22" s="39"/>
    </row>
    <row r="23" spans="1:39" s="33" customFormat="1" ht="18.75" customHeight="1">
      <c r="A23" s="41"/>
      <c r="B23" s="46"/>
      <c r="C23" s="43"/>
      <c r="D23" s="43"/>
      <c r="E23" s="43"/>
      <c r="F23" s="43"/>
      <c r="G23" s="46"/>
      <c r="H23" s="43"/>
      <c r="I23" s="645" t="s">
        <v>321</v>
      </c>
      <c r="J23" s="645"/>
      <c r="K23" s="645"/>
      <c r="L23" s="645"/>
      <c r="M23" s="645"/>
      <c r="N23" s="645"/>
      <c r="O23" s="645"/>
      <c r="P23" s="645"/>
      <c r="Q23" s="645"/>
      <c r="R23" s="645"/>
      <c r="S23" s="645"/>
      <c r="T23" s="645"/>
      <c r="U23" s="645"/>
      <c r="V23" s="645"/>
      <c r="W23" s="645"/>
      <c r="X23" s="645"/>
      <c r="Y23" s="645"/>
      <c r="Z23" s="645"/>
      <c r="AA23" s="645"/>
      <c r="AB23" s="644"/>
      <c r="AC23" s="644"/>
      <c r="AD23" s="644"/>
      <c r="AE23" s="644"/>
      <c r="AF23" s="43"/>
      <c r="AG23" s="43"/>
      <c r="AH23" s="38"/>
      <c r="AI23" s="38"/>
      <c r="AJ23" s="38"/>
      <c r="AK23" s="46"/>
      <c r="AL23" s="46"/>
    </row>
    <row r="24" spans="1:39" s="33" customFormat="1" ht="18.75" customHeight="1">
      <c r="A24" s="41"/>
      <c r="B24" s="43"/>
      <c r="C24" s="42"/>
      <c r="D24" s="42"/>
      <c r="E24" s="42"/>
      <c r="F24" s="42"/>
      <c r="G24" s="43"/>
      <c r="H24" s="42"/>
      <c r="I24" s="645" t="s">
        <v>323</v>
      </c>
      <c r="J24" s="645"/>
      <c r="K24" s="645"/>
      <c r="L24" s="645"/>
      <c r="M24" s="645"/>
      <c r="N24" s="645"/>
      <c r="O24" s="645"/>
      <c r="P24" s="645"/>
      <c r="Q24" s="645"/>
      <c r="R24" s="645"/>
      <c r="S24" s="645"/>
      <c r="T24" s="645"/>
      <c r="U24" s="645"/>
      <c r="V24" s="645"/>
      <c r="W24" s="645"/>
      <c r="X24" s="645"/>
      <c r="Y24" s="645"/>
      <c r="Z24" s="645"/>
      <c r="AA24" s="645"/>
      <c r="AB24" s="644"/>
      <c r="AC24" s="644"/>
      <c r="AD24" s="644"/>
      <c r="AE24" s="644"/>
      <c r="AF24"/>
      <c r="AG24"/>
      <c r="AH24" s="38"/>
      <c r="AI24" s="38"/>
      <c r="AJ24" s="38"/>
      <c r="AK24" s="40"/>
      <c r="AL24" s="39"/>
    </row>
    <row r="25" spans="1:39" ht="18.75" customHeight="1">
      <c r="B25" s="42"/>
      <c r="C25" s="42"/>
      <c r="D25" s="42"/>
      <c r="E25" s="42"/>
      <c r="F25" s="42"/>
      <c r="G25" s="42"/>
      <c r="H25" s="42"/>
      <c r="I25" s="645" t="s">
        <v>322</v>
      </c>
      <c r="J25" s="645"/>
      <c r="K25" s="645"/>
      <c r="L25" s="645"/>
      <c r="M25" s="645"/>
      <c r="N25" s="645"/>
      <c r="O25" s="645"/>
      <c r="P25" s="645"/>
      <c r="Q25" s="645"/>
      <c r="R25" s="645"/>
      <c r="S25" s="645"/>
      <c r="T25" s="645"/>
      <c r="U25" s="645"/>
      <c r="V25" s="645"/>
      <c r="W25" s="645"/>
      <c r="X25" s="645"/>
      <c r="Y25" s="645"/>
      <c r="Z25" s="645"/>
      <c r="AA25" s="645"/>
      <c r="AB25" s="644"/>
      <c r="AC25" s="644"/>
      <c r="AD25" s="644"/>
      <c r="AE25" s="644"/>
      <c r="AF25"/>
      <c r="AG25"/>
      <c r="AH25" s="38"/>
      <c r="AI25" s="38"/>
      <c r="AJ25" s="38"/>
      <c r="AK25" s="40"/>
      <c r="AL25" s="39"/>
    </row>
    <row r="26" spans="1:39" ht="18.75" customHeight="1">
      <c r="A26" s="41"/>
      <c r="B26" s="42"/>
      <c r="G26" s="42"/>
      <c r="I26" s="645" t="s">
        <v>324</v>
      </c>
      <c r="J26" s="645"/>
      <c r="K26" s="645"/>
      <c r="L26" s="645"/>
      <c r="M26" s="645"/>
      <c r="N26" s="645"/>
      <c r="O26" s="645"/>
      <c r="P26" s="645"/>
      <c r="Q26" s="645"/>
      <c r="R26" s="645"/>
      <c r="S26" s="645"/>
      <c r="T26" s="645"/>
      <c r="U26" s="645"/>
      <c r="V26" s="645"/>
      <c r="W26" s="645"/>
      <c r="X26" s="645"/>
      <c r="Y26" s="645"/>
      <c r="Z26" s="645"/>
      <c r="AA26" s="645"/>
      <c r="AB26" s="644"/>
      <c r="AC26" s="644"/>
      <c r="AD26" s="644"/>
      <c r="AE26" s="644"/>
      <c r="AF26" s="39"/>
      <c r="AG26" s="39"/>
      <c r="AH26" s="38"/>
      <c r="AI26" s="38"/>
      <c r="AJ26" s="38"/>
      <c r="AK26" s="40"/>
      <c r="AL26" s="39"/>
    </row>
    <row r="27" spans="1:39" ht="18.75" customHeight="1">
      <c r="A27" s="35"/>
      <c r="C27" s="34"/>
      <c r="D27" s="34"/>
      <c r="E27" s="34"/>
      <c r="F27" s="34"/>
      <c r="H27" s="34"/>
      <c r="I27" s="645"/>
      <c r="J27" s="645"/>
      <c r="K27" s="645"/>
      <c r="L27" s="645"/>
      <c r="M27" s="645"/>
      <c r="N27" s="645"/>
      <c r="O27" s="645"/>
      <c r="P27" s="645"/>
      <c r="Q27" s="645"/>
      <c r="R27" s="645"/>
      <c r="S27" s="645"/>
      <c r="T27" s="645"/>
      <c r="U27" s="645"/>
      <c r="V27" s="645"/>
      <c r="W27" s="645"/>
      <c r="X27" s="645"/>
      <c r="Y27" s="645"/>
      <c r="Z27" s="645"/>
      <c r="AA27" s="645"/>
      <c r="AB27" s="644"/>
      <c r="AC27" s="644"/>
      <c r="AD27" s="644"/>
      <c r="AE27" s="644"/>
      <c r="AF27" s="34"/>
      <c r="AG27" s="34"/>
      <c r="AH27" s="34"/>
      <c r="AI27" s="34"/>
      <c r="AJ27" s="34"/>
      <c r="AK27" s="38"/>
      <c r="AL27" s="40"/>
      <c r="AM27" s="39"/>
    </row>
    <row r="28" spans="1:39" s="34" customFormat="1" ht="18.75" customHeight="1"/>
    <row r="29" spans="1:39" s="34" customFormat="1" ht="25" customHeight="1">
      <c r="AK29" s="53"/>
    </row>
    <row r="30" spans="1:39" s="34" customFormat="1" ht="25" customHeight="1">
      <c r="AK30" s="53"/>
    </row>
    <row r="31" spans="1:39" s="34" customFormat="1" ht="25" customHeight="1">
      <c r="AK31" s="53"/>
    </row>
    <row r="32" spans="1:39" s="34" customFormat="1" ht="25" customHeight="1">
      <c r="AK32" s="53"/>
    </row>
    <row r="33" s="34" customFormat="1" ht="25" customHeight="1"/>
    <row r="34" s="34" customFormat="1" ht="25" customHeight="1"/>
    <row r="35" s="34" customFormat="1" ht="25" customHeight="1"/>
    <row r="36" s="34" customFormat="1" ht="25" customHeight="1"/>
    <row r="37" s="34" customFormat="1" ht="25" customHeight="1"/>
    <row r="38" s="34" customFormat="1" ht="25" customHeight="1"/>
    <row r="39" s="34" customFormat="1" ht="25" customHeight="1"/>
    <row r="40" s="34" customFormat="1" ht="25" customHeight="1"/>
    <row r="41" s="34" customFormat="1" ht="25" customHeight="1"/>
    <row r="42" s="34" customFormat="1" ht="25" customHeight="1"/>
    <row r="43" s="34" customFormat="1" ht="25" customHeight="1"/>
    <row r="44" s="34" customFormat="1" ht="25" customHeight="1"/>
    <row r="45" s="34" customFormat="1" ht="25" customHeight="1"/>
    <row r="46" s="34" customFormat="1" ht="25" customHeight="1"/>
    <row r="47" s="34" customFormat="1" ht="25" customHeight="1"/>
    <row r="48" s="34" customFormat="1" ht="25" customHeight="1"/>
    <row r="49" spans="3:38" s="34" customFormat="1" ht="25" customHeight="1"/>
    <row r="50" spans="3:38" s="34" customFormat="1" ht="25" customHeight="1"/>
    <row r="51" spans="3:38" s="34" customFormat="1" ht="25" customHeight="1">
      <c r="C51" s="36"/>
      <c r="D51" s="36"/>
      <c r="E51" s="36"/>
      <c r="F51" s="36"/>
      <c r="H51" s="36"/>
      <c r="I51" s="36"/>
      <c r="J51" s="36"/>
      <c r="K51" s="36"/>
      <c r="O51" s="36"/>
      <c r="P51" s="36"/>
      <c r="R51" s="36"/>
      <c r="S51" s="36"/>
      <c r="U51" s="36"/>
      <c r="V51" s="36"/>
      <c r="X51" s="36"/>
      <c r="Y51" s="36"/>
      <c r="AA51" s="36"/>
      <c r="AB51" s="36"/>
      <c r="AD51" s="36"/>
      <c r="AE51" s="36"/>
      <c r="AF51" s="36"/>
      <c r="AG51" s="36"/>
      <c r="AH51" s="36"/>
      <c r="AI51" s="36"/>
      <c r="AJ51" s="36"/>
    </row>
    <row r="52" spans="3:38" ht="25" customHeight="1">
      <c r="AL52" s="36"/>
    </row>
    <row r="53" spans="3:38" ht="25" customHeight="1">
      <c r="AL53" s="36"/>
    </row>
    <row r="54" spans="3:38" ht="25" customHeight="1">
      <c r="AL54" s="36"/>
    </row>
    <row r="55" spans="3:38" ht="25" customHeight="1">
      <c r="AL55" s="36"/>
    </row>
    <row r="56" spans="3:38" ht="25" customHeight="1">
      <c r="Y56" s="48"/>
      <c r="AL56" s="36"/>
    </row>
    <row r="57" spans="3:38" ht="25" customHeight="1">
      <c r="Z57" s="48"/>
      <c r="AI57" s="48"/>
      <c r="AL57" s="36"/>
    </row>
    <row r="58" spans="3:38" ht="25" customHeight="1">
      <c r="Y58" s="48"/>
      <c r="AI58" s="48"/>
      <c r="AL58" s="36"/>
    </row>
    <row r="59" spans="3:38" ht="25" customHeight="1">
      <c r="Z59" s="48"/>
      <c r="AI59" s="48"/>
      <c r="AL59" s="36"/>
    </row>
    <row r="60" spans="3:38" ht="25" customHeight="1">
      <c r="AI60" s="48"/>
      <c r="AL60" s="36"/>
    </row>
    <row r="61" spans="3:38" ht="25" customHeight="1">
      <c r="AI61" s="48"/>
      <c r="AL61" s="36"/>
    </row>
    <row r="62" spans="3:38" ht="25" customHeight="1">
      <c r="AI62" s="48"/>
      <c r="AL62" s="36"/>
    </row>
    <row r="63" spans="3:38" ht="25" customHeight="1">
      <c r="AI63" s="48"/>
      <c r="AL63" s="36"/>
    </row>
    <row r="64" spans="3:38" ht="25" customHeight="1">
      <c r="AE64" s="48"/>
      <c r="AI64" s="48"/>
      <c r="AL64" s="36"/>
    </row>
    <row r="65" spans="35:38" ht="25" customHeight="1">
      <c r="AI65" s="48"/>
      <c r="AL65" s="36"/>
    </row>
    <row r="66" spans="35:38" ht="25" customHeight="1">
      <c r="AI66" s="48"/>
      <c r="AL66" s="36"/>
    </row>
    <row r="67" spans="35:38" ht="25" customHeight="1">
      <c r="AI67" s="48"/>
      <c r="AL67" s="36"/>
    </row>
    <row r="68" spans="35:38" ht="25" customHeight="1">
      <c r="AL68" s="36"/>
    </row>
    <row r="71" spans="35:38" ht="25" customHeight="1">
      <c r="AI71" s="48"/>
    </row>
  </sheetData>
  <sheetProtection algorithmName="SHA-512" hashValue="qI81zjOUQPT0dxWkk8LKDmPZ24doGz96N6JT/tkCURWDq5sLUcgC2gg1HZ1jZlYN6XmqyMJ+eEpwPCHjvwbi6Q==" saltValue="GdZPP15B18hIiD+bCnY1dw==" spinCount="100000" sheet="1" objects="1" scenarios="1" selectLockedCells="1"/>
  <mergeCells count="40">
    <mergeCell ref="V2:W2"/>
    <mergeCell ref="X2:AF2"/>
    <mergeCell ref="A4:A8"/>
    <mergeCell ref="B4:K4"/>
    <mergeCell ref="L4:L7"/>
    <mergeCell ref="AF5:AF8"/>
    <mergeCell ref="B6:D6"/>
    <mergeCell ref="E6:F6"/>
    <mergeCell ref="G6:I6"/>
    <mergeCell ref="Q6:Q7"/>
    <mergeCell ref="R6:R7"/>
    <mergeCell ref="S6:S7"/>
    <mergeCell ref="T6:T7"/>
    <mergeCell ref="U6:U7"/>
    <mergeCell ref="J6:K6"/>
    <mergeCell ref="AD6:AD7"/>
    <mergeCell ref="AG4:AG5"/>
    <mergeCell ref="B5:F5"/>
    <mergeCell ref="G5:K5"/>
    <mergeCell ref="N5:P5"/>
    <mergeCell ref="Q5:S5"/>
    <mergeCell ref="T5:V5"/>
    <mergeCell ref="W5:Y5"/>
    <mergeCell ref="Z5:AB5"/>
    <mergeCell ref="AC5:AE5"/>
    <mergeCell ref="M4:AF4"/>
    <mergeCell ref="M5:M7"/>
    <mergeCell ref="N6:N7"/>
    <mergeCell ref="O6:O7"/>
    <mergeCell ref="P6:P7"/>
    <mergeCell ref="AC6:AC7"/>
    <mergeCell ref="AG7:AG8"/>
    <mergeCell ref="AA6:AA7"/>
    <mergeCell ref="AE6:AE7"/>
    <mergeCell ref="AB6:AB7"/>
    <mergeCell ref="V6:V7"/>
    <mergeCell ref="W6:W7"/>
    <mergeCell ref="X6:X7"/>
    <mergeCell ref="Y6:Y7"/>
    <mergeCell ref="Z6:Z7"/>
  </mergeCells>
  <phoneticPr fontId="1"/>
  <dataValidations count="4">
    <dataValidation allowBlank="1" showInputMessage="1" showErrorMessage="1" promptTitle="その他（支援センター、加算等）" prompt="支援センター業務にあたる保育士、チーム保育推進加算、入所児童特別加算対象者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V65546:V65557 V983050:V983061 V917514:V917525 V851978:V851989 V786442:V786453 V720906:V720917 V655370:V655381 V589834:V589845 V524298:V524309 V458762:V458773 V393226:V393237 V327690:V327701 V262154:V262165 V196618:V196629 V131082:V131093 T65555:U65566 T983059:U983070 T917523:U917534 T851987:U851998 T786451:U786462 T720915:U720926 T655379:U655390 T589843:U589854 T524307:U524318 T458771:U458782 T393235:U393246 T327699:U327710 T262163:U262174 T196627:U196638 T131091:U131102 Z65556:Z65567 Y65554:Y65565 AA65554:AB65565 Z983060:Z983071 Y983058:Y983069 AA983058:AB983069 Z917524:Z917535 Y917522:Y917533 AA917522:AB917533 Z851988:Z851999 Y851986:Y851997 AA851986:AB851997 Z786452:Z786463 Y786450:Y786461 AA786450:AB786461 Z720916:Z720927 Y720914:Y720925 AA720914:AB720925 Z655380:Z655391 Y655378:Y655389 AA655378:AB655389 Z589844:Z589855 Y589842:Y589853 AA589842:AB589853 Z524308:Z524319 Y524306:Y524317 AA524306:AB524317 Z458772:Z458783 Y458770:Y458781 AA458770:AB458781 Z393236:Z393247 Y393234:Y393245 AA393234:AB393245 Z327700:Z327711 Y327698:Y327709 AA327698:AB327709 Z262164:Z262175 Y262162:Y262173 AA262162:AB262173 Z196628:Z196639 Y196626:Y196637 AA196626:AB196637 Z131092:Z131103 Y131090:Y131101 AA131090:AB131101 R65544:S65555 Q65545:Q65556 R983048:S983059 Q983049:Q983060 R917512:S917523 Q917513:Q917524 R851976:S851987 Q851977:Q851988 R786440:S786451 Q786441:Q786452 R720904:S720915 Q720905:Q720916 R655368:S655379 Q655369:Q655380 R589832:S589843 Q589833:Q589844 R524296:S524307 Q524297:Q524308 R458760:S458771 Q458761:Q458772 R393224:S393235 Q393225:Q393236 R327688:S327699 Q327689:Q327700 R262152:S262163 Q262153:Q262164 R196616:S196627 Q196617:Q196628 R131080:S131091 Q131081:Q131092 X65544:X65555 W65545:W65556 X983048:X983059 W983049:W983060 X917512:X917523 W917513:W917524 X851976:X851987 W851977:W851988 X786440:X786451 W786441:W786452 X720904:X720915 W720905:W720916 X655368:X655379 W655369:W655380 X589832:X589843 W589833:W589844 X524296:X524307 W524297:W524308 X458760:X458771 W458761:W458772 X393224:X393235 W393225:W393236 X327688:X327699 W327689:W327700 X262152:X262163 W262153:W262164 X196616:X196627 W196617:W196628 X131080:X131091 W131081:W131092" xr:uid="{B204433C-A4A7-4DA5-AAE7-C73D613F9648}"/>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B65545:B65556 C131080:F131091 B131081:B131092 C196616:F196627 B196617:B196628 C262152:F262163 B262153:B262164 C327688:F327699 B327689:B327700 C393224:F393235 B393225:B393236 C458760:F458771 B458761:B458772 C524296:F524307 B524297:B524308 C589832:F589843 B589833:B589844 C655368:F655379 B655369:B655380 C720904:F720915 B720905:B720916 C786440:F786451 B786441:B786452 C851976:F851987 B851977:B851988 C917512:F917523 B917513:B917524 C983048:F983059 B983049:B983060 C65544:F65555 H983048:K983059 G983049:G983060 L983049:M983060 H917512:K917523 G917513:G917524 L917513:M917524 H851976:K851987 G851977:G851988 L851977:M851988 H786440:K786451 G786441:G786452 L786441:M786452 H720904:K720915 G720905:G720916 L720905:M720916 H655368:K655379 G655369:G655380 L655369:M655380 H589832:K589843 G589833:G589844 L589833:M589844 H524296:K524307 G524297:G524308 L524297:M524308 H458760:K458771 G458761:G458772 L458761:M458772 H393224:K393235 G393225:G393236 L393225:M393236 H327688:K327699 G327689:G327700 L327689:M327700 H262152:K262163 G262153:G262164 L262153:M262164 H196616:K196627 G196617:G196628 L196617:M196628 H131080:K131091 G131081:G131092 L131081:M131092 H65544:K65555 G65545:G65556 L65545:M65556" xr:uid="{E04A45B4-D6E6-4C9D-BC82-43D7C76693FB}"/>
    <dataValidation allowBlank="1" showInputMessage="1" showErrorMessage="1" promptTitle="一時預かり" prompt="一時預かりにあたる保育士の人数及び時間数を入力して下さい。_x000a__x000a_準保育士→１日６時間以上かつ月２０日以上勤務する非正規職員保育士（雇用形態は正規でなければパート等の時給でもOK）_x000a__x000a_短時間保育士→1日６時間未満または月２０日未満の勤務の保育士" sqref="N65545:N65556 O983048:P983059 N983049:N983060 O917512:P917523 N917513:N917524 O851976:P851987 N851977:N851988 O786440:P786451 N786441:N786452 O720904:P720915 N720905:N720916 O655368:P655379 N655369:N655380 O589832:P589843 N589833:N589844 O524296:P524307 N524297:N524308 O458760:P458771 N458761:N458772 O393224:P393235 N393225:N393236 O327688:P327699 N327689:N327700 O262152:P262163 N262153:N262164 O196616:P196627 N196617:N196628 O131080:P131091 N131081:N131092 O65544:P65555" xr:uid="{812063C9-8405-4982-91CF-53D3C265EF33}"/>
    <dataValidation allowBlank="1" showErrorMessage="1" sqref="B9:B26 C9:F25 G9:G26 AF9:AG25 H9:H25 I9:AE22" xr:uid="{145EEC54-5F09-4E6F-91EA-AB3488532F6F}"/>
  </dataValidations>
  <printOptions horizontalCentered="1"/>
  <pageMargins left="0.51181102362204722" right="0.39370078740157483" top="0.51181102362204722" bottom="0.51181102362204722" header="0.51181102362204722" footer="0.51181102362204722"/>
  <pageSetup paperSize="9" scale="66"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4CC04-77A2-45B5-8290-ED07ADDE7BE3}">
  <sheetPr codeName="Sheet111">
    <tabColor rgb="FF00B050"/>
  </sheetPr>
  <dimension ref="A1:BL51"/>
  <sheetViews>
    <sheetView showGridLines="0" zoomScale="85" zoomScaleNormal="85" zoomScaleSheetLayoutView="85" workbookViewId="0">
      <selection activeCell="V18" sqref="V18"/>
    </sheetView>
  </sheetViews>
  <sheetFormatPr defaultColWidth="9" defaultRowHeight="25" customHeight="1"/>
  <cols>
    <col min="1" max="1" width="5.33203125" style="36" customWidth="1"/>
    <col min="2" max="30" width="4.58203125" style="36" customWidth="1"/>
    <col min="31" max="31" width="1.25" style="36" customWidth="1"/>
    <col min="32" max="32" width="5.58203125" style="36" customWidth="1"/>
    <col min="33" max="56" width="4.58203125" style="36" customWidth="1"/>
    <col min="57" max="57" width="4.5" style="36" customWidth="1"/>
    <col min="58" max="58" width="4.58203125" style="36" customWidth="1"/>
    <col min="59" max="59" width="9" style="36"/>
    <col min="60" max="61" width="9" style="36" customWidth="1"/>
    <col min="62" max="16384" width="9" style="36"/>
  </cols>
  <sheetData>
    <row r="1" spans="1:64" s="20" customFormat="1" ht="25" customHeight="1">
      <c r="A1" s="19" t="s">
        <v>89</v>
      </c>
      <c r="B1" s="19"/>
      <c r="AE1" s="19"/>
      <c r="AF1" s="19"/>
    </row>
    <row r="2" spans="1:64" s="19" customFormat="1" ht="25" customHeight="1">
      <c r="A2" s="19" t="s">
        <v>538</v>
      </c>
      <c r="AF2" s="19" t="s">
        <v>539</v>
      </c>
      <c r="AP2" s="823" t="s">
        <v>117</v>
      </c>
      <c r="AQ2" s="823"/>
      <c r="AR2" s="831">
        <f>①基本情報!D6</f>
        <v>0</v>
      </c>
      <c r="AS2" s="831"/>
      <c r="AT2" s="831"/>
      <c r="AU2" s="831"/>
      <c r="AV2" s="831"/>
      <c r="AW2" s="831"/>
      <c r="AX2" s="831"/>
      <c r="AY2" s="831"/>
      <c r="AZ2" s="831"/>
      <c r="BA2" s="831"/>
      <c r="BB2" s="831"/>
      <c r="BC2" s="831"/>
      <c r="BD2" s="831"/>
      <c r="BE2" s="831"/>
      <c r="BF2" s="831"/>
      <c r="BG2" s="19" t="s">
        <v>118</v>
      </c>
    </row>
    <row r="3" spans="1:64" s="19" customFormat="1" ht="11.25" customHeight="1"/>
    <row r="4" spans="1:64" s="24" customFormat="1" ht="25" customHeight="1">
      <c r="A4" s="794" t="s">
        <v>119</v>
      </c>
      <c r="B4" s="817" t="s">
        <v>121</v>
      </c>
      <c r="C4" s="794" t="s">
        <v>208</v>
      </c>
      <c r="D4" s="794"/>
      <c r="E4" s="794"/>
      <c r="F4" s="794"/>
      <c r="G4" s="794"/>
      <c r="H4" s="794" t="s">
        <v>209</v>
      </c>
      <c r="I4" s="794"/>
      <c r="J4" s="794"/>
      <c r="K4" s="794"/>
      <c r="L4" s="794"/>
      <c r="M4" s="794" t="s">
        <v>210</v>
      </c>
      <c r="N4" s="794"/>
      <c r="O4" s="794"/>
      <c r="P4" s="794"/>
      <c r="Q4" s="794"/>
      <c r="R4" s="794" t="s">
        <v>181</v>
      </c>
      <c r="S4" s="794"/>
      <c r="T4" s="794"/>
      <c r="U4" s="794"/>
      <c r="V4" s="794"/>
      <c r="W4" s="794"/>
      <c r="X4" s="794"/>
      <c r="Y4" s="794"/>
      <c r="Z4" s="794"/>
      <c r="AA4" s="794"/>
      <c r="AB4" s="794"/>
      <c r="AC4" s="832" t="s">
        <v>211</v>
      </c>
      <c r="AD4" s="833"/>
      <c r="AF4" s="835" t="s">
        <v>212</v>
      </c>
      <c r="AG4" s="794" t="s">
        <v>213</v>
      </c>
      <c r="AH4" s="794"/>
      <c r="AI4" s="794"/>
      <c r="AJ4" s="794"/>
      <c r="AK4" s="794"/>
      <c r="AL4" s="794" t="s">
        <v>214</v>
      </c>
      <c r="AM4" s="794"/>
      <c r="AN4" s="794"/>
      <c r="AO4" s="794"/>
      <c r="AP4" s="794"/>
      <c r="AQ4" s="794" t="s">
        <v>215</v>
      </c>
      <c r="AR4" s="794"/>
      <c r="AS4" s="794"/>
      <c r="AT4" s="794"/>
      <c r="AU4" s="794"/>
      <c r="AV4" s="794" t="s">
        <v>1410</v>
      </c>
      <c r="AW4" s="794"/>
      <c r="AX4" s="794"/>
      <c r="AY4" s="794"/>
      <c r="AZ4" s="794"/>
      <c r="BA4" s="794"/>
      <c r="BB4" s="794"/>
      <c r="BC4" s="793" t="s">
        <v>216</v>
      </c>
      <c r="BD4" s="793"/>
      <c r="BE4" s="793"/>
      <c r="BF4" s="793"/>
      <c r="BG4" s="825" t="s">
        <v>561</v>
      </c>
      <c r="BH4" s="826"/>
      <c r="BI4" s="826" t="s">
        <v>562</v>
      </c>
      <c r="BJ4" s="826"/>
      <c r="BK4" s="826" t="s">
        <v>563</v>
      </c>
      <c r="BL4" s="826"/>
    </row>
    <row r="5" spans="1:64" s="23" customFormat="1" ht="27" customHeight="1">
      <c r="A5" s="794"/>
      <c r="B5" s="817"/>
      <c r="C5" s="794" t="s">
        <v>126</v>
      </c>
      <c r="D5" s="794"/>
      <c r="E5" s="794"/>
      <c r="F5" s="794" t="s">
        <v>516</v>
      </c>
      <c r="G5" s="794"/>
      <c r="H5" s="794" t="s">
        <v>126</v>
      </c>
      <c r="I5" s="794"/>
      <c r="J5" s="794"/>
      <c r="K5" s="794" t="s">
        <v>516</v>
      </c>
      <c r="L5" s="794"/>
      <c r="M5" s="794" t="s">
        <v>126</v>
      </c>
      <c r="N5" s="794"/>
      <c r="O5" s="794"/>
      <c r="P5" s="794" t="s">
        <v>516</v>
      </c>
      <c r="Q5" s="794"/>
      <c r="R5" s="25" t="s">
        <v>55</v>
      </c>
      <c r="S5" s="814" t="s">
        <v>943</v>
      </c>
      <c r="T5" s="814"/>
      <c r="U5" s="814"/>
      <c r="V5" s="814" t="s">
        <v>130</v>
      </c>
      <c r="W5" s="814"/>
      <c r="X5" s="814"/>
      <c r="Y5" s="794" t="s">
        <v>131</v>
      </c>
      <c r="Z5" s="794"/>
      <c r="AA5" s="794"/>
      <c r="AB5" s="794" t="s">
        <v>144</v>
      </c>
      <c r="AC5" s="825"/>
      <c r="AD5" s="834"/>
      <c r="AF5" s="836"/>
      <c r="AG5" s="794" t="s">
        <v>126</v>
      </c>
      <c r="AH5" s="794"/>
      <c r="AI5" s="794"/>
      <c r="AJ5" s="794" t="s">
        <v>516</v>
      </c>
      <c r="AK5" s="794"/>
      <c r="AL5" s="794" t="s">
        <v>126</v>
      </c>
      <c r="AM5" s="794"/>
      <c r="AN5" s="794"/>
      <c r="AO5" s="794" t="s">
        <v>516</v>
      </c>
      <c r="AP5" s="794"/>
      <c r="AQ5" s="794" t="s">
        <v>126</v>
      </c>
      <c r="AR5" s="794"/>
      <c r="AS5" s="794"/>
      <c r="AT5" s="794" t="s">
        <v>516</v>
      </c>
      <c r="AU5" s="794"/>
      <c r="AV5" s="25" t="s">
        <v>55</v>
      </c>
      <c r="AW5" s="814" t="s">
        <v>943</v>
      </c>
      <c r="AX5" s="814"/>
      <c r="AY5" s="814"/>
      <c r="AZ5" s="814" t="s">
        <v>130</v>
      </c>
      <c r="BA5" s="814"/>
      <c r="BB5" s="814"/>
      <c r="BC5" s="793"/>
      <c r="BD5" s="793"/>
      <c r="BE5" s="793"/>
      <c r="BF5" s="793"/>
      <c r="BG5" s="825"/>
      <c r="BH5" s="826"/>
      <c r="BI5" s="826"/>
      <c r="BJ5" s="826"/>
      <c r="BK5" s="826"/>
      <c r="BL5" s="826"/>
    </row>
    <row r="6" spans="1:64" s="23" customFormat="1" ht="68.25" customHeight="1">
      <c r="A6" s="794"/>
      <c r="B6" s="817"/>
      <c r="C6" s="806" t="s">
        <v>135</v>
      </c>
      <c r="D6" s="806" t="s">
        <v>136</v>
      </c>
      <c r="E6" s="806" t="s">
        <v>142</v>
      </c>
      <c r="F6" s="818" t="s">
        <v>138</v>
      </c>
      <c r="G6" s="818" t="s">
        <v>139</v>
      </c>
      <c r="H6" s="806" t="s">
        <v>135</v>
      </c>
      <c r="I6" s="806" t="s">
        <v>136</v>
      </c>
      <c r="J6" s="806" t="s">
        <v>142</v>
      </c>
      <c r="K6" s="818" t="s">
        <v>138</v>
      </c>
      <c r="L6" s="818" t="s">
        <v>139</v>
      </c>
      <c r="M6" s="806" t="s">
        <v>135</v>
      </c>
      <c r="N6" s="806" t="s">
        <v>136</v>
      </c>
      <c r="O6" s="806" t="s">
        <v>142</v>
      </c>
      <c r="P6" s="818" t="s">
        <v>138</v>
      </c>
      <c r="Q6" s="818" t="s">
        <v>139</v>
      </c>
      <c r="R6" s="839" t="s">
        <v>140</v>
      </c>
      <c r="S6" s="806" t="s">
        <v>135</v>
      </c>
      <c r="T6" s="806" t="s">
        <v>141</v>
      </c>
      <c r="U6" s="806" t="s">
        <v>142</v>
      </c>
      <c r="V6" s="806" t="s">
        <v>135</v>
      </c>
      <c r="W6" s="806" t="s">
        <v>141</v>
      </c>
      <c r="X6" s="806" t="s">
        <v>142</v>
      </c>
      <c r="Y6" s="806" t="s">
        <v>135</v>
      </c>
      <c r="Z6" s="806" t="s">
        <v>141</v>
      </c>
      <c r="AA6" s="818" t="s">
        <v>217</v>
      </c>
      <c r="AB6" s="794"/>
      <c r="AC6" s="837" t="s">
        <v>218</v>
      </c>
      <c r="AD6" s="838"/>
      <c r="AF6" s="836"/>
      <c r="AG6" s="806" t="s">
        <v>135</v>
      </c>
      <c r="AH6" s="806" t="s">
        <v>136</v>
      </c>
      <c r="AI6" s="806" t="s">
        <v>219</v>
      </c>
      <c r="AJ6" s="818" t="s">
        <v>138</v>
      </c>
      <c r="AK6" s="818" t="s">
        <v>139</v>
      </c>
      <c r="AL6" s="806" t="s">
        <v>135</v>
      </c>
      <c r="AM6" s="806" t="s">
        <v>136</v>
      </c>
      <c r="AN6" s="806" t="s">
        <v>219</v>
      </c>
      <c r="AO6" s="818" t="s">
        <v>138</v>
      </c>
      <c r="AP6" s="818" t="s">
        <v>139</v>
      </c>
      <c r="AQ6" s="806" t="s">
        <v>135</v>
      </c>
      <c r="AR6" s="806" t="s">
        <v>136</v>
      </c>
      <c r="AS6" s="806" t="s">
        <v>219</v>
      </c>
      <c r="AT6" s="818" t="s">
        <v>138</v>
      </c>
      <c r="AU6" s="818" t="s">
        <v>139</v>
      </c>
      <c r="AV6" s="827" t="s">
        <v>140</v>
      </c>
      <c r="AW6" s="806" t="s">
        <v>135</v>
      </c>
      <c r="AX6" s="806" t="s">
        <v>141</v>
      </c>
      <c r="AY6" s="806" t="s">
        <v>142</v>
      </c>
      <c r="AZ6" s="806" t="s">
        <v>135</v>
      </c>
      <c r="BA6" s="806" t="s">
        <v>141</v>
      </c>
      <c r="BB6" s="806" t="s">
        <v>142</v>
      </c>
      <c r="BC6" s="818" t="s">
        <v>135</v>
      </c>
      <c r="BD6" s="818" t="s">
        <v>136</v>
      </c>
      <c r="BE6" s="818" t="s">
        <v>217</v>
      </c>
      <c r="BF6" s="794" t="s">
        <v>220</v>
      </c>
      <c r="BG6" s="23" t="s">
        <v>559</v>
      </c>
      <c r="BH6" s="23" t="s">
        <v>560</v>
      </c>
      <c r="BI6" s="23" t="s">
        <v>559</v>
      </c>
      <c r="BJ6" s="23" t="s">
        <v>560</v>
      </c>
      <c r="BK6" s="23" t="s">
        <v>559</v>
      </c>
      <c r="BL6" s="23" t="s">
        <v>560</v>
      </c>
    </row>
    <row r="7" spans="1:64" s="23" customFormat="1" ht="60" customHeight="1">
      <c r="A7" s="794"/>
      <c r="B7" s="817"/>
      <c r="C7" s="806"/>
      <c r="D7" s="806"/>
      <c r="E7" s="806"/>
      <c r="F7" s="818"/>
      <c r="G7" s="818"/>
      <c r="H7" s="806"/>
      <c r="I7" s="806"/>
      <c r="J7" s="806"/>
      <c r="K7" s="818"/>
      <c r="L7" s="818"/>
      <c r="M7" s="806"/>
      <c r="N7" s="806"/>
      <c r="O7" s="806"/>
      <c r="P7" s="818"/>
      <c r="Q7" s="818"/>
      <c r="R7" s="839"/>
      <c r="S7" s="806"/>
      <c r="T7" s="806"/>
      <c r="U7" s="806"/>
      <c r="V7" s="806"/>
      <c r="W7" s="806"/>
      <c r="X7" s="806"/>
      <c r="Y7" s="806"/>
      <c r="Z7" s="806"/>
      <c r="AA7" s="819"/>
      <c r="AB7" s="807"/>
      <c r="AC7" s="806" t="s">
        <v>149</v>
      </c>
      <c r="AD7" s="829" t="s">
        <v>150</v>
      </c>
      <c r="AF7" s="28"/>
      <c r="AG7" s="806"/>
      <c r="AH7" s="806"/>
      <c r="AI7" s="806"/>
      <c r="AJ7" s="819"/>
      <c r="AK7" s="819"/>
      <c r="AL7" s="806"/>
      <c r="AM7" s="806"/>
      <c r="AN7" s="806"/>
      <c r="AO7" s="818"/>
      <c r="AP7" s="818"/>
      <c r="AQ7" s="806"/>
      <c r="AR7" s="806"/>
      <c r="AS7" s="806"/>
      <c r="AT7" s="818"/>
      <c r="AU7" s="818"/>
      <c r="AV7" s="828"/>
      <c r="AW7" s="806"/>
      <c r="AX7" s="806"/>
      <c r="AY7" s="806"/>
      <c r="AZ7" s="806"/>
      <c r="BA7" s="806"/>
      <c r="BB7" s="806"/>
      <c r="BC7" s="819"/>
      <c r="BD7" s="819"/>
      <c r="BE7" s="819"/>
      <c r="BF7" s="794"/>
    </row>
    <row r="8" spans="1:64" s="23" customFormat="1" ht="38.25" customHeight="1">
      <c r="A8" s="794"/>
      <c r="B8" s="31" t="s">
        <v>156</v>
      </c>
      <c r="C8" s="30" t="s">
        <v>221</v>
      </c>
      <c r="D8" s="30" t="s">
        <v>222</v>
      </c>
      <c r="E8" s="30" t="s">
        <v>223</v>
      </c>
      <c r="F8" s="30" t="s">
        <v>76</v>
      </c>
      <c r="G8" s="30" t="s">
        <v>77</v>
      </c>
      <c r="H8" s="30" t="s">
        <v>78</v>
      </c>
      <c r="I8" s="30" t="s">
        <v>79</v>
      </c>
      <c r="J8" s="30" t="s">
        <v>80</v>
      </c>
      <c r="K8" s="30" t="s">
        <v>224</v>
      </c>
      <c r="L8" s="30" t="s">
        <v>190</v>
      </c>
      <c r="M8" s="30" t="s">
        <v>225</v>
      </c>
      <c r="N8" s="30" t="s">
        <v>226</v>
      </c>
      <c r="O8" s="30" t="s">
        <v>227</v>
      </c>
      <c r="P8" s="30" t="s">
        <v>228</v>
      </c>
      <c r="Q8" s="30" t="s">
        <v>229</v>
      </c>
      <c r="R8" s="30" t="s">
        <v>230</v>
      </c>
      <c r="S8" s="30" t="s">
        <v>161</v>
      </c>
      <c r="T8" s="30" t="s">
        <v>162</v>
      </c>
      <c r="U8" s="30" t="s">
        <v>163</v>
      </c>
      <c r="V8" s="30" t="s">
        <v>197</v>
      </c>
      <c r="W8" s="30" t="s">
        <v>198</v>
      </c>
      <c r="X8" s="30" t="s">
        <v>199</v>
      </c>
      <c r="Y8" s="30" t="s">
        <v>200</v>
      </c>
      <c r="Z8" s="30" t="s">
        <v>201</v>
      </c>
      <c r="AA8" s="30" t="s">
        <v>1409</v>
      </c>
      <c r="AB8" s="807"/>
      <c r="AC8" s="806"/>
      <c r="AD8" s="830"/>
      <c r="AF8" s="238" t="e">
        <f>①基本情報!G10+①基本情報!H10+①基本情報!G11+①基本情報!H11</f>
        <v>#N/A</v>
      </c>
      <c r="AG8" s="30" t="s">
        <v>200</v>
      </c>
      <c r="AH8" s="30" t="s">
        <v>201</v>
      </c>
      <c r="AI8" s="30" t="s">
        <v>202</v>
      </c>
      <c r="AJ8" s="30" t="s">
        <v>203</v>
      </c>
      <c r="AK8" s="30" t="s">
        <v>204</v>
      </c>
      <c r="AL8" s="30" t="s">
        <v>351</v>
      </c>
      <c r="AM8" s="30" t="s">
        <v>352</v>
      </c>
      <c r="AN8" s="30" t="s">
        <v>353</v>
      </c>
      <c r="AO8" s="30" t="s">
        <v>354</v>
      </c>
      <c r="AP8" s="30" t="s">
        <v>355</v>
      </c>
      <c r="AQ8" s="30" t="s">
        <v>356</v>
      </c>
      <c r="AR8" s="30" t="s">
        <v>357</v>
      </c>
      <c r="AS8" s="30" t="s">
        <v>358</v>
      </c>
      <c r="AT8" s="30" t="s">
        <v>359</v>
      </c>
      <c r="AU8" s="30" t="s">
        <v>360</v>
      </c>
      <c r="AV8" s="30" t="s">
        <v>361</v>
      </c>
      <c r="AW8" s="30" t="s">
        <v>1411</v>
      </c>
      <c r="AX8" s="30" t="s">
        <v>1412</v>
      </c>
      <c r="AY8" s="30" t="s">
        <v>364</v>
      </c>
      <c r="AZ8" s="30" t="s">
        <v>1413</v>
      </c>
      <c r="BA8" s="30" t="s">
        <v>1414</v>
      </c>
      <c r="BB8" s="30" t="s">
        <v>1415</v>
      </c>
      <c r="BC8" s="30" t="s">
        <v>362</v>
      </c>
      <c r="BD8" s="30" t="s">
        <v>363</v>
      </c>
      <c r="BE8" s="23" t="s">
        <v>364</v>
      </c>
      <c r="BF8" s="794"/>
    </row>
    <row r="9" spans="1:64" s="33" customFormat="1" ht="37.5" customHeight="1">
      <c r="A9" s="127">
        <v>4</v>
      </c>
      <c r="B9" s="224">
        <f>'②-2勤務時間数入力'!AH7</f>
        <v>0</v>
      </c>
      <c r="C9" s="223">
        <f>COUNTIFS('②-1職員名簿'!$L$7:$L$106,"有",'②-1職員名簿'!AP$7:AP$106,"C",'②-2勤務時間数入力'!F$7:F$106,"正")</f>
        <v>0</v>
      </c>
      <c r="D9" s="223">
        <f>COUNTIFS('②-1職員名簿'!$L$7:$L$106,"有",'②-1職員名簿'!AP$7:AP$106,"C",'②-2勤務時間数入力'!$C$7:$C$106,"常勤的非常勤",'②-2勤務時間数入力'!R$7:R$106,"常")</f>
        <v>0</v>
      </c>
      <c r="E9" s="223">
        <f>SUMIFS('②-2勤務時間数入力'!R$7:R$106,'②-1職員名簿'!$L$7:$L$106,"有",'②-1職員名簿'!AP$7:AP$106,"C",'②-1職員名簿'!$C$7:$C$106,"パート")</f>
        <v>0</v>
      </c>
      <c r="F9" s="223">
        <f>COUNTIFS('②-1職員名簿'!$L$7:$L$106,"有",'②-1職員名簿'!AP$7:AP$106,"C",'②-2勤務時間数入力'!$C$7:$C$106,"嘱託常勤",'②-2勤務時間数入力'!R$7:R$106,"常")</f>
        <v>0</v>
      </c>
      <c r="G9" s="223">
        <f>SUMIFS('②-2勤務時間数入力'!R$7:R$106,'②-1職員名簿'!$L$7:$L$106,"有",'②-1職員名簿'!AP$7:AP$106,"C",'②-1職員名簿'!$C$7:$C$106,"嘱託等")</f>
        <v>0</v>
      </c>
      <c r="H9" s="223">
        <f>COUNTIFS('②-1職員名簿'!$M$7:$M$106,"有",'②-1職員名簿'!AP$7:AP$106,"C",'②-2勤務時間数入力'!F$7:F$106,"正",'②-1職員名簿'!$L$7:$L$106,"")</f>
        <v>0</v>
      </c>
      <c r="I9" s="223">
        <f>COUNTIFS('②-1職員名簿'!$M$7:$M$106,"有",'②-1職員名簿'!AP$7:AP$106,"C",'②-2勤務時間数入力'!$C$7:$C$106,"常勤的非常勤",'②-2勤務時間数入力'!R$7:R$106,"常",'②-1職員名簿'!$L$7:$L$106,"")</f>
        <v>0</v>
      </c>
      <c r="J9" s="223">
        <f>SUMIFS('②-2勤務時間数入力'!R$7:R$106,'②-1職員名簿'!$M$7:$M$106,"有",'②-1職員名簿'!AP$7:AP$106,"C",'②-1職員名簿'!$C$7:$C$106,"パート",'②-1職員名簿'!$L$7:$L$106,"")</f>
        <v>0</v>
      </c>
      <c r="K9" s="223">
        <f>COUNTIFS('②-1職員名簿'!$M$7:$M$106,"有",'②-1職員名簿'!AP$7:AP$106,"C",'②-2勤務時間数入力'!$C$7:$C$106,"嘱託常勤",'②-2勤務時間数入力'!R$7:R$106,"常",'②-1職員名簿'!$L$7:$L$106,"")</f>
        <v>0</v>
      </c>
      <c r="L9" s="223">
        <f>SUMIFS('②-2勤務時間数入力'!R$7:R$106,'②-1職員名簿'!$M$7:$M$106,"有",'②-1職員名簿'!AP$7:AP$106,"C",'②-1職員名簿'!$C$7:$C$106,"嘱託等",'②-1職員名簿'!$L$7:$L$106,"")</f>
        <v>0</v>
      </c>
      <c r="M9" s="223">
        <f>COUNTIFS('②-1職員名簿'!$N$7:$N$106,"有",'②-1職員名簿'!AP$7:AP$106,"C",'②-2勤務時間数入力'!F$7:F$106,"正",'②-1職員名簿'!$L$7:$L$106,"",'②-1職員名簿'!$M$7:$M$106,"")</f>
        <v>0</v>
      </c>
      <c r="N9" s="223">
        <f>COUNTIFS('②-1職員名簿'!$N$7:$N$106,"有",'②-1職員名簿'!AP$7:AP$106,"C",'②-2勤務時間数入力'!$C$7:$C$106,"常勤的非常勤",'②-2勤務時間数入力'!R$7:R$106,"常",'②-1職員名簿'!$L$7:$L$106,"",'②-1職員名簿'!$M$7:$M$106,"")</f>
        <v>0</v>
      </c>
      <c r="O9" s="223">
        <f>SUMIFS('②-2勤務時間数入力'!R$7:R$106,'②-1職員名簿'!$N$7:$N$106,"有",'②-1職員名簿'!AP$7:AP$106,"C",'②-1職員名簿'!$C$7:$C$106,"パート",'②-1職員名簿'!$L$7:$L$106,"",'②-1職員名簿'!$M$7:$M$106,"")</f>
        <v>0</v>
      </c>
      <c r="P9" s="223">
        <f>COUNTIFS('②-1職員名簿'!$N$7:$N$106,"有",'②-1職員名簿'!AP$7:AP$106,"C",'②-2勤務時間数入力'!$C$7:$C$106,"嘱託常勤",'②-2勤務時間数入力'!R$7:R$106,"常",'②-1職員名簿'!$L$7:$L$106,"",'②-1職員名簿'!$M$7:$M$106,"")</f>
        <v>0</v>
      </c>
      <c r="Q9" s="223">
        <f>SUMIFS('②-2勤務時間数入力'!R$7:R$106,'②-1職員名簿'!$N$7:$N$106,"有",'②-1職員名簿'!AP$7:AP$106,"C",'②-1職員名簿'!$C$7:$C$106,"嘱託等",'②-1職員名簿'!$L$7:$L$106,"",'②-1職員名簿'!$M$7:$M$106,"")</f>
        <v>0</v>
      </c>
      <c r="R9" s="225">
        <f>COUNTIFS('②-1職員名簿'!$W$7:$W$106,"園長",'②-1職員名簿'!AP$7:AP$106,"C")</f>
        <v>0</v>
      </c>
      <c r="S9" s="61">
        <f>COUNTIFS('②-1職員名簿'!$AP$7:$AP$106,"C",'②-1職員名簿'!$W$7:$W$106,S$5,'②-2勤務時間数入力'!$F$7:$F$106,"正")</f>
        <v>0</v>
      </c>
      <c r="T9" s="61">
        <f>COUNTIFS('②-1職員名簿'!$AP$7:$AP$106,"C",'②-1職員名簿'!$W$7:$W$106,S$5,'②-2勤務時間数入力'!$R$7:$R$106,"常")</f>
        <v>0</v>
      </c>
      <c r="U9" s="61">
        <f>SUMIFS('②-2勤務時間数入力'!$R$7:$R$106,'②-1職員名簿'!$AP$7:$AP$106,"C",'②-1職員名簿'!$W$7:$W$106,S$5)</f>
        <v>0</v>
      </c>
      <c r="V9" s="61">
        <f>COUNTIFS('②-1職員名簿'!$AP$7:$AP$106,"C",'②-1職員名簿'!$W$7:$W$106,V$5,'②-2勤務時間数入力'!$F$7:$F$106,"正")</f>
        <v>0</v>
      </c>
      <c r="W9" s="61">
        <f>COUNTIFS('②-1職員名簿'!$AP$7:$AP$106,"C",'②-1職員名簿'!$W$7:$W$106,V$5,'②-2勤務時間数入力'!$R$7:$R$106,"常")</f>
        <v>0</v>
      </c>
      <c r="X9" s="61">
        <f>SUMIFS('②-2勤務時間数入力'!$R$7:$R$106,'②-1職員名簿'!$AP$7:$AP$106,"C",'②-1職員名簿'!$W$7:$W$106,V$5)</f>
        <v>0</v>
      </c>
      <c r="Y9" s="226">
        <f>C9+H9+M9-R9-S9-V9</f>
        <v>0</v>
      </c>
      <c r="Z9" s="227">
        <f>D9+F9+I9+K9+N9+P9-T9-W9</f>
        <v>0</v>
      </c>
      <c r="AA9" s="228" t="e">
        <f>ROUNDDOWN((E9+G9+J9+L9+O9+Q9-U9-X9)/B9,3)</f>
        <v>#DIV/0!</v>
      </c>
      <c r="AB9" s="228" t="e">
        <f t="shared" ref="AB9:AB20" si="0">+Y9+Z9+AA9</f>
        <v>#DIV/0!</v>
      </c>
      <c r="AC9" s="323" t="e">
        <f>MIN(AB9,1)</f>
        <v>#DIV/0!</v>
      </c>
      <c r="AD9" s="228" t="e">
        <f>MIN(1,AB9-AC9)</f>
        <v>#DIV/0!</v>
      </c>
      <c r="AE9" s="229"/>
      <c r="AF9" s="230" t="e">
        <f>IF($AF$8&gt;=151,3,IF($AF$8&gt;=41,2,1))</f>
        <v>#N/A</v>
      </c>
      <c r="AG9" s="225">
        <f>COUNTIFS('②-1職員名簿'!AP$7:AP$106,"D",'②-2勤務時間数入力'!F$7:F$106,"正")</f>
        <v>0</v>
      </c>
      <c r="AH9" s="223">
        <f>COUNTIFS('②-1職員名簿'!AP$7:AP$106,"D",'②-2勤務時間数入力'!$C$7:$C$106,"常勤的非常勤",'②-2勤務時間数入力'!R$7:R$106,"常")</f>
        <v>0</v>
      </c>
      <c r="AI9" s="223">
        <f>SUMIFS('②-2勤務時間数入力'!R$7:R$106,'②-1職員名簿'!AP$7:AP$106,"D",'②-1職員名簿'!$C$7:$C$106,"パート")</f>
        <v>0</v>
      </c>
      <c r="AJ9" s="223">
        <f>COUNTIFS('②-1職員名簿'!AP$7:AP$106,"D",'②-2勤務時間数入力'!$C$7:$C$106,"嘱託常勤",'②-2勤務時間数入力'!R$7:R$106,"常")</f>
        <v>0</v>
      </c>
      <c r="AK9" s="223">
        <f>SUMIFS('②-2勤務時間数入力'!R$7:R$106,'②-1職員名簿'!AP$7:AP$106,"D",'②-1職員名簿'!$C$7:$C$106,"嘱託等")</f>
        <v>0</v>
      </c>
      <c r="AL9" s="225">
        <f>COUNTIFS('②-1職員名簿'!$P$7:$P$106,"有",'②-1職員名簿'!AP$7:AP$106,"E",'②-2勤務時間数入力'!F$7:F$106,"正",'②-1職員名簿'!$O$7:$O$106,"")</f>
        <v>0</v>
      </c>
      <c r="AM9" s="223">
        <f>COUNTIFS('②-1職員名簿'!$P$7:$P$106,"有",'②-1職員名簿'!AP$7:AP$106,"E",'②-2勤務時間数入力'!$C$7:$C$106,"常勤的非常勤",'②-2勤務時間数入力'!R$7:R$106,"常",'②-1職員名簿'!$O$7:$O$106,"")</f>
        <v>0</v>
      </c>
      <c r="AN9" s="223">
        <f>SUMIFS('②-2勤務時間数入力'!R$7:R$106,'②-1職員名簿'!AP$7:AP$106,"E",'②-1職員名簿'!$P$7:$P$106,"有",'②-1職員名簿'!$C$7:$C$106,"パート",'②-1職員名簿'!$O$7:$O$106,"")</f>
        <v>0</v>
      </c>
      <c r="AO9" s="223">
        <f>COUNTIFS('②-1職員名簿'!$P$7:$P$106,"有",'②-1職員名簿'!AP$7:AP$106,"E",'②-2勤務時間数入力'!$C$7:$C$106,"嘱託常勤",'②-2勤務時間数入力'!R$7:R$106,"常",'②-1職員名簿'!$O$7:$O$106,"")</f>
        <v>0</v>
      </c>
      <c r="AP9" s="223">
        <f>SUMIFS('②-2勤務時間数入力'!R$7:R$106,'②-1職員名簿'!AP$7:AP$106,"E",'②-1職員名簿'!$P$7:$P$106,"有",'②-1職員名簿'!$C$7:$C$106,"嘱託等",'②-1職員名簿'!$O$7:$O$106,"")</f>
        <v>0</v>
      </c>
      <c r="AQ9" s="231">
        <f>COUNTIFS('②-1職員名簿'!AP$7:AP$106,"E",'②-2勤務時間数入力'!F$7:F$106,"正",'②-1職員名簿'!$P$7:$P$106,"")</f>
        <v>0</v>
      </c>
      <c r="AR9" s="232">
        <f>COUNTIFS('②-1職員名簿'!AP$7:AP$106,"E",'②-2勤務時間数入力'!$C$7:$C$106,"常勤的非常勤",'②-2勤務時間数入力'!R$7:R$106,"常",'②-1職員名簿'!$P$7:$P$106,"")</f>
        <v>0</v>
      </c>
      <c r="AS9" s="232">
        <f>SUMIFS('②-2勤務時間数入力'!R$7:R$106,'②-1職員名簿'!AP$7:AP$106,"E",'②-1職員名簿'!$C$7:$C$106,"パート",'②-1職員名簿'!$P$7:$P$106,"")</f>
        <v>0</v>
      </c>
      <c r="AT9" s="232">
        <f>COUNTIFS('②-1職員名簿'!AP$7:AP$106,"E",'②-2勤務時間数入力'!$C$7:$C$106,"嘱託常勤",'②-2勤務時間数入力'!R$7:R$106,"常",'②-1職員名簿'!$P$7:$P$106,"")</f>
        <v>0</v>
      </c>
      <c r="AU9" s="232">
        <f>SUMIFS('②-2勤務時間数入力'!R$7:R$106,'②-1職員名簿'!AP$7:AP$106,"E",'②-1職員名簿'!$C$7:$C$106,"嘱託等",'②-1職員名簿'!$P$7:$P$106,"")</f>
        <v>0</v>
      </c>
      <c r="AV9" s="180">
        <f>BG9+BH9</f>
        <v>0</v>
      </c>
      <c r="AW9" s="61">
        <f>COUNTIFS('②-1職員名簿'!$AP$7:$AP$106,"D",'②-1職員名簿'!$W$7:$W$106,AW$5,'②-2勤務時間数入力'!$F$7:$F$106,"正")+COUNTIFS('②-1職員名簿'!$AP$7:$AP$106,"E",'②-1職員名簿'!$W$7:$W$106,AW$5,'②-2勤務時間数入力'!$F$7:$F$106,"正")</f>
        <v>0</v>
      </c>
      <c r="AX9" s="61">
        <f>COUNTIFS('②-1職員名簿'!$AP$7:$AP$106,"D",'②-1職員名簿'!$W$7:$W$106,AW$5,'②-2勤務時間数入力'!$R$7:$R$106,"常")+COUNTIFS('②-1職員名簿'!$AP$7:$AP$106,"E",'②-1職員名簿'!$W$7:$W$106,AW$5,'②-2勤務時間数入力'!$R$7:$R$106,"常")</f>
        <v>0</v>
      </c>
      <c r="AY9" s="61">
        <f>SUMIFS('②-2勤務時間数入力'!$R$7:$R$106,'②-1職員名簿'!$AP$7:$AP$106,"D",'②-1職員名簿'!$W$7:$W$106,AW$5)+SUMIFS('②-2勤務時間数入力'!$R$7:$R$106,'②-1職員名簿'!$AP$7:$AP$106,"E",'②-1職員名簿'!$W$7:$W$106,AW$5)</f>
        <v>0</v>
      </c>
      <c r="AZ9" s="61">
        <f>COUNTIFS('②-1職員名簿'!$AP$7:$AP$106,"D",'②-1職員名簿'!$W$7:$W$106,AZ$5,'②-2勤務時間数入力'!$F$7:$F$106,"正")+COUNTIFS('②-1職員名簿'!$AP$7:$AP$106,"E",'②-1職員名簿'!$W$7:$W$106,AZ$5,'②-2勤務時間数入力'!$F$7:$F$106,"正")</f>
        <v>0</v>
      </c>
      <c r="BA9" s="61">
        <f>COUNTIFS('②-1職員名簿'!$AP$7:$AP$106,"D",'②-1職員名簿'!$W$7:$W$106,AZ$5,'②-2勤務時間数入力'!$R$7:$R$106,"常")+COUNTIFS('②-1職員名簿'!$AP$7:$AP$106,"E",'②-1職員名簿'!$W$7:$W$106,AZ$5,'②-2勤務時間数入力'!$R$7:$R$106,"常")</f>
        <v>0</v>
      </c>
      <c r="BB9" s="61">
        <f>SUMIFS('②-2勤務時間数入力'!$R$7:$R$106,'②-1職員名簿'!$AP$7:$AP$106,"D",'②-1職員名簿'!$W$7:$W$106,AZ$5)+SUMIFS('②-2勤務時間数入力'!$R$7:$R$106,'②-1職員名簿'!$AP$7:$AP$106,"E",'②-1職員名簿'!$W$7:$W$106,AZ$5)</f>
        <v>0</v>
      </c>
      <c r="BC9" s="180">
        <f>AG9+AL9+AQ9-AV9-AW9-AZ9</f>
        <v>0</v>
      </c>
      <c r="BD9" s="180">
        <f>+AH9+AJ9+AM9+AO9+AR9+AT9-AX9-BA9</f>
        <v>0</v>
      </c>
      <c r="BE9" s="333" t="e">
        <f>ROUNDDOWN((AI9+AK9+AN9+AP9+AS9+AU9-AY9-BB9)/B9,3)</f>
        <v>#DIV/0!</v>
      </c>
      <c r="BF9" s="334" t="e">
        <f>+BC9+BD9+BE9</f>
        <v>#DIV/0!</v>
      </c>
      <c r="BG9" s="218">
        <f>COUNTIFS('②-1職員名簿'!$W$7:$W$106,"園長",'②-1職員名簿'!AP$7:AP$106,"D")</f>
        <v>0</v>
      </c>
      <c r="BH9" s="218">
        <f>COUNTIFS('②-1職員名簿'!$W$7:$W$106,"園長",'②-1職員名簿'!$P$7:$P$106,"有",'②-1職員名簿'!AP$7:AP$106,"E")</f>
        <v>0</v>
      </c>
      <c r="BI9" s="181" t="e">
        <f t="shared" ref="BI9:BI20" si="1">SUM(AG9:AH9,AJ9,ROUNDDOWN((AI9+AK9)/B9,3))-BG9</f>
        <v>#DIV/0!</v>
      </c>
      <c r="BJ9" s="181" t="e">
        <f t="shared" ref="BJ9:BJ20" si="2">SUM(AL9:AM9,AQ9:AR9,AO9,AT9,ROUNDDOWN(SUM(AN9,AP9,AS9,AU9)/B9,3))-BH9</f>
        <v>#DIV/0!</v>
      </c>
      <c r="BK9" s="181" t="e">
        <f t="shared" ref="BK9:BK20" si="3">IF(AND($AF9&gt;0,$BF9&gt;$AF9),MAX(BI9-AF9,0),0)</f>
        <v>#N/A</v>
      </c>
      <c r="BL9" s="182" t="e">
        <f>IF(AND($AF9&gt;0,$BF9&gt;$AF9),BF9-AF9-BK9,0)</f>
        <v>#N/A</v>
      </c>
    </row>
    <row r="10" spans="1:64" s="33" customFormat="1" ht="36" customHeight="1">
      <c r="A10" s="196">
        <v>5</v>
      </c>
      <c r="B10" s="224">
        <f>'②-2勤務時間数入力'!AH8</f>
        <v>0</v>
      </c>
      <c r="C10" s="223">
        <f>COUNTIFS('②-1職員名簿'!$L$7:$L$106,"有",'②-1職員名簿'!AD$7:AD$106,"○",'②-2勤務時間数入力'!G$7:G$106,"正")</f>
        <v>0</v>
      </c>
      <c r="D10" s="223">
        <f>COUNTIFS('②-1職員名簿'!$L$7:$L$106,"有",'②-2勤務時間数入力'!$C$7:$C$106,"常勤的非常勤",'②-2勤務時間数入力'!S$7:S$106,"常")</f>
        <v>0</v>
      </c>
      <c r="E10" s="223">
        <f>SUMIFS('②-2勤務時間数入力'!S$7:S$106,'②-1職員名簿'!$L$7:$L$106,"有",'②-1職員名簿'!$C$7:$C$106,"パート")</f>
        <v>0</v>
      </c>
      <c r="F10" s="223">
        <f>COUNTIFS('②-1職員名簿'!$L$7:$L$106,"有",'②-2勤務時間数入力'!$C$7:$C$106,"嘱託常勤",'②-2勤務時間数入力'!S$7:S$106,"常")</f>
        <v>0</v>
      </c>
      <c r="G10" s="223">
        <f>SUMIFS('②-2勤務時間数入力'!S$7:S$106,'②-1職員名簿'!$L$7:$L$106,"有",'②-1職員名簿'!$C$7:$C$106,"嘱託等")</f>
        <v>0</v>
      </c>
      <c r="H10" s="223">
        <f>COUNTIFS('②-1職員名簿'!$M$7:$M$106,"有",'②-1職員名簿'!AQ$7:AQ$106,"C",'②-2勤務時間数入力'!G$7:G$106,"正",'②-1職員名簿'!$L$7:$L$106,"")</f>
        <v>0</v>
      </c>
      <c r="I10" s="223">
        <f>COUNTIFS('②-1職員名簿'!$M$7:$M$106,"有",'②-1職員名簿'!AQ$7:AQ$106,"C",'②-2勤務時間数入力'!$C$7:$C$106,"常勤的非常勤",'②-2勤務時間数入力'!S$7:S$106,"常",'②-1職員名簿'!$L$7:$L$106,"")</f>
        <v>0</v>
      </c>
      <c r="J10" s="223">
        <f>SUMIFS('②-2勤務時間数入力'!S$7:S$106,'②-1職員名簿'!$M$7:$M$106,"有",'②-1職員名簿'!AQ$7:AQ$106,"C",'②-1職員名簿'!$C$7:$C$106,"パート",'②-1職員名簿'!$L$7:$L$106,"")</f>
        <v>0</v>
      </c>
      <c r="K10" s="223">
        <f>COUNTIFS('②-1職員名簿'!$M$7:$M$106,"有",'②-1職員名簿'!AQ$7:AQ$106,"C",'②-2勤務時間数入力'!$C$7:$C$106,"嘱託常勤",'②-2勤務時間数入力'!S$7:S$106,"常",'②-1職員名簿'!$L$7:$L$106,"")</f>
        <v>0</v>
      </c>
      <c r="L10" s="223">
        <f>SUMIFS('②-2勤務時間数入力'!S$7:S$106,'②-1職員名簿'!$M$7:$M$106,"有",'②-1職員名簿'!AQ$7:AQ$106,"C",'②-1職員名簿'!$C$7:$C$106,"嘱託等",'②-1職員名簿'!$L$7:$L$106,"")</f>
        <v>0</v>
      </c>
      <c r="M10" s="223">
        <f>COUNTIFS('②-1職員名簿'!$N$7:$N$106,"有",'②-1職員名簿'!AQ$7:AQ$106,"C",'②-2勤務時間数入力'!G$7:G$106,"正",'②-1職員名簿'!$L$7:$L$106,"",'②-1職員名簿'!$M$7:$M$106,"")</f>
        <v>0</v>
      </c>
      <c r="N10" s="223">
        <f>COUNTIFS('②-1職員名簿'!$N$7:$N$106,"有",'②-1職員名簿'!AQ$7:AQ$106,"C",'②-2勤務時間数入力'!$C$7:$C$106,"常勤的非常勤",'②-2勤務時間数入力'!S$7:S$106,"常",'②-1職員名簿'!$L$7:$L$106,"",'②-1職員名簿'!$M$7:$M$106,"")</f>
        <v>0</v>
      </c>
      <c r="O10" s="223">
        <f>SUMIFS('②-2勤務時間数入力'!S$7:S$106,'②-1職員名簿'!$N$7:$N$106,"有",'②-1職員名簿'!AQ$7:AQ$106,"C",'②-1職員名簿'!$C$7:$C$106,"パート",'②-1職員名簿'!$L$7:$L$106,"",'②-1職員名簿'!$M$7:$M$106,"")</f>
        <v>0</v>
      </c>
      <c r="P10" s="223">
        <f>COUNTIFS('②-1職員名簿'!$N$7:$N$106,"有",'②-1職員名簿'!AQ$7:AQ$106,"C",'②-2勤務時間数入力'!$C$7:$C$106,"嘱託常勤",'②-2勤務時間数入力'!S$7:S$106,"常",'②-1職員名簿'!$L$7:$L$106,"",'②-1職員名簿'!$M$7:$M$106,"")</f>
        <v>0</v>
      </c>
      <c r="Q10" s="223">
        <f>SUMIFS('②-2勤務時間数入力'!S$7:S$106,'②-1職員名簿'!$N$7:$N$106,"有",'②-1職員名簿'!AQ$7:AQ$106,"C",'②-1職員名簿'!$C$7:$C$106,"嘱託等",'②-1職員名簿'!$L$7:$L$106,"",'②-1職員名簿'!$M$7:$M$106,"")</f>
        <v>0</v>
      </c>
      <c r="R10" s="225">
        <f>COUNTIFS('②-1職員名簿'!$W$7:$W$106,"園長",'②-1職員名簿'!AQ$7:AQ$106,"C")</f>
        <v>0</v>
      </c>
      <c r="S10" s="61">
        <f>COUNTIFS('②-1職員名簿'!$AQ$7:$AQ$106,"C",'②-1職員名簿'!$W$7:$W$106,S$5,'②-2勤務時間数入力'!$G$7:$G$106,"正")</f>
        <v>0</v>
      </c>
      <c r="T10" s="61">
        <f>COUNTIFS('②-1職員名簿'!$AQ$7:$AQ$106,"C",'②-1職員名簿'!$W$7:$W$106,S$5,'②-2勤務時間数入力'!$S$7:$S$106,"常")</f>
        <v>0</v>
      </c>
      <c r="U10" s="61">
        <f>SUMIFS('②-2勤務時間数入力'!$S$7:$S$106,'②-1職員名簿'!$AQ$7:$AQ$106,"C",'②-1職員名簿'!$W$7:$W$106,S$5)</f>
        <v>0</v>
      </c>
      <c r="V10" s="61">
        <f>COUNTIFS('②-1職員名簿'!$AQ$7:$AQ$106,"C",'②-1職員名簿'!$W$7:$W$106,V$5,'②-2勤務時間数入力'!$G$7:$G$106,"正")</f>
        <v>0</v>
      </c>
      <c r="W10" s="61">
        <f>COUNTIFS('②-1職員名簿'!$AQ$7:$AQ$106,"C",'②-1職員名簿'!$W$7:$W$106,V$5,'②-2勤務時間数入力'!$S$7:$S$106,"常")</f>
        <v>0</v>
      </c>
      <c r="X10" s="61">
        <f>SUMIFS('②-2勤務時間数入力'!$S$7:$S$106,'②-1職員名簿'!$AQ$7:$AQ$106,"C",'②-1職員名簿'!$W$7:$W$106,V$5)</f>
        <v>0</v>
      </c>
      <c r="Y10" s="226">
        <f t="shared" ref="Y10:Y20" si="4">C10+H10+M10-R10-S10-V10</f>
        <v>0</v>
      </c>
      <c r="Z10" s="227">
        <f t="shared" ref="Z10:Z20" si="5">D10+F10+I10+K10+N10+P10-T10-W10</f>
        <v>0</v>
      </c>
      <c r="AA10" s="228" t="e">
        <f t="shared" ref="AA10:AA20" si="6">ROUNDDOWN((E10+G10+J10+L10+O10+Q10-U10-X10)/B10,3)</f>
        <v>#DIV/0!</v>
      </c>
      <c r="AB10" s="228" t="e">
        <f t="shared" si="0"/>
        <v>#DIV/0!</v>
      </c>
      <c r="AC10" s="323" t="e">
        <f t="shared" ref="AC10:AC20" si="7">MIN(AB10,1)</f>
        <v>#DIV/0!</v>
      </c>
      <c r="AD10" s="228" t="e">
        <f t="shared" ref="AD10:AD20" si="8">MIN(1,AB10-AC10)</f>
        <v>#DIV/0!</v>
      </c>
      <c r="AE10" s="229"/>
      <c r="AF10" s="230" t="e">
        <f t="shared" ref="AF10:AF20" si="9">IF($AF$8&gt;=151,3,IF($AF$8&gt;=41,2,1))</f>
        <v>#N/A</v>
      </c>
      <c r="AG10" s="225">
        <f>COUNTIFS('②-1職員名簿'!AQ$7:AQ$106,"D",'②-2勤務時間数入力'!G$7:G$106,"正")</f>
        <v>0</v>
      </c>
      <c r="AH10" s="223">
        <f>COUNTIFS('②-1職員名簿'!AQ$7:AQ$106,"D",'②-2勤務時間数入力'!$C$7:$C$106,"常勤的非常勤",'②-2勤務時間数入力'!S$7:S$106,"常")</f>
        <v>0</v>
      </c>
      <c r="AI10" s="223">
        <f>SUMIFS('②-2勤務時間数入力'!S$7:S$106,'②-1職員名簿'!AQ$7:AQ$106,"D",'②-1職員名簿'!$C$7:$C$106,"パート")</f>
        <v>0</v>
      </c>
      <c r="AJ10" s="223">
        <f>COUNTIFS('②-1職員名簿'!AQ$7:AQ$106,"D",'②-2勤務時間数入力'!$C$7:$C$106,"嘱託常勤",'②-2勤務時間数入力'!S$7:S$106,"常")</f>
        <v>0</v>
      </c>
      <c r="AK10" s="223">
        <f>SUMIFS('②-2勤務時間数入力'!S$7:S$106,'②-1職員名簿'!AQ$7:AQ$106,"D",'②-1職員名簿'!$C$7:$C$106,"嘱託等")</f>
        <v>0</v>
      </c>
      <c r="AL10" s="225">
        <f>COUNTIFS('②-1職員名簿'!$P$7:$P$106,"有",'②-1職員名簿'!AQ$7:AQ$106,"E",'②-2勤務時間数入力'!G$7:G$106,"正",'②-1職員名簿'!$O$7:$O$106,"")</f>
        <v>0</v>
      </c>
      <c r="AM10" s="223">
        <f>COUNTIFS('②-1職員名簿'!$P$7:$P$106,"有",'②-1職員名簿'!AQ$7:AQ$106,"E",'②-2勤務時間数入力'!$C$7:$C$106,"常勤的非常勤",'②-2勤務時間数入力'!S$7:S$106,"常",'②-1職員名簿'!$O$7:$O$106,"")</f>
        <v>0</v>
      </c>
      <c r="AN10" s="223">
        <f>SUMIFS('②-2勤務時間数入力'!S$7:S$106,'②-1職員名簿'!AQ$7:AQ$106,"E",'②-1職員名簿'!$P$7:$P$106,"有",'②-1職員名簿'!$C$7:$C$106,"パート",'②-1職員名簿'!$O$7:$O$106,"")</f>
        <v>0</v>
      </c>
      <c r="AO10" s="223">
        <f>COUNTIFS('②-1職員名簿'!$P$7:$P$106,"有",'②-1職員名簿'!AQ$7:AQ$106,"E",'②-2勤務時間数入力'!$C$7:$C$106,"嘱託常勤",'②-2勤務時間数入力'!S$7:S$106,"常",'②-1職員名簿'!$O$7:$O$106,"")</f>
        <v>0</v>
      </c>
      <c r="AP10" s="223">
        <f>SUMIFS('②-2勤務時間数入力'!S$7:S$106,'②-1職員名簿'!AQ$7:AQ$106,"E",'②-1職員名簿'!$P$7:$P$106,"有",'②-1職員名簿'!$C$7:$C$106,"嘱託等",'②-1職員名簿'!$O$7:$O$106,"")</f>
        <v>0</v>
      </c>
      <c r="AQ10" s="231">
        <f>COUNTIFS('②-1職員名簿'!AQ$7:AQ$106,"E",'②-2勤務時間数入力'!G$7:G$106,"正",'②-1職員名簿'!$P$7:$P$106,"")</f>
        <v>0</v>
      </c>
      <c r="AR10" s="232">
        <f>COUNTIFS('②-1職員名簿'!AQ$7:AQ$106,"E",'②-2勤務時間数入力'!$C$7:$C$106,"常勤的非常勤",'②-2勤務時間数入力'!S$7:S$106,"常",'②-1職員名簿'!$P$7:$P$106,"")</f>
        <v>0</v>
      </c>
      <c r="AS10" s="232">
        <f>SUMIFS('②-2勤務時間数入力'!S$7:S$106,'②-1職員名簿'!AQ$7:AQ$106,"E",'②-1職員名簿'!$C$7:$C$106,"パート",'②-1職員名簿'!$P$7:$P$106,"")</f>
        <v>0</v>
      </c>
      <c r="AT10" s="232">
        <f>COUNTIFS('②-1職員名簿'!AQ$7:AQ$106,"E",'②-2勤務時間数入力'!$C$7:$C$106,"嘱託常勤",'②-2勤務時間数入力'!S$7:S$106,"常",'②-1職員名簿'!$P$7:$P$106,"")</f>
        <v>0</v>
      </c>
      <c r="AU10" s="232">
        <f>SUMIFS('②-2勤務時間数入力'!S$7:S$106,'②-1職員名簿'!AQ$7:AQ$106,"E",'②-1職員名簿'!$C$7:$C$106,"嘱託等",'②-1職員名簿'!$P$7:$P$106,"")</f>
        <v>0</v>
      </c>
      <c r="AV10" s="180">
        <f t="shared" ref="AV10:AV20" si="10">BG10+BH10</f>
        <v>0</v>
      </c>
      <c r="AW10" s="61">
        <f>COUNTIFS('②-1職員名簿'!$AQ$7:$AQ$106,"D",'②-1職員名簿'!$W$7:$W$106,AW$5,'②-2勤務時間数入力'!$G$7:$G$106,"正")+COUNTIFS('②-1職員名簿'!$AQ$7:$AQ$106,"E",'②-1職員名簿'!$W$7:$W$106,AW$5,'②-2勤務時間数入力'!$G$7:$G$106,"正")</f>
        <v>0</v>
      </c>
      <c r="AX10" s="61">
        <f>COUNTIFS('②-1職員名簿'!$AQ$7:$AQ$106,"D",'②-1職員名簿'!$W$7:$W$106,AW$5,'②-2勤務時間数入力'!$S$7:$S$106,"常")+COUNTIFS('②-1職員名簿'!$AQ$7:$AQ$106,"E",'②-1職員名簿'!$W$7:$W$106,AW$5,'②-2勤務時間数入力'!$S$7:$S$106,"常")</f>
        <v>0</v>
      </c>
      <c r="AY10" s="61">
        <f>SUMIFS('②-2勤務時間数入力'!$S$7:$S$106,'②-1職員名簿'!$AQ$7:$AQ$106,"D",'②-1職員名簿'!$W$7:$W$106,AW$5)+SUMIFS('②-2勤務時間数入力'!$S$7:$S$106,'②-1職員名簿'!$AQ$7:$AQ$106,"E",'②-1職員名簿'!$W$7:$W$106,AW$5)</f>
        <v>0</v>
      </c>
      <c r="AZ10" s="61">
        <f>COUNTIFS('②-1職員名簿'!$AQ$7:$AQ$106,"D",'②-1職員名簿'!$W$7:$W$106,AZ$5,'②-2勤務時間数入力'!$G$7:$G$106,"正")+COUNTIFS('②-1職員名簿'!$AQ$7:$AQ$106,"E",'②-1職員名簿'!$W$7:$W$106,AZ$5,'②-2勤務時間数入力'!$G$7:$G$106,"正")</f>
        <v>0</v>
      </c>
      <c r="BA10" s="61">
        <f>COUNTIFS('②-1職員名簿'!$AQ$7:$AQ$106,"D",'②-1職員名簿'!$W$7:$W$106,AZ$5,'②-2勤務時間数入力'!$S$7:$S$106,"常")+COUNTIFS('②-1職員名簿'!$AQ$7:$AQ$106,"E",'②-1職員名簿'!$W$7:$W$106,AZ$5,'②-2勤務時間数入力'!$S$7:$S$106,"常")</f>
        <v>0</v>
      </c>
      <c r="BB10" s="61">
        <f>SUMIFS('②-2勤務時間数入力'!$S$7:$S$106,'②-1職員名簿'!$AQ$7:$AQ$106,"D",'②-1職員名簿'!$W$7:$W$106,AZ$5)+SUMIFS('②-2勤務時間数入力'!$S$7:$S$106,'②-1職員名簿'!$AQ$7:$AQ$106,"E",'②-1職員名簿'!$W$7:$W$106,AZ$5)</f>
        <v>0</v>
      </c>
      <c r="BC10" s="180">
        <f t="shared" ref="BC10:BC20" si="11">AG10+AL10+AQ10-AV10-AW10-AZ10</f>
        <v>0</v>
      </c>
      <c r="BD10" s="180">
        <f t="shared" ref="BD10:BD20" si="12">+AH10+AJ10+AM10+AO10+AR10+AT10-AX10-BA10</f>
        <v>0</v>
      </c>
      <c r="BE10" s="333" t="e">
        <f t="shared" ref="BE10:BE20" si="13">ROUNDDOWN((AI10+AK10+AN10+AP10+AS10+AU10-AY10-BB10)/B10,3)</f>
        <v>#DIV/0!</v>
      </c>
      <c r="BF10" s="334" t="e">
        <f t="shared" ref="BF10:BF20" si="14">+BC10+BD10+BE10</f>
        <v>#DIV/0!</v>
      </c>
      <c r="BG10" s="219">
        <f>COUNTIFS('②-1職員名簿'!$W$7:$W$106,"園長",'②-1職員名簿'!AQ$7:AQ$106,"D")</f>
        <v>0</v>
      </c>
      <c r="BH10" s="220">
        <f>COUNTIFS('②-1職員名簿'!$W$7:$W$106,"園長",'②-1職員名簿'!$P$7:$P$106,"有",'②-1職員名簿'!AQ$7:AQ$106,"E")</f>
        <v>0</v>
      </c>
      <c r="BI10" s="181" t="e">
        <f t="shared" si="1"/>
        <v>#DIV/0!</v>
      </c>
      <c r="BJ10" s="181" t="e">
        <f t="shared" si="2"/>
        <v>#DIV/0!</v>
      </c>
      <c r="BK10" s="181" t="e">
        <f t="shared" si="3"/>
        <v>#N/A</v>
      </c>
      <c r="BL10" s="182" t="e">
        <f t="shared" ref="BL10:BL20" si="15">IF(AND($AF10&gt;0,$BF10&gt;$AF10),BF10-AF10-BK10,0)</f>
        <v>#N/A</v>
      </c>
    </row>
    <row r="11" spans="1:64" s="33" customFormat="1" ht="36" customHeight="1">
      <c r="A11" s="196">
        <v>6</v>
      </c>
      <c r="B11" s="224">
        <f>'②-2勤務時間数入力'!AH9</f>
        <v>0</v>
      </c>
      <c r="C11" s="223">
        <f>COUNTIFS('②-1職員名簿'!$L$7:$L$106,"有",'②-1職員名簿'!AE$7:AE$106,"○",'②-2勤務時間数入力'!H$7:H$106,"正")</f>
        <v>0</v>
      </c>
      <c r="D11" s="223">
        <f>COUNTIFS('②-1職員名簿'!$L$7:$L$106,"有",'②-2勤務時間数入力'!$C$7:$C$106,"常勤的非常勤",'②-2勤務時間数入力'!T$7:T$106,"常")</f>
        <v>0</v>
      </c>
      <c r="E11" s="223">
        <f>SUMIFS('②-2勤務時間数入力'!T$7:T$106,'②-1職員名簿'!$L$7:$L$106,"有",'②-1職員名簿'!$C$7:$C$106,"パート")</f>
        <v>0</v>
      </c>
      <c r="F11" s="223">
        <f>COUNTIFS('②-1職員名簿'!$L$7:$L$106,"有",'②-2勤務時間数入力'!$C$7:$C$106,"嘱託常勤",'②-2勤務時間数入力'!T$7:T$106,"常")</f>
        <v>0</v>
      </c>
      <c r="G11" s="223">
        <f>SUMIFS('②-2勤務時間数入力'!T$7:T$106,'②-1職員名簿'!$L$7:$L$106,"有",'②-1職員名簿'!$C$7:$C$106,"嘱託等")</f>
        <v>0</v>
      </c>
      <c r="H11" s="223">
        <f>COUNTIFS('②-1職員名簿'!$M$7:$M$106,"有",'②-1職員名簿'!AR$7:AR$106,"C",'②-2勤務時間数入力'!H$7:H$106,"正",'②-1職員名簿'!$L$7:$L$106,"")</f>
        <v>0</v>
      </c>
      <c r="I11" s="223">
        <f>COUNTIFS('②-1職員名簿'!$M$7:$M$106,"有",'②-1職員名簿'!AR$7:AR$106,"C",'②-2勤務時間数入力'!$C$7:$C$106,"常勤的非常勤",'②-2勤務時間数入力'!T$7:T$106,"常",'②-1職員名簿'!$L$7:$L$106,"")</f>
        <v>0</v>
      </c>
      <c r="J11" s="223">
        <f>SUMIFS('②-2勤務時間数入力'!T$7:T$106,'②-1職員名簿'!$M$7:$M$106,"有",'②-1職員名簿'!AR$7:AR$106,"C",'②-1職員名簿'!$C$7:$C$106,"パート",'②-1職員名簿'!$L$7:$L$106,"")</f>
        <v>0</v>
      </c>
      <c r="K11" s="223">
        <f>COUNTIFS('②-1職員名簿'!$M$7:$M$106,"有",'②-1職員名簿'!AR$7:AR$106,"C",'②-2勤務時間数入力'!$C$7:$C$106,"嘱託常勤",'②-2勤務時間数入力'!T$7:T$106,"常",'②-1職員名簿'!$L$7:$L$106,"")</f>
        <v>0</v>
      </c>
      <c r="L11" s="223">
        <f>SUMIFS('②-2勤務時間数入力'!T$7:T$106,'②-1職員名簿'!$M$7:$M$106,"有",'②-1職員名簿'!AR$7:AR$106,"C",'②-1職員名簿'!$C$7:$C$106,"嘱託等",'②-1職員名簿'!$L$7:$L$106,"")</f>
        <v>0</v>
      </c>
      <c r="M11" s="223">
        <f>COUNTIFS('②-1職員名簿'!$N$7:$N$106,"有",'②-1職員名簿'!AR$7:AR$106,"C",'②-2勤務時間数入力'!H$7:H$106,"正",'②-1職員名簿'!$L$7:$L$106,"",'②-1職員名簿'!$M$7:$M$106,"")</f>
        <v>0</v>
      </c>
      <c r="N11" s="223">
        <f>COUNTIFS('②-1職員名簿'!$N$7:$N$106,"有",'②-1職員名簿'!AR$7:AR$106,"C",'②-2勤務時間数入力'!$C$7:$C$106,"常勤的非常勤",'②-2勤務時間数入力'!T$7:T$106,"常",'②-1職員名簿'!$L$7:$L$106,"",'②-1職員名簿'!$M$7:$M$106,"")</f>
        <v>0</v>
      </c>
      <c r="O11" s="223">
        <f>SUMIFS('②-2勤務時間数入力'!T$7:T$106,'②-1職員名簿'!$N$7:$N$106,"有",'②-1職員名簿'!AR$7:AR$106,"C",'②-1職員名簿'!$C$7:$C$106,"パート",'②-1職員名簿'!$L$7:$L$106,"",'②-1職員名簿'!$M$7:$M$106,"")</f>
        <v>0</v>
      </c>
      <c r="P11" s="223">
        <f>COUNTIFS('②-1職員名簿'!$N$7:$N$106,"有",'②-1職員名簿'!AR$7:AR$106,"C",'②-2勤務時間数入力'!$C$7:$C$106,"嘱託常勤",'②-2勤務時間数入力'!T$7:T$106,"常",'②-1職員名簿'!$L$7:$L$106,"",'②-1職員名簿'!$M$7:$M$106,"")</f>
        <v>0</v>
      </c>
      <c r="Q11" s="223">
        <f>SUMIFS('②-2勤務時間数入力'!T$7:T$106,'②-1職員名簿'!$N$7:$N$106,"有",'②-1職員名簿'!AR$7:AR$106,"C",'②-1職員名簿'!$C$7:$C$106,"嘱託等",'②-1職員名簿'!$L$7:$L$106,"",'②-1職員名簿'!$M$7:$M$106,"")</f>
        <v>0</v>
      </c>
      <c r="R11" s="225">
        <f>COUNTIFS('②-1職員名簿'!$W$7:$W$106,"園長",'②-1職員名簿'!AR$7:AR$106,"C")</f>
        <v>0</v>
      </c>
      <c r="S11" s="61">
        <f>COUNTIFS('②-1職員名簿'!AR$7:AR$106,"C",'②-1職員名簿'!$W$7:$W$106,S$5,'②-2勤務時間数入力'!$H$7:$H$106,"正")</f>
        <v>0</v>
      </c>
      <c r="T11" s="61">
        <f>COUNTIFS('②-1職員名簿'!$AR$7:$AR$106,"C",'②-1職員名簿'!$W$7:$W$106,S$5,'②-2勤務時間数入力'!$T$7:$T$106,"常")</f>
        <v>0</v>
      </c>
      <c r="U11" s="61">
        <f>SUMIFS('②-2勤務時間数入力'!$T$7:$T$106,'②-1職員名簿'!$AR$7:$AR$106,"C",'②-1職員名簿'!$W$7:$W$106,S$5)</f>
        <v>0</v>
      </c>
      <c r="V11" s="61">
        <f>COUNTIFS('②-1職員名簿'!AU$7:AU$106,"C",'②-1職員名簿'!$W$7:$W$106,V$5,'②-2勤務時間数入力'!$H$7:$H$106,"正")</f>
        <v>0</v>
      </c>
      <c r="W11" s="61">
        <f>COUNTIFS('②-1職員名簿'!$AR$7:$AR$106,"C",'②-1職員名簿'!$W$7:$W$106,V$5,'②-2勤務時間数入力'!$T$7:$T$106,"常")</f>
        <v>0</v>
      </c>
      <c r="X11" s="61">
        <f>SUMIFS('②-2勤務時間数入力'!$T$7:$T$106,'②-1職員名簿'!$AR$7:$AR$106,"C",'②-1職員名簿'!$W$7:$W$106,V$5)</f>
        <v>0</v>
      </c>
      <c r="Y11" s="226">
        <f t="shared" si="4"/>
        <v>0</v>
      </c>
      <c r="Z11" s="227">
        <f t="shared" si="5"/>
        <v>0</v>
      </c>
      <c r="AA11" s="228" t="e">
        <f t="shared" si="6"/>
        <v>#DIV/0!</v>
      </c>
      <c r="AB11" s="228" t="e">
        <f t="shared" si="0"/>
        <v>#DIV/0!</v>
      </c>
      <c r="AC11" s="323" t="e">
        <f t="shared" si="7"/>
        <v>#DIV/0!</v>
      </c>
      <c r="AD11" s="228" t="e">
        <f t="shared" si="8"/>
        <v>#DIV/0!</v>
      </c>
      <c r="AE11" s="229"/>
      <c r="AF11" s="230" t="e">
        <f t="shared" si="9"/>
        <v>#N/A</v>
      </c>
      <c r="AG11" s="225">
        <f>COUNTIFS('②-1職員名簿'!AR$7:AR$106,"D",'②-2勤務時間数入力'!H$7:H$106,"正")</f>
        <v>0</v>
      </c>
      <c r="AH11" s="223">
        <f>COUNTIFS('②-1職員名簿'!AR$7:AR$106,"D",'②-2勤務時間数入力'!$C$7:$C$106,"常勤的非常勤",'②-2勤務時間数入力'!T$7:T$106,"常")</f>
        <v>0</v>
      </c>
      <c r="AI11" s="223">
        <f>SUMIFS('②-2勤務時間数入力'!T$7:T$106,'②-1職員名簿'!AR$7:AR$106,"D",'②-1職員名簿'!$C$7:$C$106,"パート")</f>
        <v>0</v>
      </c>
      <c r="AJ11" s="223">
        <f>COUNTIFS('②-1職員名簿'!AR$7:AR$106,"D",'②-2勤務時間数入力'!$C$7:$C$106,"嘱託常勤",'②-2勤務時間数入力'!T$7:T$106,"常")</f>
        <v>0</v>
      </c>
      <c r="AK11" s="223">
        <f>SUMIFS('②-2勤務時間数入力'!T$7:T$106,'②-1職員名簿'!AR$7:AR$106,"D",'②-1職員名簿'!$C$7:$C$106,"嘱託等")</f>
        <v>0</v>
      </c>
      <c r="AL11" s="225">
        <f>COUNTIFS('②-1職員名簿'!$P$7:$P$106,"有",'②-1職員名簿'!AR$7:AR$106,"E",'②-2勤務時間数入力'!H$7:H$106,"正",'②-1職員名簿'!$O$7:$O$106,"")</f>
        <v>0</v>
      </c>
      <c r="AM11" s="223">
        <f>COUNTIFS('②-1職員名簿'!$P$7:$P$106,"有",'②-1職員名簿'!AR$7:AR$106,"E",'②-2勤務時間数入力'!$C$7:$C$106,"常勤的非常勤",'②-2勤務時間数入力'!T$7:T$106,"常",'②-1職員名簿'!$O$7:$O$106,"")</f>
        <v>0</v>
      </c>
      <c r="AN11" s="223">
        <f>SUMIFS('②-2勤務時間数入力'!T$7:T$106,'②-1職員名簿'!AR$7:AR$106,"E",'②-1職員名簿'!$P$7:$P$106,"有",'②-1職員名簿'!$C$7:$C$106,"パート",'②-1職員名簿'!$O$7:$O$106,"")</f>
        <v>0</v>
      </c>
      <c r="AO11" s="223">
        <f>COUNTIFS('②-1職員名簿'!$P$7:$P$106,"有",'②-1職員名簿'!AR$7:AR$106,"E",'②-2勤務時間数入力'!$C$7:$C$106,"嘱託常勤",'②-2勤務時間数入力'!T$7:T$106,"常",'②-1職員名簿'!$O$7:$O$106,"")</f>
        <v>0</v>
      </c>
      <c r="AP11" s="223">
        <f>SUMIFS('②-2勤務時間数入力'!T$7:T$106,'②-1職員名簿'!AR$7:AR$106,"E",'②-1職員名簿'!$P$7:$P$106,"有",'②-1職員名簿'!$C$7:$C$106,"嘱託等",'②-1職員名簿'!$O$7:$O$106,"")</f>
        <v>0</v>
      </c>
      <c r="AQ11" s="231">
        <f>COUNTIFS('②-1職員名簿'!AR$7:AR$106,"E",'②-2勤務時間数入力'!H$7:H$106,"正",'②-1職員名簿'!$P$7:$P$106,"")</f>
        <v>0</v>
      </c>
      <c r="AR11" s="232">
        <f>COUNTIFS('②-1職員名簿'!AR$7:AR$106,"E",'②-2勤務時間数入力'!$C$7:$C$106,"常勤的非常勤",'②-2勤務時間数入力'!T$7:T$106,"常",'②-1職員名簿'!$P$7:$P$106,"")</f>
        <v>0</v>
      </c>
      <c r="AS11" s="232">
        <f>SUMIFS('②-2勤務時間数入力'!T$7:T$106,'②-1職員名簿'!AR$7:AR$106,"E",'②-1職員名簿'!$C$7:$C$106,"パート",'②-1職員名簿'!$P$7:$P$106,"")</f>
        <v>0</v>
      </c>
      <c r="AT11" s="232">
        <f>COUNTIFS('②-1職員名簿'!AR$7:AR$106,"E",'②-2勤務時間数入力'!$C$7:$C$106,"嘱託常勤",'②-2勤務時間数入力'!T$7:T$106,"常",'②-1職員名簿'!$P$7:$P$106,"")</f>
        <v>0</v>
      </c>
      <c r="AU11" s="232">
        <f>SUMIFS('②-2勤務時間数入力'!T$7:T$106,'②-1職員名簿'!AR$7:AR$106,"E",'②-1職員名簿'!$C$7:$C$106,"嘱託等",'②-1職員名簿'!$P$7:$P$106,"")</f>
        <v>0</v>
      </c>
      <c r="AV11" s="180">
        <f t="shared" si="10"/>
        <v>0</v>
      </c>
      <c r="AW11" s="61">
        <f>COUNTIFS('②-1職員名簿'!BV$7:BV$106,"D",'②-1職員名簿'!$W$7:$W$106,AW$5,'②-2勤務時間数入力'!$H$7:$H$106,"正")+COUNTIFS('②-1職員名簿'!BV$7:BV$106,"E",'②-1職員名簿'!$W$7:$W$106,AW$5,'②-2勤務時間数入力'!$H$7:$H$106,"正")</f>
        <v>0</v>
      </c>
      <c r="AX11" s="61">
        <f>COUNTIFS('②-1職員名簿'!$AR$7:$AR$106,"D",'②-1職員名簿'!$W$7:$W$106,AW$5,'②-2勤務時間数入力'!$T$7:$T$106,"常")+COUNTIFS('②-1職員名簿'!$AR$7:$AR$106,"E",'②-1職員名簿'!$W$7:$W$106,AW$5,'②-2勤務時間数入力'!$T$7:$T$106,"常")</f>
        <v>0</v>
      </c>
      <c r="AY11" s="61">
        <f>SUMIFS('②-2勤務時間数入力'!$T$7:$T$106,'②-1職員名簿'!$AR$7:$AR$106,"D",'②-1職員名簿'!$W$7:$W$106,AW$5)+SUMIFS('②-2勤務時間数入力'!$T$7:$T$106,'②-1職員名簿'!$AR$7:$AR$106,"E",'②-1職員名簿'!$W$7:$W$106,AW$5)</f>
        <v>0</v>
      </c>
      <c r="AZ11" s="61">
        <f>COUNTIFS('②-1職員名簿'!BY$7:BY$106,"D",'②-1職員名簿'!$W$7:$W$106,AZ$5,'②-2勤務時間数入力'!$H$7:$H$106,"正")+COUNTIFS('②-1職員名簿'!BY$7:BY$106,"E",'②-1職員名簿'!$W$7:$W$106,AZ$5,'②-2勤務時間数入力'!$H$7:$H$106,"正")</f>
        <v>0</v>
      </c>
      <c r="BA11" s="61">
        <f>COUNTIFS('②-1職員名簿'!$AR$7:$AR$106,"D",'②-1職員名簿'!$W$7:$W$106,AZ$5,'②-2勤務時間数入力'!$T$7:$T$106,"常")+COUNTIFS('②-1職員名簿'!$AR$7:$AR$106,"E",'②-1職員名簿'!$W$7:$W$106,AZ$5,'②-2勤務時間数入力'!$T$7:$T$106,"常")</f>
        <v>0</v>
      </c>
      <c r="BB11" s="61">
        <f>SUMIFS('②-2勤務時間数入力'!$T$7:$T$106,'②-1職員名簿'!$AR$7:$AR$106,"D",'②-1職員名簿'!$W$7:$W$106,AZ$5)+SUMIFS('②-2勤務時間数入力'!$T$7:$T$106,'②-1職員名簿'!$AR$7:$AR$106,"E",'②-1職員名簿'!$W$7:$W$106,AZ$5)</f>
        <v>0</v>
      </c>
      <c r="BC11" s="180">
        <f t="shared" si="11"/>
        <v>0</v>
      </c>
      <c r="BD11" s="180">
        <f t="shared" si="12"/>
        <v>0</v>
      </c>
      <c r="BE11" s="333" t="e">
        <f t="shared" si="13"/>
        <v>#DIV/0!</v>
      </c>
      <c r="BF11" s="334" t="e">
        <f t="shared" si="14"/>
        <v>#DIV/0!</v>
      </c>
      <c r="BG11" s="219">
        <f>COUNTIFS('②-1職員名簿'!$W$7:$W$106,"園長",'②-1職員名簿'!AR$7:AR$106,"D")</f>
        <v>0</v>
      </c>
      <c r="BH11" s="220">
        <f>COUNTIFS('②-1職員名簿'!$W$7:$W$106,"園長",'②-1職員名簿'!$P$7:$P$106,"有",'②-1職員名簿'!AR$7:AR$106,"E")</f>
        <v>0</v>
      </c>
      <c r="BI11" s="181" t="e">
        <f t="shared" si="1"/>
        <v>#DIV/0!</v>
      </c>
      <c r="BJ11" s="181" t="e">
        <f t="shared" si="2"/>
        <v>#DIV/0!</v>
      </c>
      <c r="BK11" s="181" t="e">
        <f t="shared" si="3"/>
        <v>#N/A</v>
      </c>
      <c r="BL11" s="182" t="e">
        <f t="shared" si="15"/>
        <v>#N/A</v>
      </c>
    </row>
    <row r="12" spans="1:64" s="33" customFormat="1" ht="36" customHeight="1">
      <c r="A12" s="196">
        <v>7</v>
      </c>
      <c r="B12" s="224">
        <f>'②-2勤務時間数入力'!AH10</f>
        <v>0</v>
      </c>
      <c r="C12" s="223">
        <f>COUNTIFS('②-1職員名簿'!$L$7:$L$106,"有",'②-1職員名簿'!AF$7:AF$106,"○",'②-2勤務時間数入力'!I$7:I$106,"正")</f>
        <v>0</v>
      </c>
      <c r="D12" s="223">
        <f>COUNTIFS('②-1職員名簿'!$L$7:$L$106,"有",'②-2勤務時間数入力'!$C$7:$C$106,"常勤的非常勤",'②-2勤務時間数入力'!U$7:U$106,"常")</f>
        <v>0</v>
      </c>
      <c r="E12" s="223">
        <f>SUMIFS('②-2勤務時間数入力'!U$7:U$106,'②-1職員名簿'!$L$7:$L$106,"有",'②-1職員名簿'!$C$7:$C$106,"パート")</f>
        <v>0</v>
      </c>
      <c r="F12" s="223">
        <f>COUNTIFS('②-1職員名簿'!$L$7:$L$106,"有",'②-2勤務時間数入力'!$C$7:$C$106,"嘱託常勤",'②-2勤務時間数入力'!U$7:U$106,"常")</f>
        <v>0</v>
      </c>
      <c r="G12" s="223">
        <f>SUMIFS('②-2勤務時間数入力'!U$7:U$106,'②-1職員名簿'!$L$7:$L$106,"有",'②-1職員名簿'!$C$7:$C$106,"嘱託等")</f>
        <v>0</v>
      </c>
      <c r="H12" s="223">
        <f>COUNTIFS('②-1職員名簿'!$M$7:$M$106,"有",'②-1職員名簿'!AS$7:AS$106,"C",'②-2勤務時間数入力'!I$7:I$106,"正",'②-1職員名簿'!$L$7:$L$106,"")</f>
        <v>0</v>
      </c>
      <c r="I12" s="223">
        <f>COUNTIFS('②-1職員名簿'!$M$7:$M$106,"有",'②-1職員名簿'!AS$7:AS$106,"C",'②-2勤務時間数入力'!$C$7:$C$106,"常勤的非常勤",'②-2勤務時間数入力'!U$7:U$106,"常",'②-1職員名簿'!$L$7:$L$106,"")</f>
        <v>0</v>
      </c>
      <c r="J12" s="223">
        <f>SUMIFS('②-2勤務時間数入力'!U$7:U$106,'②-1職員名簿'!$M$7:$M$106,"有",'②-1職員名簿'!AS$7:AS$106,"C",'②-1職員名簿'!$C$7:$C$106,"パート",'②-1職員名簿'!$L$7:$L$106,"")</f>
        <v>0</v>
      </c>
      <c r="K12" s="223">
        <f>COUNTIFS('②-1職員名簿'!$M$7:$M$106,"有",'②-1職員名簿'!AS$7:AS$106,"C",'②-2勤務時間数入力'!$C$7:$C$106,"嘱託常勤",'②-2勤務時間数入力'!U$7:U$106,"常",'②-1職員名簿'!$L$7:$L$106,"")</f>
        <v>0</v>
      </c>
      <c r="L12" s="223">
        <f>SUMIFS('②-2勤務時間数入力'!U$7:U$106,'②-1職員名簿'!$M$7:$M$106,"有",'②-1職員名簿'!AS$7:AS$106,"C",'②-1職員名簿'!$C$7:$C$106,"嘱託等",'②-1職員名簿'!$L$7:$L$106,"")</f>
        <v>0</v>
      </c>
      <c r="M12" s="223">
        <f>COUNTIFS('②-1職員名簿'!$N$7:$N$106,"有",'②-1職員名簿'!AS$7:AS$106,"C",'②-2勤務時間数入力'!I$7:I$106,"正",'②-1職員名簿'!$L$7:$L$106,"",'②-1職員名簿'!$M$7:$M$106,"")</f>
        <v>0</v>
      </c>
      <c r="N12" s="223">
        <f>COUNTIFS('②-1職員名簿'!$N$7:$N$106,"有",'②-1職員名簿'!AS$7:AS$106,"C",'②-2勤務時間数入力'!$C$7:$C$106,"常勤的非常勤",'②-2勤務時間数入力'!U$7:U$106,"常",'②-1職員名簿'!$L$7:$L$106,"",'②-1職員名簿'!$M$7:$M$106,"")</f>
        <v>0</v>
      </c>
      <c r="O12" s="223">
        <f>SUMIFS('②-2勤務時間数入力'!U$7:U$106,'②-1職員名簿'!$N$7:$N$106,"有",'②-1職員名簿'!AS$7:AS$106,"C",'②-1職員名簿'!$C$7:$C$106,"パート",'②-1職員名簿'!$L$7:$L$106,"",'②-1職員名簿'!$M$7:$M$106,"")</f>
        <v>0</v>
      </c>
      <c r="P12" s="223">
        <f>COUNTIFS('②-1職員名簿'!$N$7:$N$106,"有",'②-1職員名簿'!AS$7:AS$106,"C",'②-2勤務時間数入力'!$C$7:$C$106,"嘱託常勤",'②-2勤務時間数入力'!U$7:U$106,"常",'②-1職員名簿'!$L$7:$L$106,"",'②-1職員名簿'!$M$7:$M$106,"")</f>
        <v>0</v>
      </c>
      <c r="Q12" s="223">
        <f>SUMIFS('②-2勤務時間数入力'!U$7:U$106,'②-1職員名簿'!$N$7:$N$106,"有",'②-1職員名簿'!AS$7:AS$106,"C",'②-1職員名簿'!$C$7:$C$106,"嘱託等",'②-1職員名簿'!$L$7:$L$106,"",'②-1職員名簿'!$M$7:$M$106,"")</f>
        <v>0</v>
      </c>
      <c r="R12" s="225">
        <f>COUNTIFS('②-1職員名簿'!$W$7:$W$106,"園長",'②-1職員名簿'!AS$7:AS$106,"C")</f>
        <v>0</v>
      </c>
      <c r="S12" s="61">
        <f>COUNTIFS('②-1職員名簿'!AS$7:AS$106,"C",'②-1職員名簿'!$W$7:$W$106,S$5,'②-2勤務時間数入力'!$I$7:$I$106,"正")</f>
        <v>0</v>
      </c>
      <c r="T12" s="61">
        <f>COUNTIFS('②-1職員名簿'!$AS$7:$AS$106,"C",'②-1職員名簿'!$W$7:$W$106,S$5,'②-2勤務時間数入力'!$U$7:$U$106,"常")</f>
        <v>0</v>
      </c>
      <c r="U12" s="61">
        <f>SUMIFS('②-2勤務時間数入力'!$U$7:$U$106,'②-1職員名簿'!$AS$7:$AS$106,"C",'②-1職員名簿'!$W$7:$W$106,S$5)</f>
        <v>0</v>
      </c>
      <c r="V12" s="61">
        <f>COUNTIFS('②-1職員名簿'!AV$7:AV$106,"C",'②-1職員名簿'!$W$7:$W$106,V$5,'②-2勤務時間数入力'!$I$7:$I$106,"正")</f>
        <v>0</v>
      </c>
      <c r="W12" s="61">
        <f>COUNTIFS('②-1職員名簿'!$AS$7:$AS$106,"C",'②-1職員名簿'!$W$7:$W$106,V$5,'②-2勤務時間数入力'!$U$7:$U$106,"常")</f>
        <v>0</v>
      </c>
      <c r="X12" s="61">
        <f>SUMIFS('②-2勤務時間数入力'!$U$7:$U$106,'②-1職員名簿'!$AS$7:$AS$106,"C",'②-1職員名簿'!$W$7:$W$106,V$5)</f>
        <v>0</v>
      </c>
      <c r="Y12" s="226">
        <f t="shared" si="4"/>
        <v>0</v>
      </c>
      <c r="Z12" s="227">
        <f t="shared" si="5"/>
        <v>0</v>
      </c>
      <c r="AA12" s="228" t="e">
        <f t="shared" si="6"/>
        <v>#DIV/0!</v>
      </c>
      <c r="AB12" s="228" t="e">
        <f t="shared" si="0"/>
        <v>#DIV/0!</v>
      </c>
      <c r="AC12" s="323" t="e">
        <f t="shared" si="7"/>
        <v>#DIV/0!</v>
      </c>
      <c r="AD12" s="228" t="e">
        <f t="shared" si="8"/>
        <v>#DIV/0!</v>
      </c>
      <c r="AE12" s="229"/>
      <c r="AF12" s="230" t="e">
        <f t="shared" si="9"/>
        <v>#N/A</v>
      </c>
      <c r="AG12" s="225">
        <f>COUNTIFS('②-1職員名簿'!AS$7:AS$106,"D",'②-2勤務時間数入力'!I$7:I$106,"正")</f>
        <v>0</v>
      </c>
      <c r="AH12" s="223">
        <f>COUNTIFS('②-1職員名簿'!AS$7:AS$106,"D",'②-2勤務時間数入力'!$C$7:$C$106,"常勤的非常勤",'②-2勤務時間数入力'!U$7:U$106,"常")</f>
        <v>0</v>
      </c>
      <c r="AI12" s="223">
        <f>SUMIFS('②-2勤務時間数入力'!U$7:U$106,'②-1職員名簿'!AS$7:AS$106,"D",'②-1職員名簿'!$C$7:$C$106,"パート")</f>
        <v>0</v>
      </c>
      <c r="AJ12" s="223">
        <f>COUNTIFS('②-1職員名簿'!AS$7:AS$106,"D",'②-2勤務時間数入力'!$C$7:$C$106,"嘱託常勤",'②-2勤務時間数入力'!U$7:U$106,"常")</f>
        <v>0</v>
      </c>
      <c r="AK12" s="223">
        <f>SUMIFS('②-2勤務時間数入力'!U$7:U$106,'②-1職員名簿'!AS$7:AS$106,"D",'②-1職員名簿'!$C$7:$C$106,"嘱託等")</f>
        <v>0</v>
      </c>
      <c r="AL12" s="225">
        <f>COUNTIFS('②-1職員名簿'!$P$7:$P$106,"有",'②-1職員名簿'!AS$7:AS$106,"E",'②-2勤務時間数入力'!I$7:I$106,"正",'②-1職員名簿'!$O$7:$O$106,"")</f>
        <v>0</v>
      </c>
      <c r="AM12" s="223">
        <f>COUNTIFS('②-1職員名簿'!$P$7:$P$106,"有",'②-1職員名簿'!AS$7:AS$106,"E",'②-2勤務時間数入力'!$C$7:$C$106,"常勤的非常勤",'②-2勤務時間数入力'!U$7:U$106,"常",'②-1職員名簿'!$O$7:$O$106,"")</f>
        <v>0</v>
      </c>
      <c r="AN12" s="223">
        <f>SUMIFS('②-2勤務時間数入力'!U$7:U$106,'②-1職員名簿'!AS$7:AS$106,"E",'②-1職員名簿'!$P$7:$P$106,"有",'②-1職員名簿'!$C$7:$C$106,"パート",'②-1職員名簿'!$O$7:$O$106,"")</f>
        <v>0</v>
      </c>
      <c r="AO12" s="223">
        <f>COUNTIFS('②-1職員名簿'!$P$7:$P$106,"有",'②-1職員名簿'!AS$7:AS$106,"E",'②-2勤務時間数入力'!$C$7:$C$106,"嘱託常勤",'②-2勤務時間数入力'!U$7:U$106,"常",'②-1職員名簿'!$O$7:$O$106,"")</f>
        <v>0</v>
      </c>
      <c r="AP12" s="223">
        <f>SUMIFS('②-2勤務時間数入力'!U$7:U$106,'②-1職員名簿'!AS$7:AS$106,"E",'②-1職員名簿'!$P$7:$P$106,"有",'②-1職員名簿'!$C$7:$C$106,"嘱託等",'②-1職員名簿'!$O$7:$O$106,"")</f>
        <v>0</v>
      </c>
      <c r="AQ12" s="231">
        <f>COUNTIFS('②-1職員名簿'!AS$7:AS$106,"E",'②-2勤務時間数入力'!I$7:I$106,"正",'②-1職員名簿'!$P$7:$P$106,"")</f>
        <v>0</v>
      </c>
      <c r="AR12" s="232">
        <f>COUNTIFS('②-1職員名簿'!AS$7:AS$106,"E",'②-2勤務時間数入力'!$C$7:$C$106,"常勤的非常勤",'②-2勤務時間数入力'!U$7:U$106,"常",'②-1職員名簿'!$P$7:$P$106,"")</f>
        <v>0</v>
      </c>
      <c r="AS12" s="232">
        <f>SUMIFS('②-2勤務時間数入力'!U$7:U$106,'②-1職員名簿'!AS$7:AS$106,"E",'②-1職員名簿'!$C$7:$C$106,"パート",'②-1職員名簿'!$P$7:$P$106,"")</f>
        <v>0</v>
      </c>
      <c r="AT12" s="232">
        <f>COUNTIFS('②-1職員名簿'!AS$7:AS$106,"E",'②-2勤務時間数入力'!$C$7:$C$106,"嘱託常勤",'②-2勤務時間数入力'!U$7:U$106,"常",'②-1職員名簿'!$P$7:$P$106,"")</f>
        <v>0</v>
      </c>
      <c r="AU12" s="232">
        <f>SUMIFS('②-2勤務時間数入力'!U$7:U$106,'②-1職員名簿'!AS$7:AS$106,"E",'②-1職員名簿'!$C$7:$C$106,"嘱託等",'②-1職員名簿'!$P$7:$P$106,"")</f>
        <v>0</v>
      </c>
      <c r="AV12" s="180">
        <f t="shared" si="10"/>
        <v>0</v>
      </c>
      <c r="AW12" s="61">
        <f>COUNTIFS('②-1職員名簿'!BW$7:BW$106,"D",'②-1職員名簿'!$W$7:$W$106,AW$5,'②-2勤務時間数入力'!$I$7:$I$106,"正")+COUNTIFS('②-1職員名簿'!BW$7:BW$106,"E",'②-1職員名簿'!$W$7:$W$106,AW$5,'②-2勤務時間数入力'!$I$7:$I$106,"正")</f>
        <v>0</v>
      </c>
      <c r="AX12" s="61">
        <f>COUNTIFS('②-1職員名簿'!$AS$7:$AS$106,"D",'②-1職員名簿'!$W$7:$W$106,AW$5,'②-2勤務時間数入力'!$U$7:$U$106,"常")+COUNTIFS('②-1職員名簿'!$AS$7:$AS$106,"E",'②-1職員名簿'!$W$7:$W$106,AW$5,'②-2勤務時間数入力'!$U$7:$U$106,"常")</f>
        <v>0</v>
      </c>
      <c r="AY12" s="61">
        <f>SUMIFS('②-2勤務時間数入力'!$U$7:$U$106,'②-1職員名簿'!$AS$7:$AS$106,"D",'②-1職員名簿'!$W$7:$W$106,AW$5)+SUMIFS('②-2勤務時間数入力'!$U$7:$U$106,'②-1職員名簿'!$AS$7:$AS$106,"E",'②-1職員名簿'!$W$7:$W$106,AW$5)</f>
        <v>0</v>
      </c>
      <c r="AZ12" s="61">
        <f>COUNTIFS('②-1職員名簿'!BZ$7:BZ$106,"D",'②-1職員名簿'!$W$7:$W$106,AZ$5,'②-2勤務時間数入力'!$I$7:$I$106,"正")+COUNTIFS('②-1職員名簿'!BZ$7:BZ$106,"E",'②-1職員名簿'!$W$7:$W$106,AZ$5,'②-2勤務時間数入力'!$I$7:$I$106,"正")</f>
        <v>0</v>
      </c>
      <c r="BA12" s="61">
        <f>COUNTIFS('②-1職員名簿'!$AS$7:$AS$106,"D",'②-1職員名簿'!$W$7:$W$106,AZ$5,'②-2勤務時間数入力'!$U$7:$U$106,"常")+COUNTIFS('②-1職員名簿'!$AS$7:$AS$106,"E",'②-1職員名簿'!$W$7:$W$106,AZ$5,'②-2勤務時間数入力'!$U$7:$U$106,"常")</f>
        <v>0</v>
      </c>
      <c r="BB12" s="61">
        <f>SUMIFS('②-2勤務時間数入力'!$U$7:$U$106,'②-1職員名簿'!$AS$7:$AS$106,"D",'②-1職員名簿'!$W$7:$W$106,AZ$5)+SUMIFS('②-2勤務時間数入力'!$U$7:$U$106,'②-1職員名簿'!$AS$7:$AS$106,"E",'②-1職員名簿'!$W$7:$W$106,AZ$5)</f>
        <v>0</v>
      </c>
      <c r="BC12" s="180">
        <f t="shared" si="11"/>
        <v>0</v>
      </c>
      <c r="BD12" s="180">
        <f t="shared" si="12"/>
        <v>0</v>
      </c>
      <c r="BE12" s="333" t="e">
        <f t="shared" si="13"/>
        <v>#DIV/0!</v>
      </c>
      <c r="BF12" s="334" t="e">
        <f t="shared" si="14"/>
        <v>#DIV/0!</v>
      </c>
      <c r="BG12" s="219">
        <f>COUNTIFS('②-1職員名簿'!$W$7:$W$106,"園長",'②-1職員名簿'!AS$7:AS$106,"D")</f>
        <v>0</v>
      </c>
      <c r="BH12" s="220">
        <f>COUNTIFS('②-1職員名簿'!$W$7:$W$106,"園長",'②-1職員名簿'!$P$7:$P$106,"有",'②-1職員名簿'!AS$7:AS$106,"E")</f>
        <v>0</v>
      </c>
      <c r="BI12" s="181" t="e">
        <f t="shared" si="1"/>
        <v>#DIV/0!</v>
      </c>
      <c r="BJ12" s="181" t="e">
        <f t="shared" si="2"/>
        <v>#DIV/0!</v>
      </c>
      <c r="BK12" s="181" t="e">
        <f t="shared" si="3"/>
        <v>#N/A</v>
      </c>
      <c r="BL12" s="182" t="e">
        <f t="shared" si="15"/>
        <v>#N/A</v>
      </c>
    </row>
    <row r="13" spans="1:64" s="33" customFormat="1" ht="36" customHeight="1">
      <c r="A13" s="196">
        <v>8</v>
      </c>
      <c r="B13" s="224">
        <f>'②-2勤務時間数入力'!AH11</f>
        <v>0</v>
      </c>
      <c r="C13" s="223">
        <f>COUNTIFS('②-1職員名簿'!$L$7:$L$106,"有",'②-1職員名簿'!AG$7:AG$106,"○",'②-2勤務時間数入力'!J$7:J$106,"正")</f>
        <v>0</v>
      </c>
      <c r="D13" s="223">
        <f>COUNTIFS('②-1職員名簿'!$L$7:$L$106,"有",'②-2勤務時間数入力'!$C$7:$C$106,"常勤的非常勤",'②-2勤務時間数入力'!V$7:V$106,"常")</f>
        <v>0</v>
      </c>
      <c r="E13" s="223">
        <f>SUMIFS('②-2勤務時間数入力'!V$7:V$106,'②-1職員名簿'!$L$7:$L$106,"有",'②-1職員名簿'!$C$7:$C$106,"パート")</f>
        <v>0</v>
      </c>
      <c r="F13" s="223">
        <f>COUNTIFS('②-1職員名簿'!$L$7:$L$106,"有",'②-2勤務時間数入力'!$C$7:$C$106,"嘱託常勤",'②-2勤務時間数入力'!V$7:V$106,"常")</f>
        <v>0</v>
      </c>
      <c r="G13" s="223">
        <f>SUMIFS('②-2勤務時間数入力'!V$7:V$106,'②-1職員名簿'!$L$7:$L$106,"有",'②-1職員名簿'!$C$7:$C$106,"嘱託等")</f>
        <v>0</v>
      </c>
      <c r="H13" s="223">
        <f>COUNTIFS('②-1職員名簿'!$M$7:$M$106,"有",'②-1職員名簿'!AT$7:AT$106,"C",'②-2勤務時間数入力'!J$7:J$106,"正",'②-1職員名簿'!$L$7:$L$106,"")</f>
        <v>0</v>
      </c>
      <c r="I13" s="223">
        <f>COUNTIFS('②-1職員名簿'!$M$7:$M$106,"有",'②-1職員名簿'!AT$7:AT$106,"C",'②-2勤務時間数入力'!$C$7:$C$106,"常勤的非常勤",'②-2勤務時間数入力'!V$7:V$106,"常",'②-1職員名簿'!$L$7:$L$106,"")</f>
        <v>0</v>
      </c>
      <c r="J13" s="223">
        <f>SUMIFS('②-2勤務時間数入力'!V$7:V$106,'②-1職員名簿'!$M$7:$M$106,"有",'②-1職員名簿'!AT$7:AT$106,"C",'②-1職員名簿'!$C$7:$C$106,"パート",'②-1職員名簿'!$L$7:$L$106,"")</f>
        <v>0</v>
      </c>
      <c r="K13" s="223">
        <f>COUNTIFS('②-1職員名簿'!$M$7:$M$106,"有",'②-1職員名簿'!AT$7:AT$106,"C",'②-2勤務時間数入力'!$C$7:$C$106,"嘱託常勤",'②-2勤務時間数入力'!V$7:V$106,"常",'②-1職員名簿'!$L$7:$L$106,"")</f>
        <v>0</v>
      </c>
      <c r="L13" s="223">
        <f>SUMIFS('②-2勤務時間数入力'!V$7:V$106,'②-1職員名簿'!$M$7:$M$106,"有",'②-1職員名簿'!AT$7:AT$106,"C",'②-1職員名簿'!$C$7:$C$106,"嘱託等",'②-1職員名簿'!$L$7:$L$106,"")</f>
        <v>0</v>
      </c>
      <c r="M13" s="223">
        <f>COUNTIFS('②-1職員名簿'!$N$7:$N$106,"有",'②-1職員名簿'!AT$7:AT$106,"C",'②-2勤務時間数入力'!J$7:J$106,"正",'②-1職員名簿'!$L$7:$L$106,"",'②-1職員名簿'!$M$7:$M$106,"")</f>
        <v>0</v>
      </c>
      <c r="N13" s="223">
        <f>COUNTIFS('②-1職員名簿'!$N$7:$N$106,"有",'②-1職員名簿'!AT$7:AT$106,"C",'②-2勤務時間数入力'!$C$7:$C$106,"常勤的非常勤",'②-2勤務時間数入力'!V$7:V$106,"常",'②-1職員名簿'!$L$7:$L$106,"",'②-1職員名簿'!$M$7:$M$106,"")</f>
        <v>0</v>
      </c>
      <c r="O13" s="223">
        <f>SUMIFS('②-2勤務時間数入力'!V$7:V$106,'②-1職員名簿'!$N$7:$N$106,"有",'②-1職員名簿'!AT$7:AT$106,"C",'②-1職員名簿'!$C$7:$C$106,"パート",'②-1職員名簿'!$L$7:$L$106,"",'②-1職員名簿'!$M$7:$M$106,"")</f>
        <v>0</v>
      </c>
      <c r="P13" s="223">
        <f>COUNTIFS('②-1職員名簿'!$N$7:$N$106,"有",'②-1職員名簿'!AT$7:AT$106,"C",'②-2勤務時間数入力'!$C$7:$C$106,"嘱託常勤",'②-2勤務時間数入力'!V$7:V$106,"常",'②-1職員名簿'!$L$7:$L$106,"",'②-1職員名簿'!$M$7:$M$106,"")</f>
        <v>0</v>
      </c>
      <c r="Q13" s="223">
        <f>SUMIFS('②-2勤務時間数入力'!V$7:V$106,'②-1職員名簿'!$N$7:$N$106,"有",'②-1職員名簿'!AT$7:AT$106,"C",'②-1職員名簿'!$C$7:$C$106,"嘱託等",'②-1職員名簿'!$L$7:$L$106,"",'②-1職員名簿'!$M$7:$M$106,"")</f>
        <v>0</v>
      </c>
      <c r="R13" s="225">
        <f>COUNTIFS('②-1職員名簿'!$W$7:$W$106,"園長",'②-1職員名簿'!AT$7:AT$106,"C")</f>
        <v>0</v>
      </c>
      <c r="S13" s="61">
        <f>COUNTIFS('②-1職員名簿'!AT$7:AT$106,"C",'②-1職員名簿'!$W$7:$W$106,S$5,'②-2勤務時間数入力'!$J$7:$J$106,"正")</f>
        <v>0</v>
      </c>
      <c r="T13" s="61">
        <f>COUNTIFS('②-1職員名簿'!$AT$7:$AT$106,"C",'②-1職員名簿'!$W$7:$W$106,S$5,'②-2勤務時間数入力'!$V$7:$V$106,"常")</f>
        <v>0</v>
      </c>
      <c r="U13" s="61">
        <f>SUMIFS('②-2勤務時間数入力'!$V$7:$V$106,'②-1職員名簿'!$AT$7:$AT$106,"C",'②-1職員名簿'!$W$7:$W$106,S$5)</f>
        <v>0</v>
      </c>
      <c r="V13" s="61">
        <f>COUNTIFS('②-1職員名簿'!AW$7:AW$106,"C",'②-1職員名簿'!$W$7:$W$106,V$5,'②-2勤務時間数入力'!$J$7:$J$106,"正")</f>
        <v>0</v>
      </c>
      <c r="W13" s="61">
        <f>COUNTIFS('②-1職員名簿'!$AT$7:$AT$106,"C",'②-1職員名簿'!$W$7:$W$106,V$5,'②-2勤務時間数入力'!$V$7:$V$106,"常")</f>
        <v>0</v>
      </c>
      <c r="X13" s="61">
        <f>SUMIFS('②-2勤務時間数入力'!$V$7:$V$106,'②-1職員名簿'!$AT$7:$AT$106,"C",'②-1職員名簿'!$W$7:$W$106,V$5)</f>
        <v>0</v>
      </c>
      <c r="Y13" s="226">
        <f t="shared" si="4"/>
        <v>0</v>
      </c>
      <c r="Z13" s="227">
        <f t="shared" si="5"/>
        <v>0</v>
      </c>
      <c r="AA13" s="228" t="e">
        <f t="shared" si="6"/>
        <v>#DIV/0!</v>
      </c>
      <c r="AB13" s="228" t="e">
        <f t="shared" si="0"/>
        <v>#DIV/0!</v>
      </c>
      <c r="AC13" s="323" t="e">
        <f t="shared" si="7"/>
        <v>#DIV/0!</v>
      </c>
      <c r="AD13" s="228" t="e">
        <f t="shared" si="8"/>
        <v>#DIV/0!</v>
      </c>
      <c r="AE13" s="229"/>
      <c r="AF13" s="230" t="e">
        <f t="shared" si="9"/>
        <v>#N/A</v>
      </c>
      <c r="AG13" s="225">
        <f>COUNTIFS('②-1職員名簿'!AT$7:AT$106,"D",'②-2勤務時間数入力'!J$7:J$106,"正")</f>
        <v>0</v>
      </c>
      <c r="AH13" s="223">
        <f>COUNTIFS('②-1職員名簿'!AT$7:AT$106,"D",'②-2勤務時間数入力'!$C$7:$C$106,"常勤的非常勤",'②-2勤務時間数入力'!V$7:V$106,"常")</f>
        <v>0</v>
      </c>
      <c r="AI13" s="223">
        <f>SUMIFS('②-2勤務時間数入力'!V$7:V$106,'②-1職員名簿'!AT$7:AT$106,"D",'②-1職員名簿'!$C$7:$C$106,"パート")</f>
        <v>0</v>
      </c>
      <c r="AJ13" s="223">
        <f>COUNTIFS('②-1職員名簿'!AT$7:AT$106,"D",'②-2勤務時間数入力'!$C$7:$C$106,"嘱託常勤",'②-2勤務時間数入力'!V$7:V$106,"常")</f>
        <v>0</v>
      </c>
      <c r="AK13" s="223">
        <f>SUMIFS('②-2勤務時間数入力'!V$7:V$106,'②-1職員名簿'!AT$7:AT$106,"D",'②-1職員名簿'!$C$7:$C$106,"嘱託等")</f>
        <v>0</v>
      </c>
      <c r="AL13" s="225">
        <f>COUNTIFS('②-1職員名簿'!$P$7:$P$106,"有",'②-1職員名簿'!AT$7:AT$106,"E",'②-2勤務時間数入力'!J$7:J$106,"正",'②-1職員名簿'!$O$7:$O$106,"")</f>
        <v>0</v>
      </c>
      <c r="AM13" s="223">
        <f>COUNTIFS('②-1職員名簿'!$P$7:$P$106,"有",'②-1職員名簿'!AT$7:AT$106,"E",'②-2勤務時間数入力'!$C$7:$C$106,"常勤的非常勤",'②-2勤務時間数入力'!V$7:V$106,"常",'②-1職員名簿'!$O$7:$O$106,"")</f>
        <v>0</v>
      </c>
      <c r="AN13" s="223">
        <f>SUMIFS('②-2勤務時間数入力'!V$7:V$106,'②-1職員名簿'!AT$7:AT$106,"E",'②-1職員名簿'!$P$7:$P$106,"有",'②-1職員名簿'!$C$7:$C$106,"パート",'②-1職員名簿'!$O$7:$O$106,"")</f>
        <v>0</v>
      </c>
      <c r="AO13" s="223">
        <f>COUNTIFS('②-1職員名簿'!$P$7:$P$106,"有",'②-1職員名簿'!AT$7:AT$106,"E",'②-2勤務時間数入力'!$C$7:$C$106,"嘱託常勤",'②-2勤務時間数入力'!V$7:V$106,"常",'②-1職員名簿'!$O$7:$O$106,"")</f>
        <v>0</v>
      </c>
      <c r="AP13" s="223">
        <f>SUMIFS('②-2勤務時間数入力'!V$7:V$106,'②-1職員名簿'!AT$7:AT$106,"E",'②-1職員名簿'!$P$7:$P$106,"有",'②-1職員名簿'!$C$7:$C$106,"嘱託等",'②-1職員名簿'!$O$7:$O$106,"")</f>
        <v>0</v>
      </c>
      <c r="AQ13" s="231">
        <f>COUNTIFS('②-1職員名簿'!AT$7:AT$106,"E",'②-2勤務時間数入力'!J$7:J$106,"正",'②-1職員名簿'!$P$7:$P$106,"")</f>
        <v>0</v>
      </c>
      <c r="AR13" s="232">
        <f>COUNTIFS('②-1職員名簿'!AT$7:AT$106,"E",'②-2勤務時間数入力'!$C$7:$C$106,"常勤的非常勤",'②-2勤務時間数入力'!V$7:V$106,"常",'②-1職員名簿'!$P$7:$P$106,"")</f>
        <v>0</v>
      </c>
      <c r="AS13" s="232">
        <f>SUMIFS('②-2勤務時間数入力'!V$7:V$106,'②-1職員名簿'!AT$7:AT$106,"E",'②-1職員名簿'!$C$7:$C$106,"パート",'②-1職員名簿'!$P$7:$P$106,"")</f>
        <v>0</v>
      </c>
      <c r="AT13" s="232">
        <f>COUNTIFS('②-1職員名簿'!AT$7:AT$106,"E",'②-2勤務時間数入力'!$C$7:$C$106,"嘱託常勤",'②-2勤務時間数入力'!V$7:V$106,"常",'②-1職員名簿'!$P$7:$P$106,"")</f>
        <v>0</v>
      </c>
      <c r="AU13" s="232">
        <f>SUMIFS('②-2勤務時間数入力'!V$7:V$106,'②-1職員名簿'!AT$7:AT$106,"E",'②-1職員名簿'!$C$7:$C$106,"嘱託等",'②-1職員名簿'!$P$7:$P$106,"")</f>
        <v>0</v>
      </c>
      <c r="AV13" s="180">
        <f t="shared" si="10"/>
        <v>0</v>
      </c>
      <c r="AW13" s="61">
        <f>COUNTIFS('②-1職員名簿'!BX$7:BX$106,"D",'②-1職員名簿'!$W$7:$W$106,AW$5,'②-2勤務時間数入力'!$J$7:$J$106,"正")+COUNTIFS('②-1職員名簿'!BX$7:BX$106,"E",'②-1職員名簿'!$W$7:$W$106,AW$5,'②-2勤務時間数入力'!$J$7:$J$106,"正")</f>
        <v>0</v>
      </c>
      <c r="AX13" s="61">
        <f>COUNTIFS('②-1職員名簿'!$AT$7:$AT$106,"D",'②-1職員名簿'!$W$7:$W$106,AW$5,'②-2勤務時間数入力'!$V$7:$V$106,"常")+COUNTIFS('②-1職員名簿'!$AT$7:$AT$106,"E",'②-1職員名簿'!$W$7:$W$106,AW$5,'②-2勤務時間数入力'!$V$7:$V$106,"常")</f>
        <v>0</v>
      </c>
      <c r="AY13" s="61">
        <f>SUMIFS('②-2勤務時間数入力'!$V$7:$V$106,'②-1職員名簿'!$AT$7:$AT$106,"D",'②-1職員名簿'!$W$7:$W$106,AW$5)+SUMIFS('②-2勤務時間数入力'!$V$7:$V$106,'②-1職員名簿'!$AT$7:$AT$106,"E",'②-1職員名簿'!$W$7:$W$106,AW$5)</f>
        <v>0</v>
      </c>
      <c r="AZ13" s="61">
        <f>COUNTIFS('②-1職員名簿'!CA$7:CA$106,"D",'②-1職員名簿'!$W$7:$W$106,AZ$5,'②-2勤務時間数入力'!$J$7:$J$106,"正")+COUNTIFS('②-1職員名簿'!CA$7:CA$106,"E",'②-1職員名簿'!$W$7:$W$106,AZ$5,'②-2勤務時間数入力'!$J$7:$J$106,"正")</f>
        <v>0</v>
      </c>
      <c r="BA13" s="61">
        <f>COUNTIFS('②-1職員名簿'!$AT$7:$AT$106,"D",'②-1職員名簿'!$W$7:$W$106,AZ$5,'②-2勤務時間数入力'!$V$7:$V$106,"常")+COUNTIFS('②-1職員名簿'!$AT$7:$AT$106,"E",'②-1職員名簿'!$W$7:$W$106,AZ$5,'②-2勤務時間数入力'!$V$7:$V$106,"常")</f>
        <v>0</v>
      </c>
      <c r="BB13" s="61">
        <f>SUMIFS('②-2勤務時間数入力'!$V$7:$V$106,'②-1職員名簿'!$AT$7:$AT$106,"D",'②-1職員名簿'!$W$7:$W$106,AZ$5)+SUMIFS('②-2勤務時間数入力'!$V$7:$V$106,'②-1職員名簿'!$AT$7:$AT$106,"E",'②-1職員名簿'!$W$7:$W$106,AZ$5)</f>
        <v>0</v>
      </c>
      <c r="BC13" s="180">
        <f t="shared" si="11"/>
        <v>0</v>
      </c>
      <c r="BD13" s="180">
        <f t="shared" si="12"/>
        <v>0</v>
      </c>
      <c r="BE13" s="333" t="e">
        <f t="shared" si="13"/>
        <v>#DIV/0!</v>
      </c>
      <c r="BF13" s="334" t="e">
        <f t="shared" si="14"/>
        <v>#DIV/0!</v>
      </c>
      <c r="BG13" s="219">
        <f>COUNTIFS('②-1職員名簿'!$W$7:$W$106,"園長",'②-1職員名簿'!AT$7:AT$106,"D")</f>
        <v>0</v>
      </c>
      <c r="BH13" s="220">
        <f>COUNTIFS('②-1職員名簿'!$W$7:$W$106,"園長",'②-1職員名簿'!$P$7:$P$106,"有",'②-1職員名簿'!AT$7:AT$106,"E")</f>
        <v>0</v>
      </c>
      <c r="BI13" s="181" t="e">
        <f t="shared" si="1"/>
        <v>#DIV/0!</v>
      </c>
      <c r="BJ13" s="181" t="e">
        <f t="shared" si="2"/>
        <v>#DIV/0!</v>
      </c>
      <c r="BK13" s="181" t="e">
        <f>IF(AND($AF13&gt;0,$BF13&gt;$AF13),MAX(BI13-AF13,0),0)</f>
        <v>#N/A</v>
      </c>
      <c r="BL13" s="182" t="e">
        <f t="shared" si="15"/>
        <v>#N/A</v>
      </c>
    </row>
    <row r="14" spans="1:64" s="33" customFormat="1" ht="36" customHeight="1">
      <c r="A14" s="196">
        <v>9</v>
      </c>
      <c r="B14" s="224">
        <f>'②-2勤務時間数入力'!AH12</f>
        <v>0</v>
      </c>
      <c r="C14" s="223">
        <f>COUNTIFS('②-1職員名簿'!$L$7:$L$106,"有",'②-1職員名簿'!AH$7:AH$106,"○",'②-2勤務時間数入力'!K$7:K$106,"正")</f>
        <v>0</v>
      </c>
      <c r="D14" s="223">
        <f>COUNTIFS('②-1職員名簿'!$L$7:$L$106,"有",'②-2勤務時間数入力'!$C$7:$C$106,"常勤的非常勤",'②-2勤務時間数入力'!W$7:W$106,"常")</f>
        <v>0</v>
      </c>
      <c r="E14" s="223">
        <f>SUMIFS('②-2勤務時間数入力'!W$7:W$106,'②-1職員名簿'!$L$7:$L$106,"有",'②-1職員名簿'!$C$7:$C$106,"パート")</f>
        <v>0</v>
      </c>
      <c r="F14" s="223">
        <f>COUNTIFS('②-1職員名簿'!$L$7:$L$106,"有",'②-2勤務時間数入力'!$C$7:$C$106,"嘱託常勤",'②-2勤務時間数入力'!W$7:W$106,"常")</f>
        <v>0</v>
      </c>
      <c r="G14" s="223">
        <f>SUMIFS('②-2勤務時間数入力'!W$7:W$106,'②-1職員名簿'!$L$7:$L$106,"有",'②-1職員名簿'!$C$7:$C$106,"嘱託等")</f>
        <v>0</v>
      </c>
      <c r="H14" s="223">
        <f>COUNTIFS('②-1職員名簿'!$M$7:$M$106,"有",'②-1職員名簿'!AU$7:AU$106,"C",'②-2勤務時間数入力'!K$7:K$106,"正",'②-1職員名簿'!$L$7:$L$106,"")</f>
        <v>0</v>
      </c>
      <c r="I14" s="223">
        <f>COUNTIFS('②-1職員名簿'!$M$7:$M$106,"有",'②-1職員名簿'!AU$7:AU$106,"C",'②-2勤務時間数入力'!$C$7:$C$106,"常勤的非常勤",'②-2勤務時間数入力'!W$7:W$106,"常",'②-1職員名簿'!$L$7:$L$106,"")</f>
        <v>0</v>
      </c>
      <c r="J14" s="223">
        <f>SUMIFS('②-2勤務時間数入力'!W$7:W$106,'②-1職員名簿'!$M$7:$M$106,"有",'②-1職員名簿'!AU$7:AU$106,"C",'②-1職員名簿'!$C$7:$C$106,"パート",'②-1職員名簿'!$L$7:$L$106,"")</f>
        <v>0</v>
      </c>
      <c r="K14" s="223">
        <f>COUNTIFS('②-1職員名簿'!$M$7:$M$106,"有",'②-1職員名簿'!AU$7:AU$106,"C",'②-2勤務時間数入力'!$C$7:$C$106,"嘱託常勤",'②-2勤務時間数入力'!W$7:W$106,"常",'②-1職員名簿'!$L$7:$L$106,"")</f>
        <v>0</v>
      </c>
      <c r="L14" s="223">
        <f>SUMIFS('②-2勤務時間数入力'!W$7:W$106,'②-1職員名簿'!$M$7:$M$106,"有",'②-1職員名簿'!AU$7:AU$106,"C",'②-1職員名簿'!$C$7:$C$106,"嘱託等",'②-1職員名簿'!$L$7:$L$106,"")</f>
        <v>0</v>
      </c>
      <c r="M14" s="223">
        <f>COUNTIFS('②-1職員名簿'!$N$7:$N$106,"有",'②-1職員名簿'!AU$7:AU$106,"C",'②-2勤務時間数入力'!K$7:K$106,"正",'②-1職員名簿'!$L$7:$L$106,"",'②-1職員名簿'!$M$7:$M$106,"")</f>
        <v>0</v>
      </c>
      <c r="N14" s="223">
        <f>COUNTIFS('②-1職員名簿'!$N$7:$N$106,"有",'②-1職員名簿'!AU$7:AU$106,"C",'②-2勤務時間数入力'!$C$7:$C$106,"常勤的非常勤",'②-2勤務時間数入力'!W$7:W$106,"常",'②-1職員名簿'!$L$7:$L$106,"",'②-1職員名簿'!$M$7:$M$106,"")</f>
        <v>0</v>
      </c>
      <c r="O14" s="223">
        <f>SUMIFS('②-2勤務時間数入力'!W$7:W$106,'②-1職員名簿'!$N$7:$N$106,"有",'②-1職員名簿'!AU$7:AU$106,"C",'②-1職員名簿'!$C$7:$C$106,"パート",'②-1職員名簿'!$L$7:$L$106,"",'②-1職員名簿'!$M$7:$M$106,"")</f>
        <v>0</v>
      </c>
      <c r="P14" s="223">
        <f>COUNTIFS('②-1職員名簿'!$N$7:$N$106,"有",'②-1職員名簿'!AU$7:AU$106,"C",'②-2勤務時間数入力'!$C$7:$C$106,"嘱託常勤",'②-2勤務時間数入力'!W$7:W$106,"常",'②-1職員名簿'!$L$7:$L$106,"",'②-1職員名簿'!$M$7:$M$106,"")</f>
        <v>0</v>
      </c>
      <c r="Q14" s="223">
        <f>SUMIFS('②-2勤務時間数入力'!W$7:W$106,'②-1職員名簿'!$N$7:$N$106,"有",'②-1職員名簿'!AU$7:AU$106,"C",'②-1職員名簿'!$C$7:$C$106,"嘱託等",'②-1職員名簿'!$L$7:$L$106,"",'②-1職員名簿'!$M$7:$M$106,"")</f>
        <v>0</v>
      </c>
      <c r="R14" s="225">
        <f>COUNTIFS('②-1職員名簿'!$W$7:$W$106,"園長",'②-1職員名簿'!AU$7:AU$106,"C")</f>
        <v>0</v>
      </c>
      <c r="S14" s="61">
        <f>COUNTIFS('②-1職員名簿'!AU$7:AU$106,"C",'②-1職員名簿'!$W$7:$W$106,S$5,'②-2勤務時間数入力'!$K$7:$K$106,"正")</f>
        <v>0</v>
      </c>
      <c r="T14" s="61">
        <f>COUNTIFS('②-1職員名簿'!$AU$7:$AU$106,"C",'②-1職員名簿'!$W$7:$W$106,S$5,'②-2勤務時間数入力'!$W$7:$W$106,"常")</f>
        <v>0</v>
      </c>
      <c r="U14" s="61">
        <f>SUMIFS('②-2勤務時間数入力'!$W$7:$W$106,'②-1職員名簿'!$AU$7:$AU$106,"C",'②-1職員名簿'!$W$7:$W$106,S$5)</f>
        <v>0</v>
      </c>
      <c r="V14" s="61">
        <f>COUNTIFS('②-1職員名簿'!AX$7:AX$106,"C",'②-1職員名簿'!$W$7:$W$106,V$5,'②-2勤務時間数入力'!$K$7:$K$106,"正")</f>
        <v>0</v>
      </c>
      <c r="W14" s="61">
        <f>COUNTIFS('②-1職員名簿'!$AU$7:$AU$106,"C",'②-1職員名簿'!$W$7:$W$106,V$5,'②-2勤務時間数入力'!$W$7:$W$106,"常")</f>
        <v>0</v>
      </c>
      <c r="X14" s="61">
        <f>SUMIFS('②-2勤務時間数入力'!$W$7:$W$106,'②-1職員名簿'!$AU$7:$AU$106,"C",'②-1職員名簿'!$W$7:$W$106,V$5)</f>
        <v>0</v>
      </c>
      <c r="Y14" s="226">
        <f t="shared" si="4"/>
        <v>0</v>
      </c>
      <c r="Z14" s="227">
        <f t="shared" si="5"/>
        <v>0</v>
      </c>
      <c r="AA14" s="228" t="e">
        <f t="shared" si="6"/>
        <v>#DIV/0!</v>
      </c>
      <c r="AB14" s="228" t="e">
        <f t="shared" si="0"/>
        <v>#DIV/0!</v>
      </c>
      <c r="AC14" s="323" t="e">
        <f t="shared" si="7"/>
        <v>#DIV/0!</v>
      </c>
      <c r="AD14" s="228" t="e">
        <f t="shared" si="8"/>
        <v>#DIV/0!</v>
      </c>
      <c r="AE14" s="229"/>
      <c r="AF14" s="230" t="e">
        <f t="shared" si="9"/>
        <v>#N/A</v>
      </c>
      <c r="AG14" s="225">
        <f>COUNTIFS('②-1職員名簿'!AU$7:AU$106,"D",'②-2勤務時間数入力'!K$7:K$106,"正")</f>
        <v>0</v>
      </c>
      <c r="AH14" s="223">
        <f>COUNTIFS('②-1職員名簿'!AU$7:AU$106,"D",'②-2勤務時間数入力'!$C$7:$C$106,"常勤的非常勤",'②-2勤務時間数入力'!W$7:W$106,"常")</f>
        <v>0</v>
      </c>
      <c r="AI14" s="223">
        <f>SUMIFS('②-2勤務時間数入力'!W$7:W$106,'②-1職員名簿'!AU$7:AU$106,"D",'②-1職員名簿'!$C$7:$C$106,"パート")</f>
        <v>0</v>
      </c>
      <c r="AJ14" s="223">
        <f>COUNTIFS('②-1職員名簿'!AU$7:AU$106,"D",'②-2勤務時間数入力'!$C$7:$C$106,"嘱託常勤",'②-2勤務時間数入力'!W$7:W$106,"常")</f>
        <v>0</v>
      </c>
      <c r="AK14" s="223">
        <f>SUMIFS('②-2勤務時間数入力'!W$7:W$106,'②-1職員名簿'!AU$7:AU$106,"D",'②-1職員名簿'!$C$7:$C$106,"嘱託等")</f>
        <v>0</v>
      </c>
      <c r="AL14" s="225">
        <f>COUNTIFS('②-1職員名簿'!$P$7:$P$106,"有",'②-1職員名簿'!AU$7:AU$106,"E",'②-2勤務時間数入力'!K$7:K$106,"正",'②-1職員名簿'!$O$7:$O$106,"")</f>
        <v>0</v>
      </c>
      <c r="AM14" s="223">
        <f>COUNTIFS('②-1職員名簿'!$P$7:$P$106,"有",'②-1職員名簿'!AU$7:AU$106,"E",'②-2勤務時間数入力'!$C$7:$C$106,"常勤的非常勤",'②-2勤務時間数入力'!W$7:W$106,"常",'②-1職員名簿'!$O$7:$O$106,"")</f>
        <v>0</v>
      </c>
      <c r="AN14" s="223">
        <f>SUMIFS('②-2勤務時間数入力'!W$7:W$106,'②-1職員名簿'!AU$7:AU$106,"E",'②-1職員名簿'!$P$7:$P$106,"有",'②-1職員名簿'!$C$7:$C$106,"パート",'②-1職員名簿'!$O$7:$O$106,"")</f>
        <v>0</v>
      </c>
      <c r="AO14" s="223">
        <f>COUNTIFS('②-1職員名簿'!$P$7:$P$106,"有",'②-1職員名簿'!AU$7:AU$106,"E",'②-2勤務時間数入力'!$C$7:$C$106,"嘱託常勤",'②-2勤務時間数入力'!W$7:W$106,"常",'②-1職員名簿'!$O$7:$O$106,"")</f>
        <v>0</v>
      </c>
      <c r="AP14" s="223">
        <f>SUMIFS('②-2勤務時間数入力'!W$7:W$106,'②-1職員名簿'!AU$7:AU$106,"E",'②-1職員名簿'!$P$7:$P$106,"有",'②-1職員名簿'!$C$7:$C$106,"嘱託等",'②-1職員名簿'!$O$7:$O$106,"")</f>
        <v>0</v>
      </c>
      <c r="AQ14" s="231">
        <f>COUNTIFS('②-1職員名簿'!AU$7:AU$106,"E",'②-2勤務時間数入力'!K$7:K$106,"正",'②-1職員名簿'!$P$7:$P$106,"")</f>
        <v>0</v>
      </c>
      <c r="AR14" s="232">
        <f>COUNTIFS('②-1職員名簿'!AU$7:AU$106,"E",'②-2勤務時間数入力'!$C$7:$C$106,"常勤的非常勤",'②-2勤務時間数入力'!W$7:W$106,"常",'②-1職員名簿'!$P$7:$P$106,"")</f>
        <v>0</v>
      </c>
      <c r="AS14" s="232">
        <f>SUMIFS('②-2勤務時間数入力'!W$7:W$106,'②-1職員名簿'!AU$7:AU$106,"E",'②-1職員名簿'!$C$7:$C$106,"パート",'②-1職員名簿'!$P$7:$P$106,"")</f>
        <v>0</v>
      </c>
      <c r="AT14" s="232">
        <f>COUNTIFS('②-1職員名簿'!AU$7:AU$106,"E",'②-2勤務時間数入力'!$C$7:$C$106,"嘱託常勤",'②-2勤務時間数入力'!W$7:W$106,"常",'②-1職員名簿'!$P$7:$P$106,"")</f>
        <v>0</v>
      </c>
      <c r="AU14" s="232">
        <f>SUMIFS('②-2勤務時間数入力'!W$7:W$106,'②-1職員名簿'!AU$7:AU$106,"E",'②-1職員名簿'!$C$7:$C$106,"嘱託等",'②-1職員名簿'!$P$7:$P$106,"")</f>
        <v>0</v>
      </c>
      <c r="AV14" s="180">
        <f t="shared" si="10"/>
        <v>0</v>
      </c>
      <c r="AW14" s="61">
        <f>COUNTIFS('②-1職員名簿'!BY$7:BY$106,"D",'②-1職員名簿'!$W$7:$W$106,AW$5,'②-2勤務時間数入力'!$K$7:$K$106,"正")+COUNTIFS('②-1職員名簿'!BY$7:BY$106,"E",'②-1職員名簿'!$W$7:$W$106,AW$5,'②-2勤務時間数入力'!$K$7:$K$106,"正")</f>
        <v>0</v>
      </c>
      <c r="AX14" s="61">
        <f>COUNTIFS('②-1職員名簿'!$AU$7:$AU$106,"D",'②-1職員名簿'!$W$7:$W$106,AW$5,'②-2勤務時間数入力'!$W$7:$W$106,"常")+COUNTIFS('②-1職員名簿'!$AU$7:$AU$106,"E",'②-1職員名簿'!$W$7:$W$106,AW$5,'②-2勤務時間数入力'!$W$7:$W$106,"常")</f>
        <v>0</v>
      </c>
      <c r="AY14" s="61">
        <f>SUMIFS('②-2勤務時間数入力'!$W$7:$W$106,'②-1職員名簿'!$AU$7:$AU$106,"D",'②-1職員名簿'!$W$7:$W$106,AW$5)+SUMIFS('②-2勤務時間数入力'!$W$7:$W$106,'②-1職員名簿'!$AU$7:$AU$106,"E",'②-1職員名簿'!$W$7:$W$106,AW$5)</f>
        <v>0</v>
      </c>
      <c r="AZ14" s="61">
        <f>COUNTIFS('②-1職員名簿'!CB$7:CB$106,"D",'②-1職員名簿'!$W$7:$W$106,AZ$5,'②-2勤務時間数入力'!$K$7:$K$106,"正")+COUNTIFS('②-1職員名簿'!CB$7:CB$106,"E",'②-1職員名簿'!$W$7:$W$106,AZ$5,'②-2勤務時間数入力'!$K$7:$K$106,"正")</f>
        <v>0</v>
      </c>
      <c r="BA14" s="61">
        <f>COUNTIFS('②-1職員名簿'!$AU$7:$AU$106,"D",'②-1職員名簿'!$W$7:$W$106,AZ$5,'②-2勤務時間数入力'!$W$7:$W$106,"常")+COUNTIFS('②-1職員名簿'!$AU$7:$AU$106,"E",'②-1職員名簿'!$W$7:$W$106,AZ$5,'②-2勤務時間数入力'!$W$7:$W$106,"常")</f>
        <v>0</v>
      </c>
      <c r="BB14" s="61">
        <f>SUMIFS('②-2勤務時間数入力'!$W$7:$W$106,'②-1職員名簿'!$AU$7:$AU$106,"D",'②-1職員名簿'!$W$7:$W$106,AZ$5)+SUMIFS('②-2勤務時間数入力'!$W$7:$W$106,'②-1職員名簿'!$AU$7:$AU$106,"E",'②-1職員名簿'!$W$7:$W$106,AZ$5)</f>
        <v>0</v>
      </c>
      <c r="BC14" s="180">
        <f t="shared" si="11"/>
        <v>0</v>
      </c>
      <c r="BD14" s="180">
        <f t="shared" si="12"/>
        <v>0</v>
      </c>
      <c r="BE14" s="333" t="e">
        <f t="shared" si="13"/>
        <v>#DIV/0!</v>
      </c>
      <c r="BF14" s="334" t="e">
        <f t="shared" si="14"/>
        <v>#DIV/0!</v>
      </c>
      <c r="BG14" s="219">
        <f>COUNTIFS('②-1職員名簿'!$W$7:$W$106,"園長",'②-1職員名簿'!AU$7:AU$106,"D")</f>
        <v>0</v>
      </c>
      <c r="BH14" s="220">
        <f>COUNTIFS('②-1職員名簿'!$W$7:$W$106,"園長",'②-1職員名簿'!$P$7:$P$106,"有",'②-1職員名簿'!AU$7:AU$106,"E")</f>
        <v>0</v>
      </c>
      <c r="BI14" s="181" t="e">
        <f t="shared" si="1"/>
        <v>#DIV/0!</v>
      </c>
      <c r="BJ14" s="181" t="e">
        <f t="shared" si="2"/>
        <v>#DIV/0!</v>
      </c>
      <c r="BK14" s="181" t="e">
        <f>IF(AND($AF14&gt;0,$BF14&gt;$AF14),MAX(BI14-AF14,0),0)</f>
        <v>#N/A</v>
      </c>
      <c r="BL14" s="182" t="e">
        <f t="shared" si="15"/>
        <v>#N/A</v>
      </c>
    </row>
    <row r="15" spans="1:64" s="33" customFormat="1" ht="36" customHeight="1">
      <c r="A15" s="196">
        <v>10</v>
      </c>
      <c r="B15" s="224">
        <f>'②-2勤務時間数入力'!AH13</f>
        <v>0</v>
      </c>
      <c r="C15" s="223">
        <f>COUNTIFS('②-1職員名簿'!$L$7:$L$106,"有",'②-1職員名簿'!AI$7:AI$106,"○",'②-2勤務時間数入力'!L$7:L$106,"正")</f>
        <v>0</v>
      </c>
      <c r="D15" s="223">
        <f>COUNTIFS('②-1職員名簿'!$L$7:$L$106,"有",'②-2勤務時間数入力'!$C$7:$C$106,"常勤的非常勤",'②-2勤務時間数入力'!X$7:X$106,"常")</f>
        <v>0</v>
      </c>
      <c r="E15" s="223">
        <f>SUMIFS('②-2勤務時間数入力'!X$7:X$106,'②-1職員名簿'!$L$7:$L$106,"有",'②-1職員名簿'!$C$7:$C$106,"パート")</f>
        <v>0</v>
      </c>
      <c r="F15" s="223">
        <f>COUNTIFS('②-1職員名簿'!$L$7:$L$106,"有",'②-2勤務時間数入力'!$C$7:$C$106,"嘱託常勤",'②-2勤務時間数入力'!X$7:X$106,"常")</f>
        <v>0</v>
      </c>
      <c r="G15" s="223">
        <f>SUMIFS('②-2勤務時間数入力'!X$7:X$106,'②-1職員名簿'!$L$7:$L$106,"有",'②-1職員名簿'!$C$7:$C$106,"嘱託等")</f>
        <v>0</v>
      </c>
      <c r="H15" s="223">
        <f>COUNTIFS('②-1職員名簿'!$M$7:$M$106,"有",'②-1職員名簿'!AV$7:AV$106,"C",'②-2勤務時間数入力'!L$7:L$106,"正",'②-1職員名簿'!$L$7:$L$106,"")</f>
        <v>0</v>
      </c>
      <c r="I15" s="223">
        <f>COUNTIFS('②-1職員名簿'!$M$7:$M$106,"有",'②-1職員名簿'!AV$7:AV$106,"C",'②-2勤務時間数入力'!$C$7:$C$106,"常勤的非常勤",'②-2勤務時間数入力'!X$7:X$106,"常",'②-1職員名簿'!$L$7:$L$106,"")</f>
        <v>0</v>
      </c>
      <c r="J15" s="223">
        <f>SUMIFS('②-2勤務時間数入力'!X$7:X$106,'②-1職員名簿'!$M$7:$M$106,"有",'②-1職員名簿'!AV$7:AV$106,"C",'②-1職員名簿'!$C$7:$C$106,"パート",'②-1職員名簿'!$L$7:$L$106,"")</f>
        <v>0</v>
      </c>
      <c r="K15" s="223">
        <f>COUNTIFS('②-1職員名簿'!$M$7:$M$106,"有",'②-1職員名簿'!AV$7:AV$106,"C",'②-2勤務時間数入力'!$C$7:$C$106,"嘱託常勤",'②-2勤務時間数入力'!X$7:X$106,"常",'②-1職員名簿'!$L$7:$L$106,"")</f>
        <v>0</v>
      </c>
      <c r="L15" s="223">
        <f>SUMIFS('②-2勤務時間数入力'!X$7:X$106,'②-1職員名簿'!$M$7:$M$106,"有",'②-1職員名簿'!AV$7:AV$106,"C",'②-1職員名簿'!$C$7:$C$106,"嘱託等",'②-1職員名簿'!$L$7:$L$106,"")</f>
        <v>0</v>
      </c>
      <c r="M15" s="223">
        <f>COUNTIFS('②-1職員名簿'!$N$7:$N$106,"有",'②-1職員名簿'!AV$7:AV$106,"C",'②-2勤務時間数入力'!L$7:L$106,"正",'②-1職員名簿'!$L$7:$L$106,"",'②-1職員名簿'!$M$7:$M$106,"")</f>
        <v>0</v>
      </c>
      <c r="N15" s="223">
        <f>COUNTIFS('②-1職員名簿'!$N$7:$N$106,"有",'②-1職員名簿'!AV$7:AV$106,"C",'②-2勤務時間数入力'!$C$7:$C$106,"常勤的非常勤",'②-2勤務時間数入力'!X$7:X$106,"常",'②-1職員名簿'!$L$7:$L$106,"",'②-1職員名簿'!$M$7:$M$106,"")</f>
        <v>0</v>
      </c>
      <c r="O15" s="223">
        <f>SUMIFS('②-2勤務時間数入力'!X$7:X$106,'②-1職員名簿'!$N$7:$N$106,"有",'②-1職員名簿'!AV$7:AV$106,"C",'②-1職員名簿'!$C$7:$C$106,"パート",'②-1職員名簿'!$L$7:$L$106,"",'②-1職員名簿'!$M$7:$M$106,"")</f>
        <v>0</v>
      </c>
      <c r="P15" s="223">
        <f>COUNTIFS('②-1職員名簿'!$N$7:$N$106,"有",'②-1職員名簿'!AV$7:AV$106,"C",'②-2勤務時間数入力'!$C$7:$C$106,"嘱託常勤",'②-2勤務時間数入力'!X$7:X$106,"常",'②-1職員名簿'!$L$7:$L$106,"",'②-1職員名簿'!$M$7:$M$106,"")</f>
        <v>0</v>
      </c>
      <c r="Q15" s="223">
        <f>SUMIFS('②-2勤務時間数入力'!X$7:X$106,'②-1職員名簿'!$N$7:$N$106,"有",'②-1職員名簿'!AV$7:AV$106,"C",'②-1職員名簿'!$C$7:$C$106,"嘱託等",'②-1職員名簿'!$L$7:$L$106,"",'②-1職員名簿'!$M$7:$M$106,"")</f>
        <v>0</v>
      </c>
      <c r="R15" s="225">
        <f>COUNTIFS('②-1職員名簿'!$W$7:$W$106,"園長",'②-1職員名簿'!AV$7:AV$106,"C")</f>
        <v>0</v>
      </c>
      <c r="S15" s="61">
        <f>COUNTIFS('②-1職員名簿'!AV$7:AV$106,"C",'②-1職員名簿'!$W$7:$W$106,S$5,'②-2勤務時間数入力'!$L$7:$L$106,"正")</f>
        <v>0</v>
      </c>
      <c r="T15" s="61">
        <f>COUNTIFS('②-1職員名簿'!$AV$7:$AV$106,"C",'②-1職員名簿'!$W$7:$W$106,S$5,'②-2勤務時間数入力'!$X$7:$X$106,"常")</f>
        <v>0</v>
      </c>
      <c r="U15" s="61">
        <f>SUMIFS('②-2勤務時間数入力'!$X$7:$X$106,'②-1職員名簿'!$AV$7:$AV$106,"C",'②-1職員名簿'!$W$7:$W$106,S$5)</f>
        <v>0</v>
      </c>
      <c r="V15" s="61">
        <f>COUNTIFS('②-1職員名簿'!AY$7:AY$106,"C",'②-1職員名簿'!$W$7:$W$106,V$5,'②-2勤務時間数入力'!$L$7:$L$106,"正")</f>
        <v>0</v>
      </c>
      <c r="W15" s="61">
        <f>COUNTIFS('②-1職員名簿'!$AV$7:$AV$106,"C",'②-1職員名簿'!$W$7:$W$106,V$5,'②-2勤務時間数入力'!$X$7:$X$106,"常")</f>
        <v>0</v>
      </c>
      <c r="X15" s="61">
        <f>SUMIFS('②-2勤務時間数入力'!$X$7:$X$106,'②-1職員名簿'!$AV$7:$AV$106,"C",'②-1職員名簿'!$W$7:$W$106,V$5)</f>
        <v>0</v>
      </c>
      <c r="Y15" s="226">
        <f t="shared" si="4"/>
        <v>0</v>
      </c>
      <c r="Z15" s="227">
        <f t="shared" si="5"/>
        <v>0</v>
      </c>
      <c r="AA15" s="228" t="e">
        <f t="shared" si="6"/>
        <v>#DIV/0!</v>
      </c>
      <c r="AB15" s="228" t="e">
        <f t="shared" si="0"/>
        <v>#DIV/0!</v>
      </c>
      <c r="AC15" s="323" t="e">
        <f t="shared" si="7"/>
        <v>#DIV/0!</v>
      </c>
      <c r="AD15" s="228" t="e">
        <f t="shared" si="8"/>
        <v>#DIV/0!</v>
      </c>
      <c r="AE15" s="229"/>
      <c r="AF15" s="230" t="e">
        <f t="shared" si="9"/>
        <v>#N/A</v>
      </c>
      <c r="AG15" s="225">
        <f>COUNTIFS('②-1職員名簿'!AV$7:AV$106,"D",'②-2勤務時間数入力'!L$7:L$106,"正")</f>
        <v>0</v>
      </c>
      <c r="AH15" s="223">
        <f>COUNTIFS('②-1職員名簿'!AV$7:AV$106,"D",'②-2勤務時間数入力'!$C$7:$C$106,"常勤的非常勤",'②-2勤務時間数入力'!X$7:X$106,"常")</f>
        <v>0</v>
      </c>
      <c r="AI15" s="223">
        <f>SUMIFS('②-2勤務時間数入力'!X$7:X$106,'②-1職員名簿'!AV$7:AV$106,"D",'②-1職員名簿'!$C$7:$C$106,"パート")</f>
        <v>0</v>
      </c>
      <c r="AJ15" s="223">
        <f>COUNTIFS('②-1職員名簿'!AV$7:AV$106,"D",'②-2勤務時間数入力'!$C$7:$C$106,"嘱託常勤",'②-2勤務時間数入力'!X$7:X$106,"常")</f>
        <v>0</v>
      </c>
      <c r="AK15" s="223">
        <f>SUMIFS('②-2勤務時間数入力'!X$7:X$106,'②-1職員名簿'!AV$7:AV$106,"D",'②-1職員名簿'!$C$7:$C$106,"嘱託等")</f>
        <v>0</v>
      </c>
      <c r="AL15" s="225">
        <f>COUNTIFS('②-1職員名簿'!$P$7:$P$106,"有",'②-1職員名簿'!AV$7:AV$106,"E",'②-2勤務時間数入力'!L$7:L$106,"正",'②-1職員名簿'!$O$7:$O$106,"")</f>
        <v>0</v>
      </c>
      <c r="AM15" s="223">
        <f>COUNTIFS('②-1職員名簿'!$P$7:$P$106,"有",'②-1職員名簿'!AV$7:AV$106,"E",'②-2勤務時間数入力'!$C$7:$C$106,"常勤的非常勤",'②-2勤務時間数入力'!X$7:X$106,"常",'②-1職員名簿'!$O$7:$O$106,"")</f>
        <v>0</v>
      </c>
      <c r="AN15" s="223">
        <f>SUMIFS('②-2勤務時間数入力'!X$7:X$106,'②-1職員名簿'!AV$7:AV$106,"E",'②-1職員名簿'!$P$7:$P$106,"有",'②-1職員名簿'!$C$7:$C$106,"パート",'②-1職員名簿'!$O$7:$O$106,"")</f>
        <v>0</v>
      </c>
      <c r="AO15" s="223">
        <f>COUNTIFS('②-1職員名簿'!$P$7:$P$106,"有",'②-1職員名簿'!AV$7:AV$106,"E",'②-2勤務時間数入力'!$C$7:$C$106,"嘱託常勤",'②-2勤務時間数入力'!X$7:X$106,"常",'②-1職員名簿'!$O$7:$O$106,"")</f>
        <v>0</v>
      </c>
      <c r="AP15" s="223">
        <f>SUMIFS('②-2勤務時間数入力'!X$7:X$106,'②-1職員名簿'!AV$7:AV$106,"E",'②-1職員名簿'!$P$7:$P$106,"有",'②-1職員名簿'!$C$7:$C$106,"嘱託等",'②-1職員名簿'!$O$7:$O$106,"")</f>
        <v>0</v>
      </c>
      <c r="AQ15" s="231">
        <f>COUNTIFS('②-1職員名簿'!AV$7:AV$106,"E",'②-2勤務時間数入力'!L$7:L$106,"正",'②-1職員名簿'!$P$7:$P$106,"")</f>
        <v>0</v>
      </c>
      <c r="AR15" s="232">
        <f>COUNTIFS('②-1職員名簿'!AV$7:AV$106,"E",'②-2勤務時間数入力'!$C$7:$C$106,"常勤的非常勤",'②-2勤務時間数入力'!X$7:X$106,"常",'②-1職員名簿'!$P$7:$P$106,"")</f>
        <v>0</v>
      </c>
      <c r="AS15" s="232">
        <f>SUMIFS('②-2勤務時間数入力'!X$7:X$106,'②-1職員名簿'!AV$7:AV$106,"E",'②-1職員名簿'!$C$7:$C$106,"パート",'②-1職員名簿'!$P$7:$P$106,"")</f>
        <v>0</v>
      </c>
      <c r="AT15" s="232">
        <f>COUNTIFS('②-1職員名簿'!AV$7:AV$106,"E",'②-2勤務時間数入力'!$C$7:$C$106,"嘱託常勤",'②-2勤務時間数入力'!X$7:X$106,"常",'②-1職員名簿'!$P$7:$P$106,"")</f>
        <v>0</v>
      </c>
      <c r="AU15" s="232">
        <f>SUMIFS('②-2勤務時間数入力'!X$7:X$106,'②-1職員名簿'!AV$7:AV$106,"E",'②-1職員名簿'!$C$7:$C$106,"嘱託等",'②-1職員名簿'!$P$7:$P$106,"")</f>
        <v>0</v>
      </c>
      <c r="AV15" s="180">
        <f t="shared" si="10"/>
        <v>0</v>
      </c>
      <c r="AW15" s="61">
        <f>COUNTIFS('②-1職員名簿'!BZ$7:BZ$106,"D",'②-1職員名簿'!$W$7:$W$106,AW$5,'②-2勤務時間数入力'!$L$7:$L$106,"正")+COUNTIFS('②-1職員名簿'!BZ$7:BZ$106,"E",'②-1職員名簿'!$W$7:$W$106,AW$5,'②-2勤務時間数入力'!$L$7:$L$106,"正")</f>
        <v>0</v>
      </c>
      <c r="AX15" s="61">
        <f>COUNTIFS('②-1職員名簿'!$AV$7:$AV$106,"D",'②-1職員名簿'!$W$7:$W$106,AW$5,'②-2勤務時間数入力'!$X$7:$X$106,"常")+COUNTIFS('②-1職員名簿'!$AV$7:$AV$106,"E",'②-1職員名簿'!$W$7:$W$106,AW$5,'②-2勤務時間数入力'!$X$7:$X$106,"常")</f>
        <v>0</v>
      </c>
      <c r="AY15" s="61">
        <f>SUMIFS('②-2勤務時間数入力'!$X$7:$X$106,'②-1職員名簿'!$AV$7:$AV$106,"D",'②-1職員名簿'!$W$7:$W$106,AW$5)+SUMIFS('②-2勤務時間数入力'!$X$7:$X$106,'②-1職員名簿'!$AV$7:$AV$106,"E",'②-1職員名簿'!$W$7:$W$106,AW$5)</f>
        <v>0</v>
      </c>
      <c r="AZ15" s="61">
        <f>COUNTIFS('②-1職員名簿'!CC$7:CC$106,"D",'②-1職員名簿'!$W$7:$W$106,AZ$5,'②-2勤務時間数入力'!$L$7:$L$106,"正")+COUNTIFS('②-1職員名簿'!CC$7:CC$106,"E",'②-1職員名簿'!$W$7:$W$106,AZ$5,'②-2勤務時間数入力'!$L$7:$L$106,"正")</f>
        <v>0</v>
      </c>
      <c r="BA15" s="61">
        <f>COUNTIFS('②-1職員名簿'!$AV$7:$AV$106,"D",'②-1職員名簿'!$W$7:$W$106,AZ$5,'②-2勤務時間数入力'!$X$7:$X$106,"常")+COUNTIFS('②-1職員名簿'!$AV$7:$AV$106,"E",'②-1職員名簿'!$W$7:$W$106,AZ$5,'②-2勤務時間数入力'!$X$7:$X$106,"常")</f>
        <v>0</v>
      </c>
      <c r="BB15" s="61">
        <f>SUMIFS('②-2勤務時間数入力'!$X$7:$X$106,'②-1職員名簿'!$AV$7:$AV$106,"D",'②-1職員名簿'!$W$7:$W$106,AZ$5)+SUMIFS('②-2勤務時間数入力'!$X$7:$X$106,'②-1職員名簿'!$AV$7:$AV$106,"E",'②-1職員名簿'!$W$7:$W$106,AZ$5)</f>
        <v>0</v>
      </c>
      <c r="BC15" s="180">
        <f t="shared" si="11"/>
        <v>0</v>
      </c>
      <c r="BD15" s="180">
        <f t="shared" si="12"/>
        <v>0</v>
      </c>
      <c r="BE15" s="333" t="e">
        <f t="shared" si="13"/>
        <v>#DIV/0!</v>
      </c>
      <c r="BF15" s="334" t="e">
        <f t="shared" si="14"/>
        <v>#DIV/0!</v>
      </c>
      <c r="BG15" s="219">
        <f>COUNTIFS('②-1職員名簿'!$W$7:$W$106,"園長",'②-1職員名簿'!AV$7:AV$106,"D")</f>
        <v>0</v>
      </c>
      <c r="BH15" s="220">
        <f>COUNTIFS('②-1職員名簿'!$W$7:$W$106,"園長",'②-1職員名簿'!$P$7:$P$106,"有",'②-1職員名簿'!AV$7:AV$106,"E")</f>
        <v>0</v>
      </c>
      <c r="BI15" s="181" t="e">
        <f t="shared" si="1"/>
        <v>#DIV/0!</v>
      </c>
      <c r="BJ15" s="181" t="e">
        <f t="shared" si="2"/>
        <v>#DIV/0!</v>
      </c>
      <c r="BK15" s="181" t="e">
        <f t="shared" si="3"/>
        <v>#N/A</v>
      </c>
      <c r="BL15" s="182" t="e">
        <f t="shared" si="15"/>
        <v>#N/A</v>
      </c>
    </row>
    <row r="16" spans="1:64" s="33" customFormat="1" ht="36" customHeight="1">
      <c r="A16" s="196">
        <v>11</v>
      </c>
      <c r="B16" s="224">
        <f>'②-2勤務時間数入力'!AH14</f>
        <v>0</v>
      </c>
      <c r="C16" s="223">
        <f>COUNTIFS('②-1職員名簿'!$L$7:$L$106,"有",'②-1職員名簿'!AJ$7:AJ$106,"○",'②-2勤務時間数入力'!M$7:M$106,"正")</f>
        <v>0</v>
      </c>
      <c r="D16" s="223">
        <f>COUNTIFS('②-1職員名簿'!$L$7:$L$106,"有",'②-2勤務時間数入力'!$C$7:$C$106,"常勤的非常勤",'②-2勤務時間数入力'!Y$7:Y$106,"常")</f>
        <v>0</v>
      </c>
      <c r="E16" s="223">
        <f>SUMIFS('②-2勤務時間数入力'!Y$7:Y$106,'②-1職員名簿'!$L$7:$L$106,"有",'②-1職員名簿'!$C$7:$C$106,"パート")</f>
        <v>0</v>
      </c>
      <c r="F16" s="223">
        <f>COUNTIFS('②-1職員名簿'!$L$7:$L$106,"有",'②-2勤務時間数入力'!$C$7:$C$106,"嘱託常勤",'②-2勤務時間数入力'!Y$7:Y$106,"常")</f>
        <v>0</v>
      </c>
      <c r="G16" s="223">
        <f>SUMIFS('②-2勤務時間数入力'!Y$7:Y$106,'②-1職員名簿'!$L$7:$L$106,"有",'②-1職員名簿'!$C$7:$C$106,"嘱託等")</f>
        <v>0</v>
      </c>
      <c r="H16" s="223">
        <f>COUNTIFS('②-1職員名簿'!$M$7:$M$106,"有",'②-1職員名簿'!AW$7:AW$106,"C",'②-2勤務時間数入力'!M$7:M$106,"正",'②-1職員名簿'!$L$7:$L$106,"")</f>
        <v>0</v>
      </c>
      <c r="I16" s="223">
        <f>COUNTIFS('②-1職員名簿'!$M$7:$M$106,"有",'②-1職員名簿'!AW$7:AW$106,"C",'②-2勤務時間数入力'!$C$7:$C$106,"常勤的非常勤",'②-2勤務時間数入力'!Y$7:Y$106,"常",'②-1職員名簿'!$L$7:$L$106,"")</f>
        <v>0</v>
      </c>
      <c r="J16" s="223">
        <f>SUMIFS('②-2勤務時間数入力'!Y$7:Y$106,'②-1職員名簿'!$M$7:$M$106,"有",'②-1職員名簿'!AW$7:AW$106,"C",'②-1職員名簿'!$C$7:$C$106,"パート",'②-1職員名簿'!$L$7:$L$106,"")</f>
        <v>0</v>
      </c>
      <c r="K16" s="223">
        <f>COUNTIFS('②-1職員名簿'!$M$7:$M$106,"有",'②-1職員名簿'!AW$7:AW$106,"C",'②-2勤務時間数入力'!$C$7:$C$106,"嘱託常勤",'②-2勤務時間数入力'!Y$7:Y$106,"常",'②-1職員名簿'!$L$7:$L$106,"")</f>
        <v>0</v>
      </c>
      <c r="L16" s="223">
        <f>SUMIFS('②-2勤務時間数入力'!Y$7:Y$106,'②-1職員名簿'!$M$7:$M$106,"有",'②-1職員名簿'!AW$7:AW$106,"C",'②-1職員名簿'!$C$7:$C$106,"嘱託等",'②-1職員名簿'!$L$7:$L$106,"")</f>
        <v>0</v>
      </c>
      <c r="M16" s="223">
        <f>COUNTIFS('②-1職員名簿'!$N$7:$N$106,"有",'②-1職員名簿'!AW$7:AW$106,"C",'②-2勤務時間数入力'!M$7:M$106,"正",'②-1職員名簿'!$L$7:$L$106,"",'②-1職員名簿'!$M$7:$M$106,"")</f>
        <v>0</v>
      </c>
      <c r="N16" s="223">
        <f>COUNTIFS('②-1職員名簿'!$N$7:$N$106,"有",'②-1職員名簿'!AW$7:AW$106,"C",'②-2勤務時間数入力'!$C$7:$C$106,"常勤的非常勤",'②-2勤務時間数入力'!Y$7:Y$106,"常",'②-1職員名簿'!$L$7:$L$106,"",'②-1職員名簿'!$M$7:$M$106,"")</f>
        <v>0</v>
      </c>
      <c r="O16" s="223">
        <f>SUMIFS('②-2勤務時間数入力'!Y$7:Y$106,'②-1職員名簿'!$N$7:$N$106,"有",'②-1職員名簿'!AW$7:AW$106,"C",'②-1職員名簿'!$C$7:$C$106,"パート",'②-1職員名簿'!$L$7:$L$106,"",'②-1職員名簿'!$M$7:$M$106,"")</f>
        <v>0</v>
      </c>
      <c r="P16" s="223">
        <f>COUNTIFS('②-1職員名簿'!$N$7:$N$106,"有",'②-1職員名簿'!AW$7:AW$106,"C",'②-2勤務時間数入力'!$C$7:$C$106,"嘱託常勤",'②-2勤務時間数入力'!Y$7:Y$106,"常",'②-1職員名簿'!$L$7:$L$106,"",'②-1職員名簿'!$M$7:$M$106,"")</f>
        <v>0</v>
      </c>
      <c r="Q16" s="223">
        <f>SUMIFS('②-2勤務時間数入力'!Y$7:Y$106,'②-1職員名簿'!$N$7:$N$106,"有",'②-1職員名簿'!AW$7:AW$106,"C",'②-1職員名簿'!$C$7:$C$106,"嘱託等",'②-1職員名簿'!$L$7:$L$106,"",'②-1職員名簿'!$M$7:$M$106,"")</f>
        <v>0</v>
      </c>
      <c r="R16" s="225">
        <f>COUNTIFS('②-1職員名簿'!$W$7:$W$106,"園長",'②-1職員名簿'!AW$7:AW$106,"C")</f>
        <v>0</v>
      </c>
      <c r="S16" s="61">
        <f>COUNTIFS('②-1職員名簿'!AW$7:AW$106,"C",'②-1職員名簿'!$W$7:$W$106,S$5,'②-2勤務時間数入力'!$M$7:$M$106,"正")</f>
        <v>0</v>
      </c>
      <c r="T16" s="61">
        <f>COUNTIFS('②-1職員名簿'!$AW$7:$AW$106,"C",'②-1職員名簿'!$W$7:$W$106,S$5,'②-2勤務時間数入力'!$Y$7:$Y$106,"常")</f>
        <v>0</v>
      </c>
      <c r="U16" s="61">
        <f>SUMIFS('②-2勤務時間数入力'!$Y$7:$Y$106,'②-1職員名簿'!$AW$7:$AW$106,"C",'②-1職員名簿'!$W$7:$W$106,S$5)</f>
        <v>0</v>
      </c>
      <c r="V16" s="61">
        <f>COUNTIFS('②-1職員名簿'!AZ$7:AZ$106,"C",'②-1職員名簿'!$W$7:$W$106,V$5,'②-2勤務時間数入力'!$M$7:$M$106,"正")</f>
        <v>0</v>
      </c>
      <c r="W16" s="61">
        <f>COUNTIFS('②-1職員名簿'!$AW$7:$AW$106,"C",'②-1職員名簿'!$W$7:$W$106,V$5,'②-2勤務時間数入力'!$Y$7:$Y$106,"常")</f>
        <v>0</v>
      </c>
      <c r="X16" s="61">
        <f>SUMIFS('②-2勤務時間数入力'!$Y$7:$Y$106,'②-1職員名簿'!$AW$7:$AW$106,"C",'②-1職員名簿'!$W$7:$W$106,V$5)</f>
        <v>0</v>
      </c>
      <c r="Y16" s="226">
        <f t="shared" si="4"/>
        <v>0</v>
      </c>
      <c r="Z16" s="227">
        <f t="shared" si="5"/>
        <v>0</v>
      </c>
      <c r="AA16" s="228" t="e">
        <f t="shared" si="6"/>
        <v>#DIV/0!</v>
      </c>
      <c r="AB16" s="228" t="e">
        <f t="shared" si="0"/>
        <v>#DIV/0!</v>
      </c>
      <c r="AC16" s="323" t="e">
        <f t="shared" si="7"/>
        <v>#DIV/0!</v>
      </c>
      <c r="AD16" s="228" t="e">
        <f t="shared" si="8"/>
        <v>#DIV/0!</v>
      </c>
      <c r="AE16" s="229"/>
      <c r="AF16" s="230" t="e">
        <f t="shared" si="9"/>
        <v>#N/A</v>
      </c>
      <c r="AG16" s="225">
        <f>COUNTIFS('②-1職員名簿'!AW$7:AW$106,"D",'②-2勤務時間数入力'!M$7:M$106,"正")</f>
        <v>0</v>
      </c>
      <c r="AH16" s="223">
        <f>COUNTIFS('②-1職員名簿'!AW$7:AW$106,"D",'②-2勤務時間数入力'!$C$7:$C$106,"常勤的非常勤",'②-2勤務時間数入力'!Y$7:Y$106,"常")</f>
        <v>0</v>
      </c>
      <c r="AI16" s="223">
        <f>SUMIFS('②-2勤務時間数入力'!Y$7:Y$106,'②-1職員名簿'!AW$7:AW$106,"D",'②-1職員名簿'!$C$7:$C$106,"パート")</f>
        <v>0</v>
      </c>
      <c r="AJ16" s="223">
        <f>COUNTIFS('②-1職員名簿'!AW$7:AW$106,"D",'②-2勤務時間数入力'!$C$7:$C$106,"嘱託常勤",'②-2勤務時間数入力'!Y$7:Y$106,"常")</f>
        <v>0</v>
      </c>
      <c r="AK16" s="223">
        <f>SUMIFS('②-2勤務時間数入力'!Y$7:Y$106,'②-1職員名簿'!AW$7:AW$106,"D",'②-1職員名簿'!$C$7:$C$106,"嘱託等")</f>
        <v>0</v>
      </c>
      <c r="AL16" s="225">
        <f>COUNTIFS('②-1職員名簿'!$P$7:$P$106,"有",'②-1職員名簿'!AW$7:AW$106,"E",'②-2勤務時間数入力'!M$7:M$106,"正",'②-1職員名簿'!$O$7:$O$106,"")</f>
        <v>0</v>
      </c>
      <c r="AM16" s="223">
        <f>COUNTIFS('②-1職員名簿'!$P$7:$P$106,"有",'②-1職員名簿'!AW$7:AW$106,"E",'②-2勤務時間数入力'!$C$7:$C$106,"常勤的非常勤",'②-2勤務時間数入力'!Y$7:Y$106,"常",'②-1職員名簿'!$O$7:$O$106,"")</f>
        <v>0</v>
      </c>
      <c r="AN16" s="223">
        <f>SUMIFS('②-2勤務時間数入力'!Y$7:Y$106,'②-1職員名簿'!AW$7:AW$106,"E",'②-1職員名簿'!$P$7:$P$106,"有",'②-1職員名簿'!$C$7:$C$106,"パート",'②-1職員名簿'!$O$7:$O$106,"")</f>
        <v>0</v>
      </c>
      <c r="AO16" s="223">
        <f>COUNTIFS('②-1職員名簿'!$P$7:$P$106,"有",'②-1職員名簿'!AW$7:AW$106,"E",'②-2勤務時間数入力'!$C$7:$C$106,"嘱託常勤",'②-2勤務時間数入力'!Y$7:Y$106,"常",'②-1職員名簿'!$O$7:$O$106,"")</f>
        <v>0</v>
      </c>
      <c r="AP16" s="223">
        <f>SUMIFS('②-2勤務時間数入力'!Y$7:Y$106,'②-1職員名簿'!AW$7:AW$106,"E",'②-1職員名簿'!$P$7:$P$106,"有",'②-1職員名簿'!$C$7:$C$106,"嘱託等",'②-1職員名簿'!$O$7:$O$106,"")</f>
        <v>0</v>
      </c>
      <c r="AQ16" s="231">
        <f>COUNTIFS('②-1職員名簿'!AW$7:AW$106,"E",'②-2勤務時間数入力'!M$7:M$106,"正",'②-1職員名簿'!$P$7:$P$106,"")</f>
        <v>0</v>
      </c>
      <c r="AR16" s="232">
        <f>COUNTIFS('②-1職員名簿'!AW$7:AW$106,"E",'②-2勤務時間数入力'!$C$7:$C$106,"常勤的非常勤",'②-2勤務時間数入力'!Y$7:Y$106,"常",'②-1職員名簿'!$P$7:$P$106,"")</f>
        <v>0</v>
      </c>
      <c r="AS16" s="232">
        <f>SUMIFS('②-2勤務時間数入力'!Y$7:Y$106,'②-1職員名簿'!AW$7:AW$106,"E",'②-1職員名簿'!$C$7:$C$106,"パート",'②-1職員名簿'!$P$7:$P$106,"")</f>
        <v>0</v>
      </c>
      <c r="AT16" s="232">
        <f>COUNTIFS('②-1職員名簿'!AW$7:AW$106,"E",'②-2勤務時間数入力'!$C$7:$C$106,"嘱託常勤",'②-2勤務時間数入力'!Y$7:Y$106,"常",'②-1職員名簿'!$P$7:$P$106,"")</f>
        <v>0</v>
      </c>
      <c r="AU16" s="232">
        <f>SUMIFS('②-2勤務時間数入力'!Y$7:Y$106,'②-1職員名簿'!AW$7:AW$106,"E",'②-1職員名簿'!$C$7:$C$106,"嘱託等",'②-1職員名簿'!$P$7:$P$106,"")</f>
        <v>0</v>
      </c>
      <c r="AV16" s="180">
        <f t="shared" si="10"/>
        <v>0</v>
      </c>
      <c r="AW16" s="61">
        <f>COUNTIFS('②-1職員名簿'!CA$7:CA$106,"D",'②-1職員名簿'!$W$7:$W$106,AW$5,'②-2勤務時間数入力'!$M$7:$M$106,"正")+COUNTIFS('②-1職員名簿'!CA$7:CA$106,"E",'②-1職員名簿'!$W$7:$W$106,AW$5,'②-2勤務時間数入力'!$M$7:$M$106,"正")</f>
        <v>0</v>
      </c>
      <c r="AX16" s="61">
        <f>COUNTIFS('②-1職員名簿'!$AW$7:$AW$106,"D",'②-1職員名簿'!$W$7:$W$106,AW$5,'②-2勤務時間数入力'!$Y$7:$Y$106,"常")+COUNTIFS('②-1職員名簿'!$AW$7:$AW$106,"E",'②-1職員名簿'!$W$7:$W$106,AW$5,'②-2勤務時間数入力'!$Y$7:$Y$106,"常")</f>
        <v>0</v>
      </c>
      <c r="AY16" s="61">
        <f>SUMIFS('②-2勤務時間数入力'!$Y$7:$Y$106,'②-1職員名簿'!$AW$7:$AW$106,"D",'②-1職員名簿'!$W$7:$W$106,AW$5)+SUMIFS('②-2勤務時間数入力'!$Y$7:$Y$106,'②-1職員名簿'!$AW$7:$AW$106,"E",'②-1職員名簿'!$W$7:$W$106,AW$5)</f>
        <v>0</v>
      </c>
      <c r="AZ16" s="61">
        <f>COUNTIFS('②-1職員名簿'!CD$7:CD$106,"D",'②-1職員名簿'!$W$7:$W$106,AZ$5,'②-2勤務時間数入力'!$M$7:$M$106,"正")+COUNTIFS('②-1職員名簿'!CD$7:CD$106,"E",'②-1職員名簿'!$W$7:$W$106,AZ$5,'②-2勤務時間数入力'!$M$7:$M$106,"正")</f>
        <v>0</v>
      </c>
      <c r="BA16" s="61">
        <f>COUNTIFS('②-1職員名簿'!$AW$7:$AW$106,"D",'②-1職員名簿'!$W$7:$W$106,AZ$5,'②-2勤務時間数入力'!$Y$7:$Y$106,"常")+COUNTIFS('②-1職員名簿'!$AW$7:$AW$106,"E",'②-1職員名簿'!$W$7:$W$106,AZ$5,'②-2勤務時間数入力'!$Y$7:$Y$106,"常")</f>
        <v>0</v>
      </c>
      <c r="BB16" s="61">
        <f>SUMIFS('②-2勤務時間数入力'!$Y$7:$Y$106,'②-1職員名簿'!$AW$7:$AW$106,"D",'②-1職員名簿'!$W$7:$W$106,AZ$5)+SUMIFS('②-2勤務時間数入力'!$Y$7:$Y$106,'②-1職員名簿'!$AW$7:$AW$106,"E",'②-1職員名簿'!$W$7:$W$106,AZ$5)</f>
        <v>0</v>
      </c>
      <c r="BC16" s="180">
        <f t="shared" si="11"/>
        <v>0</v>
      </c>
      <c r="BD16" s="180">
        <f t="shared" si="12"/>
        <v>0</v>
      </c>
      <c r="BE16" s="333" t="e">
        <f t="shared" si="13"/>
        <v>#DIV/0!</v>
      </c>
      <c r="BF16" s="334" t="e">
        <f t="shared" si="14"/>
        <v>#DIV/0!</v>
      </c>
      <c r="BG16" s="219">
        <f>COUNTIFS('②-1職員名簿'!$W$7:$W$106,"園長",'②-1職員名簿'!AW$7:AW$106,"D")</f>
        <v>0</v>
      </c>
      <c r="BH16" s="220">
        <f>COUNTIFS('②-1職員名簿'!$W$7:$W$106,"園長",'②-1職員名簿'!$P$7:$P$106,"有",'②-1職員名簿'!AW$7:AW$106,"E")</f>
        <v>0</v>
      </c>
      <c r="BI16" s="181" t="e">
        <f t="shared" si="1"/>
        <v>#DIV/0!</v>
      </c>
      <c r="BJ16" s="181" t="e">
        <f t="shared" si="2"/>
        <v>#DIV/0!</v>
      </c>
      <c r="BK16" s="181" t="e">
        <f t="shared" si="3"/>
        <v>#N/A</v>
      </c>
      <c r="BL16" s="182" t="e">
        <f t="shared" si="15"/>
        <v>#N/A</v>
      </c>
    </row>
    <row r="17" spans="1:64" s="33" customFormat="1" ht="36" customHeight="1">
      <c r="A17" s="196">
        <v>12</v>
      </c>
      <c r="B17" s="224">
        <f>'②-2勤務時間数入力'!AH15</f>
        <v>0</v>
      </c>
      <c r="C17" s="223">
        <f>COUNTIFS('②-1職員名簿'!$L$7:$L$106,"有",'②-1職員名簿'!AK$7:AK$106,"○",'②-2勤務時間数入力'!N$7:N$106,"正")</f>
        <v>0</v>
      </c>
      <c r="D17" s="223">
        <f>COUNTIFS('②-1職員名簿'!$L$7:$L$106,"有",'②-2勤務時間数入力'!$C$7:$C$106,"常勤的非常勤",'②-2勤務時間数入力'!Z$7:Z$106,"常")</f>
        <v>0</v>
      </c>
      <c r="E17" s="223">
        <f>SUMIFS('②-2勤務時間数入力'!Z$7:Z$106,'②-1職員名簿'!$L$7:$L$106,"有",'②-1職員名簿'!$C$7:$C$106,"パート")</f>
        <v>0</v>
      </c>
      <c r="F17" s="223">
        <f>COUNTIFS('②-1職員名簿'!$L$7:$L$106,"有",'②-2勤務時間数入力'!$C$7:$C$106,"嘱託常勤",'②-2勤務時間数入力'!Z$7:Z$106,"常")</f>
        <v>0</v>
      </c>
      <c r="G17" s="223">
        <f>SUMIFS('②-2勤務時間数入力'!Z$7:Z$106,'②-1職員名簿'!$L$7:$L$106,"有",'②-1職員名簿'!$C$7:$C$106,"嘱託等")</f>
        <v>0</v>
      </c>
      <c r="H17" s="223">
        <f>COUNTIFS('②-1職員名簿'!$M$7:$M$106,"有",'②-1職員名簿'!AX$7:AX$106,"C",'②-2勤務時間数入力'!N$7:N$106,"正",'②-1職員名簿'!$L$7:$L$106,"")</f>
        <v>0</v>
      </c>
      <c r="I17" s="223">
        <f>COUNTIFS('②-1職員名簿'!$M$7:$M$106,"有",'②-1職員名簿'!AX$7:AX$106,"C",'②-2勤務時間数入力'!$C$7:$C$106,"常勤的非常勤",'②-2勤務時間数入力'!Z$7:Z$106,"常",'②-1職員名簿'!$L$7:$L$106,"")</f>
        <v>0</v>
      </c>
      <c r="J17" s="223">
        <f>SUMIFS('②-2勤務時間数入力'!Z$7:Z$106,'②-1職員名簿'!$M$7:$M$106,"有",'②-1職員名簿'!AX$7:AX$106,"C",'②-1職員名簿'!$C$7:$C$106,"パート",'②-1職員名簿'!$L$7:$L$106,"")</f>
        <v>0</v>
      </c>
      <c r="K17" s="223">
        <f>COUNTIFS('②-1職員名簿'!$M$7:$M$106,"有",'②-1職員名簿'!AX$7:AX$106,"C",'②-2勤務時間数入力'!$C$7:$C$106,"嘱託常勤",'②-2勤務時間数入力'!Z$7:Z$106,"常",'②-1職員名簿'!$L$7:$L$106,"")</f>
        <v>0</v>
      </c>
      <c r="L17" s="223">
        <f>SUMIFS('②-2勤務時間数入力'!Z$7:Z$106,'②-1職員名簿'!$M$7:$M$106,"有",'②-1職員名簿'!AX$7:AX$106,"C",'②-1職員名簿'!$C$7:$C$106,"嘱託等",'②-1職員名簿'!$L$7:$L$106,"")</f>
        <v>0</v>
      </c>
      <c r="M17" s="223">
        <f>COUNTIFS('②-1職員名簿'!$N$7:$N$106,"有",'②-1職員名簿'!AX$7:AX$106,"C",'②-2勤務時間数入力'!N$7:N$106,"正",'②-1職員名簿'!$L$7:$L$106,"",'②-1職員名簿'!$M$7:$M$106,"")</f>
        <v>0</v>
      </c>
      <c r="N17" s="223">
        <f>COUNTIFS('②-1職員名簿'!$N$7:$N$106,"有",'②-1職員名簿'!AX$7:AX$106,"C",'②-2勤務時間数入力'!$C$7:$C$106,"常勤的非常勤",'②-2勤務時間数入力'!Z$7:Z$106,"常",'②-1職員名簿'!$L$7:$L$106,"",'②-1職員名簿'!$M$7:$M$106,"")</f>
        <v>0</v>
      </c>
      <c r="O17" s="223">
        <f>SUMIFS('②-2勤務時間数入力'!Z$7:Z$106,'②-1職員名簿'!$N$7:$N$106,"有",'②-1職員名簿'!AX$7:AX$106,"C",'②-1職員名簿'!$C$7:$C$106,"パート",'②-1職員名簿'!$L$7:$L$106,"",'②-1職員名簿'!$M$7:$M$106,"")</f>
        <v>0</v>
      </c>
      <c r="P17" s="223">
        <f>COUNTIFS('②-1職員名簿'!$N$7:$N$106,"有",'②-1職員名簿'!AX$7:AX$106,"C",'②-2勤務時間数入力'!$C$7:$C$106,"嘱託常勤",'②-2勤務時間数入力'!Z$7:Z$106,"常",'②-1職員名簿'!$L$7:$L$106,"",'②-1職員名簿'!$M$7:$M$106,"")</f>
        <v>0</v>
      </c>
      <c r="Q17" s="223">
        <f>SUMIFS('②-2勤務時間数入力'!Z$7:Z$106,'②-1職員名簿'!$N$7:$N$106,"有",'②-1職員名簿'!AX$7:AX$106,"C",'②-1職員名簿'!$C$7:$C$106,"嘱託等",'②-1職員名簿'!$L$7:$L$106,"",'②-1職員名簿'!$M$7:$M$106,"")</f>
        <v>0</v>
      </c>
      <c r="R17" s="225">
        <f>COUNTIFS('②-1職員名簿'!$W$7:$W$106,"園長",'②-1職員名簿'!AX$7:AX$106,"C")</f>
        <v>0</v>
      </c>
      <c r="S17" s="61">
        <f>COUNTIFS('②-1職員名簿'!AX$7:AX$106,"C",'②-1職員名簿'!$W$7:$W$106,S$5,'②-2勤務時間数入力'!$N$7:$N$106,"正")</f>
        <v>0</v>
      </c>
      <c r="T17" s="61">
        <f>COUNTIFS('②-1職員名簿'!$AX$7:$AX$106,"C",'②-1職員名簿'!$W$7:$W$106,S$5,'②-2勤務時間数入力'!$Z$7:$Z$106,"常")</f>
        <v>0</v>
      </c>
      <c r="U17" s="61">
        <f>SUMIFS('②-2勤務時間数入力'!$Z$7:$Z$106,'②-1職員名簿'!$AX$7:$AX$106,"C",'②-1職員名簿'!$W$7:$W$106,S$5)</f>
        <v>0</v>
      </c>
      <c r="V17" s="61">
        <f>COUNTIFS('②-1職員名簿'!BA$7:BA$106,"C",'②-1職員名簿'!$W$7:$W$106,V$5,'②-2勤務時間数入力'!$N$7:$N$106,"正")</f>
        <v>0</v>
      </c>
      <c r="W17" s="61">
        <f>COUNTIFS('②-1職員名簿'!$AX$7:$AX$106,"C",'②-1職員名簿'!$W$7:$W$106,V$5,'②-2勤務時間数入力'!$Z$7:$Z$106,"常")</f>
        <v>0</v>
      </c>
      <c r="X17" s="61">
        <f>SUMIFS('②-2勤務時間数入力'!$Z$7:$Z$106,'②-1職員名簿'!$AX$7:$AX$106,"C",'②-1職員名簿'!$W$7:$W$106,V$5)</f>
        <v>0</v>
      </c>
      <c r="Y17" s="226">
        <f t="shared" si="4"/>
        <v>0</v>
      </c>
      <c r="Z17" s="227">
        <f t="shared" si="5"/>
        <v>0</v>
      </c>
      <c r="AA17" s="228" t="e">
        <f t="shared" si="6"/>
        <v>#DIV/0!</v>
      </c>
      <c r="AB17" s="228" t="e">
        <f t="shared" si="0"/>
        <v>#DIV/0!</v>
      </c>
      <c r="AC17" s="323" t="e">
        <f t="shared" si="7"/>
        <v>#DIV/0!</v>
      </c>
      <c r="AD17" s="228" t="e">
        <f t="shared" si="8"/>
        <v>#DIV/0!</v>
      </c>
      <c r="AE17" s="229"/>
      <c r="AF17" s="230" t="e">
        <f t="shared" si="9"/>
        <v>#N/A</v>
      </c>
      <c r="AG17" s="225">
        <f>COUNTIFS('②-1職員名簿'!AX$7:AX$106,"D",'②-2勤務時間数入力'!N$7:N$106,"正")</f>
        <v>0</v>
      </c>
      <c r="AH17" s="223">
        <f>COUNTIFS('②-1職員名簿'!AX$7:AX$106,"D",'②-2勤務時間数入力'!$C$7:$C$106,"常勤的非常勤",'②-2勤務時間数入力'!Z$7:Z$106,"常")</f>
        <v>0</v>
      </c>
      <c r="AI17" s="223">
        <f>SUMIFS('②-2勤務時間数入力'!Z$7:Z$106,'②-1職員名簿'!AX$7:AX$106,"D",'②-1職員名簿'!$C$7:$C$106,"パート")</f>
        <v>0</v>
      </c>
      <c r="AJ17" s="223">
        <f>COUNTIFS('②-1職員名簿'!AX$7:AX$106,"D",'②-2勤務時間数入力'!$C$7:$C$106,"嘱託常勤",'②-2勤務時間数入力'!Z$7:Z$106,"常")</f>
        <v>0</v>
      </c>
      <c r="AK17" s="223">
        <f>SUMIFS('②-2勤務時間数入力'!Z$7:Z$106,'②-1職員名簿'!AX$7:AX$106,"D",'②-1職員名簿'!$C$7:$C$106,"嘱託等")</f>
        <v>0</v>
      </c>
      <c r="AL17" s="225">
        <f>COUNTIFS('②-1職員名簿'!$P$7:$P$106,"有",'②-1職員名簿'!AX$7:AX$106,"E",'②-2勤務時間数入力'!N$7:N$106,"正",'②-1職員名簿'!$O$7:$O$106,"")</f>
        <v>0</v>
      </c>
      <c r="AM17" s="223">
        <f>COUNTIFS('②-1職員名簿'!$P$7:$P$106,"有",'②-1職員名簿'!AX$7:AX$106,"E",'②-2勤務時間数入力'!$C$7:$C$106,"常勤的非常勤",'②-2勤務時間数入力'!Z$7:Z$106,"常",'②-1職員名簿'!$O$7:$O$106,"")</f>
        <v>0</v>
      </c>
      <c r="AN17" s="223">
        <f>SUMIFS('②-2勤務時間数入力'!Z$7:Z$106,'②-1職員名簿'!AX$7:AX$106,"E",'②-1職員名簿'!$P$7:$P$106,"有",'②-1職員名簿'!$C$7:$C$106,"パート",'②-1職員名簿'!$O$7:$O$106,"")</f>
        <v>0</v>
      </c>
      <c r="AO17" s="223">
        <f>COUNTIFS('②-1職員名簿'!$P$7:$P$106,"有",'②-1職員名簿'!AX$7:AX$106,"E",'②-2勤務時間数入力'!$C$7:$C$106,"嘱託常勤",'②-2勤務時間数入力'!Z$7:Z$106,"常",'②-1職員名簿'!$O$7:$O$106,"")</f>
        <v>0</v>
      </c>
      <c r="AP17" s="223">
        <f>SUMIFS('②-2勤務時間数入力'!Z$7:Z$106,'②-1職員名簿'!AX$7:AX$106,"E",'②-1職員名簿'!$P$7:$P$106,"有",'②-1職員名簿'!$C$7:$C$106,"嘱託等",'②-1職員名簿'!$O$7:$O$106,"")</f>
        <v>0</v>
      </c>
      <c r="AQ17" s="231">
        <f>COUNTIFS('②-1職員名簿'!AX$7:AX$106,"E",'②-2勤務時間数入力'!N$7:N$106,"正",'②-1職員名簿'!$P$7:$P$106,"")</f>
        <v>0</v>
      </c>
      <c r="AR17" s="232">
        <f>COUNTIFS('②-1職員名簿'!AX$7:AX$106,"E",'②-2勤務時間数入力'!$C$7:$C$106,"常勤的非常勤",'②-2勤務時間数入力'!Z$7:Z$106,"常",'②-1職員名簿'!$P$7:$P$106,"")</f>
        <v>0</v>
      </c>
      <c r="AS17" s="232">
        <f>SUMIFS('②-2勤務時間数入力'!Z$7:Z$106,'②-1職員名簿'!AX$7:AX$106,"E",'②-1職員名簿'!$C$7:$C$106,"パート",'②-1職員名簿'!$P$7:$P$106,"")</f>
        <v>0</v>
      </c>
      <c r="AT17" s="232">
        <f>COUNTIFS('②-1職員名簿'!AX$7:AX$106,"E",'②-2勤務時間数入力'!$C$7:$C$106,"嘱託常勤",'②-2勤務時間数入力'!Z$7:Z$106,"常",'②-1職員名簿'!$P$7:$P$106,"")</f>
        <v>0</v>
      </c>
      <c r="AU17" s="232">
        <f>SUMIFS('②-2勤務時間数入力'!Z$7:Z$106,'②-1職員名簿'!AX$7:AX$106,"E",'②-1職員名簿'!$C$7:$C$106,"嘱託等",'②-1職員名簿'!$P$7:$P$106,"")</f>
        <v>0</v>
      </c>
      <c r="AV17" s="180">
        <f t="shared" si="10"/>
        <v>0</v>
      </c>
      <c r="AW17" s="61">
        <f>COUNTIFS('②-1職員名簿'!CB$7:CB$106,"D",'②-1職員名簿'!$W$7:$W$106,AW$5,'②-2勤務時間数入力'!$N$7:$N$106,"正")+COUNTIFS('②-1職員名簿'!CB$7:CB$106,"E",'②-1職員名簿'!$W$7:$W$106,AW$5,'②-2勤務時間数入力'!$N$7:$N$106,"正")</f>
        <v>0</v>
      </c>
      <c r="AX17" s="61">
        <f>COUNTIFS('②-1職員名簿'!$AX$7:$AX$106,"D",'②-1職員名簿'!$W$7:$W$106,AW$5,'②-2勤務時間数入力'!$Z$7:$Z$106,"常")+COUNTIFS('②-1職員名簿'!$AX$7:$AX$106,"E",'②-1職員名簿'!$W$7:$W$106,AW$5,'②-2勤務時間数入力'!$Z$7:$Z$106,"常")</f>
        <v>0</v>
      </c>
      <c r="AY17" s="61">
        <f>SUMIFS('②-2勤務時間数入力'!$Z$7:$Z$106,'②-1職員名簿'!$AX$7:$AX$106,"D",'②-1職員名簿'!$W$7:$W$106,AW$5)+SUMIFS('②-2勤務時間数入力'!$Z$7:$Z$106,'②-1職員名簿'!$AX$7:$AX$106,"E",'②-1職員名簿'!$W$7:$W$106,AW$5)</f>
        <v>0</v>
      </c>
      <c r="AZ17" s="61">
        <f>COUNTIFS('②-1職員名簿'!CG$7:CG$106,"D",'②-1職員名簿'!$W$7:$W$106,AZ$5,'②-2勤務時間数入力'!$N$7:$N$106,"正")+COUNTIFS('②-1職員名簿'!CG$7:CG$106,"E",'②-1職員名簿'!$W$7:$W$106,AZ$5,'②-2勤務時間数入力'!$N$7:$N$106,"正")</f>
        <v>0</v>
      </c>
      <c r="BA17" s="61">
        <f>COUNTIFS('②-1職員名簿'!$AX$7:$AX$106,"D",'②-1職員名簿'!$W$7:$W$106,AZ$5,'②-2勤務時間数入力'!$Z$7:$Z$106,"常")+COUNTIFS('②-1職員名簿'!$AX$7:$AX$106,"E",'②-1職員名簿'!$W$7:$W$106,AZ$5,'②-2勤務時間数入力'!$Z$7:$Z$106,"常")</f>
        <v>0</v>
      </c>
      <c r="BB17" s="61">
        <f>SUMIFS('②-2勤務時間数入力'!$Z$7:$Z$106,'②-1職員名簿'!$AX$7:$AX$106,"D",'②-1職員名簿'!$W$7:$W$106,AZ$5)+SUMIFS('②-2勤務時間数入力'!$Z$7:$Z$106,'②-1職員名簿'!$AX$7:$AX$106,"E",'②-1職員名簿'!$W$7:$W$106,AZ$5)</f>
        <v>0</v>
      </c>
      <c r="BC17" s="180">
        <f t="shared" si="11"/>
        <v>0</v>
      </c>
      <c r="BD17" s="180">
        <f t="shared" si="12"/>
        <v>0</v>
      </c>
      <c r="BE17" s="333" t="e">
        <f t="shared" si="13"/>
        <v>#DIV/0!</v>
      </c>
      <c r="BF17" s="334" t="e">
        <f t="shared" si="14"/>
        <v>#DIV/0!</v>
      </c>
      <c r="BG17" s="219">
        <f>COUNTIFS('②-1職員名簿'!$W$7:$W$106,"園長",'②-1職員名簿'!AX$7:AX$106,"D")</f>
        <v>0</v>
      </c>
      <c r="BH17" s="220">
        <f>COUNTIFS('②-1職員名簿'!$W$7:$W$106,"園長",'②-1職員名簿'!$P$7:$P$106,"有",'②-1職員名簿'!AX$7:AX$106,"E")</f>
        <v>0</v>
      </c>
      <c r="BI17" s="181" t="e">
        <f t="shared" si="1"/>
        <v>#DIV/0!</v>
      </c>
      <c r="BJ17" s="181" t="e">
        <f t="shared" si="2"/>
        <v>#DIV/0!</v>
      </c>
      <c r="BK17" s="33" t="e">
        <f t="shared" si="3"/>
        <v>#N/A</v>
      </c>
      <c r="BL17" s="179" t="e">
        <f t="shared" si="15"/>
        <v>#N/A</v>
      </c>
    </row>
    <row r="18" spans="1:64" s="33" customFormat="1" ht="36" customHeight="1">
      <c r="A18" s="196">
        <v>1</v>
      </c>
      <c r="B18" s="224">
        <f>'②-2勤務時間数入力'!AH16</f>
        <v>0</v>
      </c>
      <c r="C18" s="223">
        <f>COUNTIFS('②-1職員名簿'!$L$7:$L$106,"有",'②-1職員名簿'!AL$7:AL$106,"○",'②-2勤務時間数入力'!O$7:O$106,"正")</f>
        <v>0</v>
      </c>
      <c r="D18" s="223">
        <f>COUNTIFS('②-1職員名簿'!$L$7:$L$106,"有",'②-2勤務時間数入力'!$C$7:$C$106,"常勤的非常勤",'②-2勤務時間数入力'!AA$7:AA$106,"常")</f>
        <v>0</v>
      </c>
      <c r="E18" s="223">
        <f>SUMIFS('②-2勤務時間数入力'!AA$7:AA$106,'②-1職員名簿'!$L$7:$L$106,"有",'②-1職員名簿'!$C$7:$C$106,"パート")</f>
        <v>0</v>
      </c>
      <c r="F18" s="223">
        <f>COUNTIFS('②-1職員名簿'!$L$7:$L$106,"有",'②-2勤務時間数入力'!$C$7:$C$106,"嘱託常勤",'②-2勤務時間数入力'!AA$7:AA$106,"常")</f>
        <v>0</v>
      </c>
      <c r="G18" s="223">
        <f>SUMIFS('②-2勤務時間数入力'!AA$7:AA$106,'②-1職員名簿'!$L$7:$L$106,"有",'②-1職員名簿'!$C$7:$C$106,"嘱託等")</f>
        <v>0</v>
      </c>
      <c r="H18" s="223">
        <f>COUNTIFS('②-1職員名簿'!$M$7:$M$106,"有",'②-1職員名簿'!AY$7:AY$106,"C",'②-2勤務時間数入力'!O$7:O$106,"正",'②-1職員名簿'!$L$7:$L$106,"")</f>
        <v>0</v>
      </c>
      <c r="I18" s="223">
        <f>COUNTIFS('②-1職員名簿'!$M$7:$M$106,"有",'②-1職員名簿'!AY$7:AY$106,"C",'②-2勤務時間数入力'!$C$7:$C$106,"常勤的非常勤",'②-2勤務時間数入力'!AA$7:AA$106,"常",'②-1職員名簿'!$L$7:$L$106,"")</f>
        <v>0</v>
      </c>
      <c r="J18" s="223">
        <f>SUMIFS('②-2勤務時間数入力'!AA$7:AA$106,'②-1職員名簿'!$M$7:$M$106,"有",'②-1職員名簿'!AY$7:AY$106,"C",'②-1職員名簿'!$C$7:$C$106,"パート",'②-1職員名簿'!$L$7:$L$106,"")</f>
        <v>0</v>
      </c>
      <c r="K18" s="223">
        <f>COUNTIFS('②-1職員名簿'!$M$7:$M$106,"有",'②-1職員名簿'!AY$7:AY$106,"C",'②-2勤務時間数入力'!$C$7:$C$106,"嘱託常勤",'②-2勤務時間数入力'!AA$7:AA$106,"常",'②-1職員名簿'!$L$7:$L$106,"")</f>
        <v>0</v>
      </c>
      <c r="L18" s="223">
        <f>SUMIFS('②-2勤務時間数入力'!AA$7:AA$106,'②-1職員名簿'!$M$7:$M$106,"有",'②-1職員名簿'!AY$7:AY$106,"C",'②-1職員名簿'!$C$7:$C$106,"嘱託等",'②-1職員名簿'!$L$7:$L$106,"")</f>
        <v>0</v>
      </c>
      <c r="M18" s="223">
        <f>COUNTIFS('②-1職員名簿'!$N$7:$N$106,"有",'②-1職員名簿'!AY$7:AY$106,"C",'②-2勤務時間数入力'!O$7:O$106,"正",'②-1職員名簿'!$L$7:$L$106,"",'②-1職員名簿'!$M$7:$M$106,"")</f>
        <v>0</v>
      </c>
      <c r="N18" s="223">
        <f>COUNTIFS('②-1職員名簿'!$N$7:$N$106,"有",'②-1職員名簿'!AY$7:AY$106,"C",'②-2勤務時間数入力'!$C$7:$C$106,"常勤的非常勤",'②-2勤務時間数入力'!AA$7:AA$106,"常",'②-1職員名簿'!$L$7:$L$106,"",'②-1職員名簿'!$M$7:$M$106,"")</f>
        <v>0</v>
      </c>
      <c r="O18" s="223">
        <f>SUMIFS('②-2勤務時間数入力'!AA$7:AA$106,'②-1職員名簿'!$N$7:$N$106,"有",'②-1職員名簿'!AY$7:AY$106,"C",'②-1職員名簿'!$C$7:$C$106,"パート",'②-1職員名簿'!$L$7:$L$106,"",'②-1職員名簿'!$M$7:$M$106,"")</f>
        <v>0</v>
      </c>
      <c r="P18" s="223">
        <f>COUNTIFS('②-1職員名簿'!$N$7:$N$106,"有",'②-1職員名簿'!AY$7:AY$106,"C",'②-2勤務時間数入力'!$C$7:$C$106,"嘱託常勤",'②-2勤務時間数入力'!AA$7:AA$106,"常",'②-1職員名簿'!$L$7:$L$106,"",'②-1職員名簿'!$M$7:$M$106,"")</f>
        <v>0</v>
      </c>
      <c r="Q18" s="223">
        <f>SUMIFS('②-2勤務時間数入力'!AA$7:AA$106,'②-1職員名簿'!$N$7:$N$106,"有",'②-1職員名簿'!AY$7:AY$106,"C",'②-1職員名簿'!$C$7:$C$106,"嘱託等",'②-1職員名簿'!$L$7:$L$106,"",'②-1職員名簿'!$M$7:$M$106,"")</f>
        <v>0</v>
      </c>
      <c r="R18" s="225">
        <f>COUNTIFS('②-1職員名簿'!$W$7:$W$106,"園長",'②-1職員名簿'!AY$7:AY$106,"C")</f>
        <v>0</v>
      </c>
      <c r="S18" s="61">
        <f>COUNTIFS('②-1職員名簿'!AY$7:AY$106,"C",'②-1職員名簿'!$W$7:$W$106,S$5,'②-2勤務時間数入力'!$O$7:$O$106,"正")</f>
        <v>0</v>
      </c>
      <c r="T18" s="61">
        <f>COUNTIFS('②-1職員名簿'!$AY$7:$AY$106,"C",'②-1職員名簿'!$W$7:$W$106,S$5,'②-2勤務時間数入力'!$AA$7:$AA$106,"常")</f>
        <v>0</v>
      </c>
      <c r="U18" s="61">
        <f>SUMIFS('②-2勤務時間数入力'!$AA$7:$AA$106,'②-1職員名簿'!$AY$7:$AY$106,"C",'②-1職員名簿'!$W$7:$W$106,S$5)</f>
        <v>0</v>
      </c>
      <c r="V18" s="61">
        <f>COUNTIFS('②-1職員名簿'!BB$7:BB$106,"C",'②-1職員名簿'!$W$7:$W$106,V$5,'②-2勤務時間数入力'!$O$7:$O$106,"正")</f>
        <v>0</v>
      </c>
      <c r="W18" s="61">
        <f>COUNTIFS('②-1職員名簿'!$AY$7:$AY$106,"C",'②-1職員名簿'!$W$7:$W$106,V$5,'②-2勤務時間数入力'!$AA$7:$AA$106,"常")</f>
        <v>0</v>
      </c>
      <c r="X18" s="61">
        <f>SUMIFS('②-2勤務時間数入力'!$AA$7:$AA$106,'②-1職員名簿'!$AY$7:$AY$106,"C",'②-1職員名簿'!$W$7:$W$106,V$5)</f>
        <v>0</v>
      </c>
      <c r="Y18" s="226">
        <f t="shared" si="4"/>
        <v>0</v>
      </c>
      <c r="Z18" s="227">
        <f t="shared" si="5"/>
        <v>0</v>
      </c>
      <c r="AA18" s="228" t="e">
        <f t="shared" si="6"/>
        <v>#DIV/0!</v>
      </c>
      <c r="AB18" s="228" t="e">
        <f t="shared" si="0"/>
        <v>#DIV/0!</v>
      </c>
      <c r="AC18" s="323" t="e">
        <f t="shared" si="7"/>
        <v>#DIV/0!</v>
      </c>
      <c r="AD18" s="228" t="e">
        <f t="shared" si="8"/>
        <v>#DIV/0!</v>
      </c>
      <c r="AE18" s="229"/>
      <c r="AF18" s="230" t="e">
        <f t="shared" si="9"/>
        <v>#N/A</v>
      </c>
      <c r="AG18" s="225">
        <f>COUNTIFS('②-1職員名簿'!AY$7:AY$106,"D",'②-2勤務時間数入力'!O$7:O$106,"正")</f>
        <v>0</v>
      </c>
      <c r="AH18" s="223">
        <f>COUNTIFS('②-1職員名簿'!AY$7:AY$106,"D",'②-2勤務時間数入力'!$C$7:$C$106,"常勤的非常勤",'②-2勤務時間数入力'!AA$7:AA$106,"常")</f>
        <v>0</v>
      </c>
      <c r="AI18" s="223">
        <f>SUMIFS('②-2勤務時間数入力'!AA$7:AA$106,'②-1職員名簿'!AY$7:AY$106,"D",'②-1職員名簿'!$C$7:$C$106,"パート")</f>
        <v>0</v>
      </c>
      <c r="AJ18" s="223">
        <f>COUNTIFS('②-1職員名簿'!AY$7:AY$106,"D",'②-2勤務時間数入力'!$C$7:$C$106,"嘱託常勤",'②-2勤務時間数入力'!AA$7:AA$106,"常")</f>
        <v>0</v>
      </c>
      <c r="AK18" s="223">
        <f>SUMIFS('②-2勤務時間数入力'!AA$7:AA$106,'②-1職員名簿'!AY$7:AY$106,"D",'②-1職員名簿'!$C$7:$C$106,"嘱託等")</f>
        <v>0</v>
      </c>
      <c r="AL18" s="225">
        <f>COUNTIFS('②-1職員名簿'!$P$7:$P$106,"有",'②-1職員名簿'!AY$7:AY$106,"E",'②-2勤務時間数入力'!O$7:O$106,"正",'②-1職員名簿'!$O$7:$O$106,"")</f>
        <v>0</v>
      </c>
      <c r="AM18" s="223">
        <f>COUNTIFS('②-1職員名簿'!$P$7:$P$106,"有",'②-1職員名簿'!AY$7:AY$106,"E",'②-2勤務時間数入力'!$C$7:$C$106,"常勤的非常勤",'②-2勤務時間数入力'!AA$7:AA$106,"常",'②-1職員名簿'!$O$7:$O$106,"")</f>
        <v>0</v>
      </c>
      <c r="AN18" s="223">
        <f>SUMIFS('②-2勤務時間数入力'!AA$7:AA$106,'②-1職員名簿'!AY$7:AY$106,"E",'②-1職員名簿'!$P$7:$P$106,"有",'②-1職員名簿'!$C$7:$C$106,"パート",'②-1職員名簿'!$O$7:$O$106,"")</f>
        <v>0</v>
      </c>
      <c r="AO18" s="223">
        <f>COUNTIFS('②-1職員名簿'!$P$7:$P$106,"有",'②-1職員名簿'!AY$7:AY$106,"E",'②-2勤務時間数入力'!$C$7:$C$106,"嘱託常勤",'②-2勤務時間数入力'!AA$7:AA$106,"常",'②-1職員名簿'!$O$7:$O$106,"")</f>
        <v>0</v>
      </c>
      <c r="AP18" s="223">
        <f>SUMIFS('②-2勤務時間数入力'!AA$7:AA$106,'②-1職員名簿'!AY$7:AY$106,"E",'②-1職員名簿'!$P$7:$P$106,"有",'②-1職員名簿'!$C$7:$C$106,"嘱託等",'②-1職員名簿'!$O$7:$O$106,"")</f>
        <v>0</v>
      </c>
      <c r="AQ18" s="231">
        <f>COUNTIFS('②-1職員名簿'!AY$7:AY$106,"E",'②-2勤務時間数入力'!O$7:O$106,"正",'②-1職員名簿'!$P$7:$P$106,"")</f>
        <v>0</v>
      </c>
      <c r="AR18" s="232">
        <f>COUNTIFS('②-1職員名簿'!AY$7:AY$106,"E",'②-2勤務時間数入力'!$C$7:$C$106,"常勤的非常勤",'②-2勤務時間数入力'!AA$7:AA$106,"常",'②-1職員名簿'!$P$7:$P$106,"")</f>
        <v>0</v>
      </c>
      <c r="AS18" s="232">
        <f>SUMIFS('②-2勤務時間数入力'!AA$7:AA$106,'②-1職員名簿'!AY$7:AY$106,"E",'②-1職員名簿'!$C$7:$C$106,"パート",'②-1職員名簿'!$P$7:$P$106,"")</f>
        <v>0</v>
      </c>
      <c r="AT18" s="232">
        <f>COUNTIFS('②-1職員名簿'!AY$7:AY$106,"E",'②-2勤務時間数入力'!$C$7:$C$106,"嘱託常勤",'②-2勤務時間数入力'!AA$7:AA$106,"常",'②-1職員名簿'!$P$7:$P$106,"")</f>
        <v>0</v>
      </c>
      <c r="AU18" s="232">
        <f>SUMIFS('②-2勤務時間数入力'!AA$7:AA$106,'②-1職員名簿'!AY$7:AY$106,"E",'②-1職員名簿'!$C$7:$C$106,"嘱託等",'②-1職員名簿'!$P$7:$P$106,"")</f>
        <v>0</v>
      </c>
      <c r="AV18" s="180">
        <f t="shared" si="10"/>
        <v>0</v>
      </c>
      <c r="AW18" s="61">
        <f>COUNTIFS('②-1職員名簿'!CC$7:CC$106,"D",'②-1職員名簿'!$W$7:$W$106,AW$5,'②-2勤務時間数入力'!$O$7:$O$106,"正")+COUNTIFS('②-1職員名簿'!CC$7:CC$106,"E",'②-1職員名簿'!$W$7:$W$106,AW$5,'②-2勤務時間数入力'!$O$7:$O$106,"正")</f>
        <v>0</v>
      </c>
      <c r="AX18" s="61">
        <f>COUNTIFS('②-1職員名簿'!$AY$7:$AY$106,"D",'②-1職員名簿'!$W$7:$W$106,AW$5,'②-2勤務時間数入力'!$AA$7:$AA$106,"常")+COUNTIFS('②-1職員名簿'!$AY$7:$AY$106,"E",'②-1職員名簿'!$W$7:$W$106,AW$5,'②-2勤務時間数入力'!$AA$7:$AA$106,"常")</f>
        <v>0</v>
      </c>
      <c r="AY18" s="61">
        <f>SUMIFS('②-2勤務時間数入力'!$AA$7:$AA$106,'②-1職員名簿'!$AY$7:$AY$106,"D",'②-1職員名簿'!$W$7:$W$106,AW$5)+SUMIFS('②-2勤務時間数入力'!$AA$7:$AA$106,'②-1職員名簿'!$AY$7:$AY$106,"E",'②-1職員名簿'!$W$7:$W$106,AW$5)</f>
        <v>0</v>
      </c>
      <c r="AZ18" s="61">
        <f>COUNTIFS('②-1職員名簿'!CH$7:CH$106,"D",'②-1職員名簿'!$W$7:$W$106,AZ$5,'②-2勤務時間数入力'!$O$7:$O$106,"正")+COUNTIFS('②-1職員名簿'!CH$7:CH$106,"E",'②-1職員名簿'!$W$7:$W$106,AZ$5,'②-2勤務時間数入力'!$O$7:$O$106,"正")</f>
        <v>0</v>
      </c>
      <c r="BA18" s="61">
        <f>COUNTIFS('②-1職員名簿'!$AY$7:$AY$106,"D",'②-1職員名簿'!$W$7:$W$106,AZ$5,'②-2勤務時間数入力'!$AA$7:$AA$106,"常")+COUNTIFS('②-1職員名簿'!$AY$7:$AY$106,"E",'②-1職員名簿'!$W$7:$W$106,AZ$5,'②-2勤務時間数入力'!$AA$7:$AA$106,"常")</f>
        <v>0</v>
      </c>
      <c r="BB18" s="61">
        <f>SUMIFS('②-2勤務時間数入力'!$AA$7:$AA$106,'②-1職員名簿'!$AY$7:$AY$106,"D",'②-1職員名簿'!$W$7:$W$106,AZ$5)+SUMIFS('②-2勤務時間数入力'!$AA$7:$AA$106,'②-1職員名簿'!$AY$7:$AY$106,"E",'②-1職員名簿'!$W$7:$W$106,AZ$5)</f>
        <v>0</v>
      </c>
      <c r="BC18" s="180">
        <f t="shared" si="11"/>
        <v>0</v>
      </c>
      <c r="BD18" s="180">
        <f t="shared" si="12"/>
        <v>0</v>
      </c>
      <c r="BE18" s="333" t="e">
        <f t="shared" si="13"/>
        <v>#DIV/0!</v>
      </c>
      <c r="BF18" s="334" t="e">
        <f t="shared" si="14"/>
        <v>#DIV/0!</v>
      </c>
      <c r="BG18" s="219">
        <f>COUNTIFS('②-1職員名簿'!$W$7:$W$106,"園長",'②-1職員名簿'!AY$7:AY$106,"D")</f>
        <v>0</v>
      </c>
      <c r="BH18" s="220">
        <f>COUNTIFS('②-1職員名簿'!$W$7:$W$106,"園長",'②-1職員名簿'!$P$7:$P$106,"有",'②-1職員名簿'!AY$7:AY$106,"E")</f>
        <v>0</v>
      </c>
      <c r="BI18" s="181" t="e">
        <f t="shared" si="1"/>
        <v>#DIV/0!</v>
      </c>
      <c r="BJ18" s="181" t="e">
        <f t="shared" si="2"/>
        <v>#DIV/0!</v>
      </c>
      <c r="BK18" s="33" t="e">
        <f t="shared" si="3"/>
        <v>#N/A</v>
      </c>
      <c r="BL18" s="179" t="e">
        <f t="shared" si="15"/>
        <v>#N/A</v>
      </c>
    </row>
    <row r="19" spans="1:64" s="33" customFormat="1" ht="36" customHeight="1">
      <c r="A19" s="196">
        <v>2</v>
      </c>
      <c r="B19" s="224">
        <f>'②-2勤務時間数入力'!AH17</f>
        <v>0</v>
      </c>
      <c r="C19" s="223">
        <f>COUNTIFS('②-1職員名簿'!$L$7:$L$106,"有",'②-1職員名簿'!AM$7:AM$106,"○",'②-2勤務時間数入力'!P$7:P$106,"正")</f>
        <v>0</v>
      </c>
      <c r="D19" s="223">
        <f>COUNTIFS('②-1職員名簿'!$L$7:$L$106,"有",'②-2勤務時間数入力'!$C$7:$C$106,"常勤的非常勤",'②-2勤務時間数入力'!AB$7:AB$106,"常")</f>
        <v>0</v>
      </c>
      <c r="E19" s="223">
        <f>SUMIFS('②-2勤務時間数入力'!AB$7:AB$106,'②-1職員名簿'!$L$7:$L$106,"有",'②-1職員名簿'!$C$7:$C$106,"パート")</f>
        <v>0</v>
      </c>
      <c r="F19" s="223">
        <f>COUNTIFS('②-1職員名簿'!$L$7:$L$106,"有",'②-2勤務時間数入力'!$C$7:$C$106,"嘱託常勤",'②-2勤務時間数入力'!AB$7:AB$106,"常")</f>
        <v>0</v>
      </c>
      <c r="G19" s="223">
        <f>SUMIFS('②-2勤務時間数入力'!AB$7:AB$106,'②-1職員名簿'!$L$7:$L$106,"有",'②-1職員名簿'!$C$7:$C$106,"嘱託等")</f>
        <v>0</v>
      </c>
      <c r="H19" s="223">
        <f>COUNTIFS('②-1職員名簿'!$M$7:$M$106,"有",'②-1職員名簿'!AZ$7:AZ$106,"C",'②-2勤務時間数入力'!P$7:P$106,"正",'②-1職員名簿'!$L$7:$L$106,"")</f>
        <v>0</v>
      </c>
      <c r="I19" s="223">
        <f>COUNTIFS('②-1職員名簿'!$M$7:$M$106,"有",'②-1職員名簿'!AZ$7:AZ$106,"C",'②-2勤務時間数入力'!$C$7:$C$106,"常勤的非常勤",'②-2勤務時間数入力'!AB$7:AB$106,"常",'②-1職員名簿'!$L$7:$L$106,"")</f>
        <v>0</v>
      </c>
      <c r="J19" s="223">
        <f>SUMIFS('②-2勤務時間数入力'!AB$7:AB$106,'②-1職員名簿'!$M$7:$M$106,"有",'②-1職員名簿'!AZ$7:AZ$106,"C",'②-1職員名簿'!$C$7:$C$106,"パート",'②-1職員名簿'!$L$7:$L$106,"")</f>
        <v>0</v>
      </c>
      <c r="K19" s="223">
        <f>COUNTIFS('②-1職員名簿'!$M$7:$M$106,"有",'②-1職員名簿'!AZ$7:AZ$106,"C",'②-2勤務時間数入力'!$C$7:$C$106,"嘱託常勤",'②-2勤務時間数入力'!AB$7:AB$106,"常",'②-1職員名簿'!$L$7:$L$106,"")</f>
        <v>0</v>
      </c>
      <c r="L19" s="223">
        <f>SUMIFS('②-2勤務時間数入力'!AB$7:AB$106,'②-1職員名簿'!$M$7:$M$106,"有",'②-1職員名簿'!AZ$7:AZ$106,"C",'②-1職員名簿'!$C$7:$C$106,"嘱託等",'②-1職員名簿'!$L$7:$L$106,"")</f>
        <v>0</v>
      </c>
      <c r="M19" s="223">
        <f>COUNTIFS('②-1職員名簿'!$N$7:$N$106,"有",'②-1職員名簿'!AZ$7:AZ$106,"C",'②-2勤務時間数入力'!P$7:P$106,"正",'②-1職員名簿'!$L$7:$L$106,"",'②-1職員名簿'!$M$7:$M$106,"")</f>
        <v>0</v>
      </c>
      <c r="N19" s="223">
        <f>COUNTIFS('②-1職員名簿'!$N$7:$N$106,"有",'②-1職員名簿'!AZ$7:AZ$106,"C",'②-2勤務時間数入力'!$C$7:$C$106,"常勤的非常勤",'②-2勤務時間数入力'!AB$7:AB$106,"常",'②-1職員名簿'!$L$7:$L$106,"",'②-1職員名簿'!$M$7:$M$106,"")</f>
        <v>0</v>
      </c>
      <c r="O19" s="223">
        <f>SUMIFS('②-2勤務時間数入力'!AB$7:AB$106,'②-1職員名簿'!$N$7:$N$106,"有",'②-1職員名簿'!AZ$7:AZ$106,"C",'②-1職員名簿'!$C$7:$C$106,"パート",'②-1職員名簿'!$L$7:$L$106,"",'②-1職員名簿'!$M$7:$M$106,"")</f>
        <v>0</v>
      </c>
      <c r="P19" s="223">
        <f>COUNTIFS('②-1職員名簿'!$N$7:$N$106,"有",'②-1職員名簿'!AZ$7:AZ$106,"C",'②-2勤務時間数入力'!$C$7:$C$106,"嘱託常勤",'②-2勤務時間数入力'!AB$7:AB$106,"常",'②-1職員名簿'!$L$7:$L$106,"",'②-1職員名簿'!$M$7:$M$106,"")</f>
        <v>0</v>
      </c>
      <c r="Q19" s="223">
        <f>SUMIFS('②-2勤務時間数入力'!AB$7:AB$106,'②-1職員名簿'!$N$7:$N$106,"有",'②-1職員名簿'!AZ$7:AZ$106,"C",'②-1職員名簿'!$C$7:$C$106,"嘱託等",'②-1職員名簿'!$L$7:$L$106,"",'②-1職員名簿'!$M$7:$M$106,"")</f>
        <v>0</v>
      </c>
      <c r="R19" s="225">
        <f>COUNTIFS('②-1職員名簿'!$W$7:$W$106,"園長",'②-1職員名簿'!AZ$7:AZ$106,"C")</f>
        <v>0</v>
      </c>
      <c r="S19" s="61">
        <f>COUNTIFS('②-1職員名簿'!AZ$7:AZ$106,"C",'②-1職員名簿'!$W$7:$W$106,S$5,'②-2勤務時間数入力'!$P$7:$P$106,"正")</f>
        <v>0</v>
      </c>
      <c r="T19" s="61">
        <f>COUNTIFS('②-1職員名簿'!$AZ$7:$AZ$106,"C",'②-1職員名簿'!$W$7:$W$106,S$5,'②-2勤務時間数入力'!$AB$7:$AB$106,"常")</f>
        <v>0</v>
      </c>
      <c r="U19" s="61">
        <f>SUMIFS('②-2勤務時間数入力'!$AB$7:$AB$106,'②-1職員名簿'!$AZ$7:$AZ$106,"C",'②-1職員名簿'!$W$7:$W$106,S$5)</f>
        <v>0</v>
      </c>
      <c r="V19" s="61">
        <f>COUNTIFS('②-1職員名簿'!BC$7:BC$106,"C",'②-1職員名簿'!$W$7:$W$106,V$5,'②-2勤務時間数入力'!$P$7:$P$106,"正")</f>
        <v>0</v>
      </c>
      <c r="W19" s="61">
        <f>COUNTIFS('②-1職員名簿'!$AZ$7:$AZ$106,"C",'②-1職員名簿'!$W$7:$W$106,V$5,'②-2勤務時間数入力'!$AB$7:$AB$106,"常")</f>
        <v>0</v>
      </c>
      <c r="X19" s="61">
        <f>SUMIFS('②-2勤務時間数入力'!$AB$7:$AB$106,'②-1職員名簿'!$AZ$7:$AZ$106,"C",'②-1職員名簿'!$W$7:$W$106,V$5)</f>
        <v>0</v>
      </c>
      <c r="Y19" s="226">
        <f t="shared" si="4"/>
        <v>0</v>
      </c>
      <c r="Z19" s="227">
        <f t="shared" si="5"/>
        <v>0</v>
      </c>
      <c r="AA19" s="228" t="e">
        <f t="shared" si="6"/>
        <v>#DIV/0!</v>
      </c>
      <c r="AB19" s="228" t="e">
        <f t="shared" si="0"/>
        <v>#DIV/0!</v>
      </c>
      <c r="AC19" s="323" t="e">
        <f t="shared" si="7"/>
        <v>#DIV/0!</v>
      </c>
      <c r="AD19" s="228" t="e">
        <f t="shared" si="8"/>
        <v>#DIV/0!</v>
      </c>
      <c r="AE19" s="229"/>
      <c r="AF19" s="230" t="e">
        <f t="shared" si="9"/>
        <v>#N/A</v>
      </c>
      <c r="AG19" s="225">
        <f>COUNTIFS('②-1職員名簿'!AZ$7:AZ$106,"D",'②-2勤務時間数入力'!P$7:P$106,"正")</f>
        <v>0</v>
      </c>
      <c r="AH19" s="223">
        <f>COUNTIFS('②-1職員名簿'!AZ$7:AZ$106,"D",'②-2勤務時間数入力'!$C$7:$C$106,"常勤的非常勤",'②-2勤務時間数入力'!AB$7:AB$106,"常")</f>
        <v>0</v>
      </c>
      <c r="AI19" s="223">
        <f>SUMIFS('②-2勤務時間数入力'!AB$7:AB$106,'②-1職員名簿'!AZ$7:AZ$106,"D",'②-1職員名簿'!$C$7:$C$106,"パート")</f>
        <v>0</v>
      </c>
      <c r="AJ19" s="223">
        <f>COUNTIFS('②-1職員名簿'!AZ$7:AZ$106,"D",'②-2勤務時間数入力'!$C$7:$C$106,"嘱託常勤",'②-2勤務時間数入力'!AB$7:AB$106,"常")</f>
        <v>0</v>
      </c>
      <c r="AK19" s="223">
        <f>SUMIFS('②-2勤務時間数入力'!AB$7:AB$106,'②-1職員名簿'!AZ$7:AZ$106,"D",'②-1職員名簿'!$C$7:$C$106,"嘱託等")</f>
        <v>0</v>
      </c>
      <c r="AL19" s="225">
        <f>COUNTIFS('②-1職員名簿'!$P$7:$P$106,"有",'②-1職員名簿'!AZ$7:AZ$106,"E",'②-2勤務時間数入力'!P$7:P$106,"正",'②-1職員名簿'!$O$7:$O$106,"")</f>
        <v>0</v>
      </c>
      <c r="AM19" s="223">
        <f>COUNTIFS('②-1職員名簿'!$P$7:$P$106,"有",'②-1職員名簿'!AZ$7:AZ$106,"E",'②-2勤務時間数入力'!$C$7:$C$106,"常勤的非常勤",'②-2勤務時間数入力'!AB$7:AB$106,"常",'②-1職員名簿'!$O$7:$O$106,"")</f>
        <v>0</v>
      </c>
      <c r="AN19" s="223">
        <f>SUMIFS('②-2勤務時間数入力'!AB$7:AB$106,'②-1職員名簿'!AZ$7:AZ$106,"E",'②-1職員名簿'!$P$7:$P$106,"有",'②-1職員名簿'!$C$7:$C$106,"パート",'②-1職員名簿'!$O$7:$O$106,"")</f>
        <v>0</v>
      </c>
      <c r="AO19" s="223">
        <f>COUNTIFS('②-1職員名簿'!$P$7:$P$106,"有",'②-1職員名簿'!AZ$7:AZ$106,"E",'②-2勤務時間数入力'!$C$7:$C$106,"嘱託常勤",'②-2勤務時間数入力'!AB$7:AB$106,"常",'②-1職員名簿'!$O$7:$O$106,"")</f>
        <v>0</v>
      </c>
      <c r="AP19" s="223">
        <f>SUMIFS('②-2勤務時間数入力'!AB$7:AB$106,'②-1職員名簿'!AZ$7:AZ$106,"E",'②-1職員名簿'!$P$7:$P$106,"有",'②-1職員名簿'!$C$7:$C$106,"嘱託等",'②-1職員名簿'!$O$7:$O$106,"")</f>
        <v>0</v>
      </c>
      <c r="AQ19" s="231">
        <f>COUNTIFS('②-1職員名簿'!AZ$7:AZ$106,"E",'②-2勤務時間数入力'!P$7:P$106,"正",'②-1職員名簿'!$P$7:$P$106,"")</f>
        <v>0</v>
      </c>
      <c r="AR19" s="232">
        <f>COUNTIFS('②-1職員名簿'!AZ$7:AZ$106,"E",'②-2勤務時間数入力'!$C$7:$C$106,"常勤的非常勤",'②-2勤務時間数入力'!AB$7:AB$106,"常",'②-1職員名簿'!$P$7:$P$106,"")</f>
        <v>0</v>
      </c>
      <c r="AS19" s="232">
        <f>SUMIFS('②-2勤務時間数入力'!AB$7:AB$106,'②-1職員名簿'!AZ$7:AZ$106,"E",'②-1職員名簿'!$C$7:$C$106,"パート",'②-1職員名簿'!$P$7:$P$106,"")</f>
        <v>0</v>
      </c>
      <c r="AT19" s="232">
        <f>COUNTIFS('②-1職員名簿'!AZ$7:AZ$106,"E",'②-2勤務時間数入力'!$C$7:$C$106,"嘱託常勤",'②-2勤務時間数入力'!AB$7:AB$106,"常",'②-1職員名簿'!$P$7:$P$106,"")</f>
        <v>0</v>
      </c>
      <c r="AU19" s="232">
        <f>SUMIFS('②-2勤務時間数入力'!AB$7:AB$106,'②-1職員名簿'!AZ$7:AZ$106,"E",'②-1職員名簿'!$C$7:$C$106,"嘱託等",'②-1職員名簿'!$P$7:$P$106,"")</f>
        <v>0</v>
      </c>
      <c r="AV19" s="180">
        <f t="shared" si="10"/>
        <v>0</v>
      </c>
      <c r="AW19" s="61">
        <f>COUNTIFS('②-1職員名簿'!CD$7:CD$106,"D",'②-1職員名簿'!$W$7:$W$106,AW$5,'②-2勤務時間数入力'!$P$7:$P$106,"正")+COUNTIFS('②-1職員名簿'!CD$7:CD$106,"E",'②-1職員名簿'!$W$7:$W$106,AW$5,'②-2勤務時間数入力'!$P$7:$P$106,"正")</f>
        <v>0</v>
      </c>
      <c r="AX19" s="61">
        <f>COUNTIFS('②-1職員名簿'!$AZ$7:$AZ$106,"D",'②-1職員名簿'!$W$7:$W$106,AW$5,'②-2勤務時間数入力'!$AB$7:$AB$106,"常")+COUNTIFS('②-1職員名簿'!$AZ$7:$AZ$106,"E",'②-1職員名簿'!$W$7:$W$106,AW$5,'②-2勤務時間数入力'!$AB$7:$AB$106,"常")</f>
        <v>0</v>
      </c>
      <c r="AY19" s="61">
        <f>SUMIFS('②-2勤務時間数入力'!$AB$7:$AB$106,'②-1職員名簿'!$AZ$7:$AZ$106,"D",'②-1職員名簿'!$W$7:$W$106,AW$5)+SUMIFS('②-2勤務時間数入力'!$AB$7:$AB$106,'②-1職員名簿'!$AZ$7:$AZ$106,"E",'②-1職員名簿'!$W$7:$W$106,AW$5)</f>
        <v>0</v>
      </c>
      <c r="AZ19" s="61">
        <f>COUNTIFS('②-1職員名簿'!CI$7:CI$106,"D",'②-1職員名簿'!$W$7:$W$106,AZ$5,'②-2勤務時間数入力'!$P$7:$P$106,"正")+COUNTIFS('②-1職員名簿'!CI$7:CI$106,"E",'②-1職員名簿'!$W$7:$W$106,AZ$5,'②-2勤務時間数入力'!$P$7:$P$106,"正")</f>
        <v>0</v>
      </c>
      <c r="BA19" s="61">
        <f>COUNTIFS('②-1職員名簿'!$AZ$7:$AZ$106,"D",'②-1職員名簿'!$W$7:$W$106,AZ$5,'②-2勤務時間数入力'!$AB$7:$AB$106,"常")+COUNTIFS('②-1職員名簿'!$AZ$7:$AZ$106,"E",'②-1職員名簿'!$W$7:$W$106,AZ$5,'②-2勤務時間数入力'!$AB$7:$AB$106,"常")</f>
        <v>0</v>
      </c>
      <c r="BB19" s="61">
        <f>SUMIFS('②-2勤務時間数入力'!$AB$7:$AB$106,'②-1職員名簿'!$AZ$7:$AZ$106,"D",'②-1職員名簿'!$W$7:$W$106,AZ$5)+SUMIFS('②-2勤務時間数入力'!$AB$7:$AB$106,'②-1職員名簿'!$AZ$7:$AZ$106,"E",'②-1職員名簿'!$W$7:$W$106,AZ$5)</f>
        <v>0</v>
      </c>
      <c r="BC19" s="180">
        <f t="shared" si="11"/>
        <v>0</v>
      </c>
      <c r="BD19" s="180">
        <f t="shared" si="12"/>
        <v>0</v>
      </c>
      <c r="BE19" s="333" t="e">
        <f t="shared" si="13"/>
        <v>#DIV/0!</v>
      </c>
      <c r="BF19" s="334" t="e">
        <f t="shared" si="14"/>
        <v>#DIV/0!</v>
      </c>
      <c r="BG19" s="219">
        <f>COUNTIFS('②-1職員名簿'!$W$7:$W$106,"園長",'②-1職員名簿'!AZ$7:AZ$106,"D")</f>
        <v>0</v>
      </c>
      <c r="BH19" s="220">
        <f>COUNTIFS('②-1職員名簿'!$W$7:$W$106,"園長",'②-1職員名簿'!$P$7:$P$106,"有",'②-1職員名簿'!AZ$7:AZ$106,"E")</f>
        <v>0</v>
      </c>
      <c r="BI19" s="181" t="e">
        <f t="shared" si="1"/>
        <v>#DIV/0!</v>
      </c>
      <c r="BJ19" s="181" t="e">
        <f t="shared" si="2"/>
        <v>#DIV/0!</v>
      </c>
      <c r="BK19" s="33" t="e">
        <f t="shared" si="3"/>
        <v>#N/A</v>
      </c>
      <c r="BL19" s="179" t="e">
        <f t="shared" si="15"/>
        <v>#N/A</v>
      </c>
    </row>
    <row r="20" spans="1:64" s="33" customFormat="1" ht="36" customHeight="1">
      <c r="A20" s="196">
        <v>3</v>
      </c>
      <c r="B20" s="224">
        <f>'②-2勤務時間数入力'!AH18</f>
        <v>0</v>
      </c>
      <c r="C20" s="223">
        <f>COUNTIFS('②-1職員名簿'!$L$7:$L$106,"有",'②-1職員名簿'!AN$7:AN$106,"○",'②-2勤務時間数入力'!Q$7:Q$106,"正")</f>
        <v>0</v>
      </c>
      <c r="D20" s="223">
        <f>COUNTIFS('②-1職員名簿'!$L$7:$L$106,"有",'②-2勤務時間数入力'!$C$7:$C$106,"常勤的非常勤",'②-2勤務時間数入力'!AC$7:AC$106,"常")</f>
        <v>0</v>
      </c>
      <c r="E20" s="223">
        <f>SUMIFS('②-2勤務時間数入力'!AC$7:AC$106,'②-1職員名簿'!$L$7:$L$106,"有",'②-1職員名簿'!$C$7:$C$106,"パート")</f>
        <v>0</v>
      </c>
      <c r="F20" s="223">
        <f>COUNTIFS('②-1職員名簿'!$L$7:$L$106,"有",'②-2勤務時間数入力'!$C$7:$C$106,"嘱託常勤",'②-2勤務時間数入力'!AC$7:AC$106,"常")</f>
        <v>0</v>
      </c>
      <c r="G20" s="223">
        <f>SUMIFS('②-2勤務時間数入力'!AC$7:AC$106,'②-1職員名簿'!$L$7:$L$106,"有",'②-1職員名簿'!$C$7:$C$106,"嘱託等")</f>
        <v>0</v>
      </c>
      <c r="H20" s="223">
        <f>COUNTIFS('②-1職員名簿'!$M$7:$M$106,"有",'②-1職員名簿'!BA$7:BA$106,"C",'②-2勤務時間数入力'!Q$7:Q$106,"正",'②-1職員名簿'!$L$7:$L$106,"")</f>
        <v>0</v>
      </c>
      <c r="I20" s="223">
        <f>COUNTIFS('②-1職員名簿'!$M$7:$M$106,"有",'②-1職員名簿'!BA$7:BA$106,"C",'②-2勤務時間数入力'!$C$7:$C$106,"常勤的非常勤",'②-2勤務時間数入力'!AC$7:AC$106,"常",'②-1職員名簿'!$L$7:$L$106,"")</f>
        <v>0</v>
      </c>
      <c r="J20" s="223">
        <f>SUMIFS('②-2勤務時間数入力'!AC$7:AC$106,'②-1職員名簿'!$M$7:$M$106,"有",'②-1職員名簿'!BA$7:BA$106,"C",'②-1職員名簿'!$C$7:$C$106,"パート",'②-1職員名簿'!$L$7:$L$106,"")</f>
        <v>0</v>
      </c>
      <c r="K20" s="223">
        <f>COUNTIFS('②-1職員名簿'!$M$7:$M$106,"有",'②-1職員名簿'!BA$7:BA$106,"C",'②-2勤務時間数入力'!$C$7:$C$106,"嘱託常勤",'②-2勤務時間数入力'!AC$7:AC$106,"常",'②-1職員名簿'!$L$7:$L$106,"")</f>
        <v>0</v>
      </c>
      <c r="L20" s="223">
        <f>SUMIFS('②-2勤務時間数入力'!AC$7:AC$106,'②-1職員名簿'!$M$7:$M$106,"有",'②-1職員名簿'!BA$7:BA$106,"C",'②-1職員名簿'!$C$7:$C$106,"嘱託等",'②-1職員名簿'!$L$7:$L$106,"")</f>
        <v>0</v>
      </c>
      <c r="M20" s="223">
        <f>COUNTIFS('②-1職員名簿'!$N$7:$N$106,"有",'②-1職員名簿'!BA$7:BA$106,"C",'②-2勤務時間数入力'!Q$7:Q$106,"正",'②-1職員名簿'!$L$7:$L$106,"",'②-1職員名簿'!$M$7:$M$106,"")</f>
        <v>0</v>
      </c>
      <c r="N20" s="223">
        <f>COUNTIFS('②-1職員名簿'!$N$7:$N$106,"有",'②-1職員名簿'!BA$7:BA$106,"C",'②-2勤務時間数入力'!$C$7:$C$106,"常勤的非常勤",'②-2勤務時間数入力'!AC$7:AC$106,"常",'②-1職員名簿'!$L$7:$L$106,"",'②-1職員名簿'!$M$7:$M$106,"")</f>
        <v>0</v>
      </c>
      <c r="O20" s="223">
        <f>SUMIFS('②-2勤務時間数入力'!AC$7:AC$106,'②-1職員名簿'!$N$7:$N$106,"有",'②-1職員名簿'!BA$7:BA$106,"C",'②-1職員名簿'!$C$7:$C$106,"パート",'②-1職員名簿'!$L$7:$L$106,"",'②-1職員名簿'!$M$7:$M$106,"")</f>
        <v>0</v>
      </c>
      <c r="P20" s="223">
        <f>COUNTIFS('②-1職員名簿'!$N$7:$N$106,"有",'②-1職員名簿'!BA$7:BA$106,"C",'②-2勤務時間数入力'!$C$7:$C$106,"嘱託常勤",'②-2勤務時間数入力'!AC$7:AC$106,"常",'②-1職員名簿'!$L$7:$L$106,"",'②-1職員名簿'!$M$7:$M$106,"")</f>
        <v>0</v>
      </c>
      <c r="Q20" s="223">
        <f>SUMIFS('②-2勤務時間数入力'!AC$7:AC$106,'②-1職員名簿'!$N$7:$N$106,"有",'②-1職員名簿'!BA$7:BA$106,"C",'②-1職員名簿'!$C$7:$C$106,"嘱託等",'②-1職員名簿'!$L$7:$L$106,"",'②-1職員名簿'!$M$7:$M$106,"")</f>
        <v>0</v>
      </c>
      <c r="R20" s="223">
        <f>COUNTIFS('②-1職員名簿'!$W$7:$W$106,"園長",'②-1職員名簿'!BA$7:BA$106,"C")</f>
        <v>0</v>
      </c>
      <c r="S20" s="61">
        <f>COUNTIFS('②-1職員名簿'!BA$7:BA$106,"C",'②-1職員名簿'!$W$7:$W$106,S$5,'②-2勤務時間数入力'!$Q$7:$Q$106,"正")</f>
        <v>0</v>
      </c>
      <c r="T20" s="61">
        <f>COUNTIFS('②-1職員名簿'!$BA$7:$BA$106,"C",'②-1職員名簿'!$W$7:$W$106,S$5,'②-2勤務時間数入力'!$AC$7:$AC$106,"常")</f>
        <v>0</v>
      </c>
      <c r="U20" s="61">
        <f>SUMIFS('②-2勤務時間数入力'!$AC$7:$AC$106,'②-1職員名簿'!$BA$7:$BA$106,"C",'②-1職員名簿'!$W$7:$W$106,S$5)</f>
        <v>0</v>
      </c>
      <c r="V20" s="61">
        <f>COUNTIFS('②-1職員名簿'!BD$7:BD$106,"C",'②-1職員名簿'!$W$7:$W$106,V$5,'②-2勤務時間数入力'!$Q$7:$Q$106,"正")</f>
        <v>0</v>
      </c>
      <c r="W20" s="61">
        <f>COUNTIFS('②-1職員名簿'!$BA$7:$BA$106,"C",'②-1職員名簿'!$W$7:$W$106,V$5,'②-2勤務時間数入力'!$AC$7:$AC$106,"常")</f>
        <v>0</v>
      </c>
      <c r="X20" s="61">
        <f>SUMIFS('②-2勤務時間数入力'!$AC$7:$AC$106,'②-1職員名簿'!$BA$7:$BA$106,"C",'②-1職員名簿'!$W$7:$W$106,V$5)</f>
        <v>0</v>
      </c>
      <c r="Y20" s="226">
        <f t="shared" si="4"/>
        <v>0</v>
      </c>
      <c r="Z20" s="227">
        <f t="shared" si="5"/>
        <v>0</v>
      </c>
      <c r="AA20" s="228" t="e">
        <f t="shared" si="6"/>
        <v>#DIV/0!</v>
      </c>
      <c r="AB20" s="233" t="e">
        <f t="shared" si="0"/>
        <v>#DIV/0!</v>
      </c>
      <c r="AC20" s="323" t="e">
        <f t="shared" si="7"/>
        <v>#DIV/0!</v>
      </c>
      <c r="AD20" s="228" t="e">
        <f t="shared" si="8"/>
        <v>#DIV/0!</v>
      </c>
      <c r="AE20" s="229"/>
      <c r="AF20" s="224" t="e">
        <f t="shared" si="9"/>
        <v>#N/A</v>
      </c>
      <c r="AG20" s="223">
        <f>COUNTIFS('②-1職員名簿'!BA$7:BA$106,"D",'②-2勤務時間数入力'!Q$7:Q$106,"正")</f>
        <v>0</v>
      </c>
      <c r="AH20" s="223">
        <f>COUNTIFS('②-1職員名簿'!BA$7:BA$106,"D",'②-2勤務時間数入力'!$C$7:$C$106,"常勤的非常勤",'②-2勤務時間数入力'!AC$7:AC$106,"常")</f>
        <v>0</v>
      </c>
      <c r="AI20" s="223">
        <f>SUMIFS('②-2勤務時間数入力'!AC$7:AC$106,'②-1職員名簿'!BA$7:BA$106,"D",'②-1職員名簿'!$C$7:$C$106,"パート")</f>
        <v>0</v>
      </c>
      <c r="AJ20" s="223">
        <f>COUNTIFS('②-1職員名簿'!BA$7:BA$106,"D",'②-2勤務時間数入力'!$C$7:$C$106,"嘱託常勤",'②-2勤務時間数入力'!AC$7:AC$106,"常")</f>
        <v>0</v>
      </c>
      <c r="AK20" s="223">
        <f>SUMIFS('②-2勤務時間数入力'!AC$7:AC$106,'②-1職員名簿'!BA$7:BA$106,"D",'②-1職員名簿'!$C$7:$C$106,"嘱託等")</f>
        <v>0</v>
      </c>
      <c r="AL20" s="223">
        <f>COUNTIFS('②-1職員名簿'!$P$7:$P$106,"有",'②-1職員名簿'!BA$7:BA$106,"E",'②-2勤務時間数入力'!Q$7:Q$106,"正",'②-1職員名簿'!$O$7:$O$106,"")</f>
        <v>0</v>
      </c>
      <c r="AM20" s="223">
        <f>COUNTIFS('②-1職員名簿'!$P$7:$P$106,"有",'②-1職員名簿'!BA$7:BA$106,"E",'②-2勤務時間数入力'!$C$7:$C$106,"常勤的非常勤",'②-2勤務時間数入力'!AC$7:AC$106,"常",'②-1職員名簿'!$O$7:$O$106,"")</f>
        <v>0</v>
      </c>
      <c r="AN20" s="223">
        <f>SUMIFS('②-2勤務時間数入力'!AC$7:AC$106,'②-1職員名簿'!BA$7:BA$106,"E",'②-1職員名簿'!$P$7:$P$106,"有",'②-1職員名簿'!$C$7:$C$106,"パート",'②-1職員名簿'!$O$7:$O$106,"")</f>
        <v>0</v>
      </c>
      <c r="AO20" s="223">
        <f>COUNTIFS('②-1職員名簿'!$P$7:$P$106,"有",'②-1職員名簿'!BA$7:BA$106,"E",'②-2勤務時間数入力'!$C$7:$C$106,"嘱託常勤",'②-2勤務時間数入力'!AC$7:AC$106,"常",'②-1職員名簿'!$O$7:$O$106,"")</f>
        <v>0</v>
      </c>
      <c r="AP20" s="223">
        <f>SUMIFS('②-2勤務時間数入力'!AC$7:AC$106,'②-1職員名簿'!BA$7:BA$106,"E",'②-1職員名簿'!$P$7:$P$106,"有",'②-1職員名簿'!$C$7:$C$106,"嘱託等",'②-1職員名簿'!$O$7:$O$106,"")</f>
        <v>0</v>
      </c>
      <c r="AQ20" s="232">
        <f>COUNTIFS('②-1職員名簿'!BA$7:BA$106,"E",'②-2勤務時間数入力'!Q$7:Q$106,"正",'②-1職員名簿'!$P$7:$P$106,"")</f>
        <v>0</v>
      </c>
      <c r="AR20" s="232">
        <f>COUNTIFS('②-1職員名簿'!BA$7:BA$106,"E",'②-2勤務時間数入力'!$C$7:$C$106,"常勤的非常勤",'②-2勤務時間数入力'!AC$7:AC$106,"常",'②-1職員名簿'!$P$7:$P$106,"")</f>
        <v>0</v>
      </c>
      <c r="AS20" s="232">
        <f>SUMIFS('②-2勤務時間数入力'!AC$7:AC$106,'②-1職員名簿'!BA$7:BA$106,"E",'②-1職員名簿'!$C$7:$C$106,"パート",'②-1職員名簿'!$P$7:$P$106,"")</f>
        <v>0</v>
      </c>
      <c r="AT20" s="232">
        <f>COUNTIFS('②-1職員名簿'!BA$7:BA$106,"E",'②-2勤務時間数入力'!$C$7:$C$106,"嘱託常勤",'②-2勤務時間数入力'!AC$7:AC$106,"常",'②-1職員名簿'!$P$7:$P$106,"")</f>
        <v>0</v>
      </c>
      <c r="AU20" s="232">
        <f>SUMIFS('②-2勤務時間数入力'!AC$7:AC$106,'②-1職員名簿'!BA$7:BA$106,"E",'②-1職員名簿'!$C$7:$C$106,"嘱託等",'②-1職員名簿'!$P$7:$P$106,"")</f>
        <v>0</v>
      </c>
      <c r="AV20" s="180">
        <f t="shared" si="10"/>
        <v>0</v>
      </c>
      <c r="AW20" s="61">
        <f>COUNTIFS('②-1職員名簿'!CG$7:CG$106,"D",'②-1職員名簿'!$W$7:$W$106,AW$5,'②-2勤務時間数入力'!$Q$7:$Q$106,"正")+COUNTIFS('②-1職員名簿'!CG$7:CG$106,"E",'②-1職員名簿'!$W$7:$W$106,AW$5,'②-2勤務時間数入力'!$Q$7:$Q$106,"正")</f>
        <v>0</v>
      </c>
      <c r="AX20" s="61">
        <f>COUNTIFS('②-1職員名簿'!$BA$7:$BA$106,"D",'②-1職員名簿'!$W$7:$W$106,AW$5,'②-2勤務時間数入力'!$AC$7:$AC$106,"常")+COUNTIFS('②-1職員名簿'!$BA$7:$BA$106,"E",'②-1職員名簿'!$W$7:$W$106,AW$5,'②-2勤務時間数入力'!$AC$7:$AC$106,"常")</f>
        <v>0</v>
      </c>
      <c r="AY20" s="61">
        <f>SUMIFS('②-2勤務時間数入力'!$AC$7:$AC$106,'②-1職員名簿'!$BA$7:$BA$106,"D",'②-1職員名簿'!$W$7:$W$106,AW$5)+SUMIFS('②-2勤務時間数入力'!$AC$7:$AC$106,'②-1職員名簿'!$BA$7:$BA$106,"E",'②-1職員名簿'!$W$7:$W$106,AW$5)</f>
        <v>0</v>
      </c>
      <c r="AZ20" s="61">
        <f>COUNTIFS('②-1職員名簿'!CJ$7:CJ$106,"D",'②-1職員名簿'!$W$7:$W$106,AZ$5,'②-2勤務時間数入力'!$Q$7:$Q$106,"正")+COUNTIFS('②-1職員名簿'!CJ$7:CJ$106,"E",'②-1職員名簿'!$W$7:$W$106,AZ$5,'②-2勤務時間数入力'!$Q$7:$Q$106,"正")</f>
        <v>0</v>
      </c>
      <c r="BA20" s="61">
        <f>COUNTIFS('②-1職員名簿'!$BA$7:$BA$106,"D",'②-1職員名簿'!$W$7:$W$106,AZ$5,'②-2勤務時間数入力'!$AC$7:$AC$106,"常")+COUNTIFS('②-1職員名簿'!$BA$7:$BA$106,"E",'②-1職員名簿'!$W$7:$W$106,AZ$5,'②-2勤務時間数入力'!$AC$7:$AC$106,"常")</f>
        <v>0</v>
      </c>
      <c r="BB20" s="61">
        <f>SUMIFS('②-2勤務時間数入力'!$AC$7:$AC$106,'②-1職員名簿'!$BA$7:$BA$106,"D",'②-1職員名簿'!$W$7:$W$106,AZ$5)+SUMIFS('②-2勤務時間数入力'!$AC$7:$AC$106,'②-1職員名簿'!$BA$7:$BA$106,"E",'②-1職員名簿'!$W$7:$W$106,AZ$5)</f>
        <v>0</v>
      </c>
      <c r="BC20" s="180">
        <f t="shared" si="11"/>
        <v>0</v>
      </c>
      <c r="BD20" s="180">
        <f t="shared" si="12"/>
        <v>0</v>
      </c>
      <c r="BE20" s="333" t="e">
        <f t="shared" si="13"/>
        <v>#DIV/0!</v>
      </c>
      <c r="BF20" s="334" t="e">
        <f t="shared" si="14"/>
        <v>#DIV/0!</v>
      </c>
      <c r="BG20" s="219">
        <f>COUNTIFS('②-1職員名簿'!$W$7:$W$106,"園長",'②-1職員名簿'!BA$7:BA$106,"D")</f>
        <v>0</v>
      </c>
      <c r="BH20" s="220">
        <f>COUNTIFS('②-1職員名簿'!$W$7:$W$106,"園長",'②-1職員名簿'!$P$7:$P$106,"有",'②-1職員名簿'!BA$7:BA$106,"E")</f>
        <v>0</v>
      </c>
      <c r="BI20" s="181" t="e">
        <f t="shared" si="1"/>
        <v>#DIV/0!</v>
      </c>
      <c r="BJ20" s="181" t="e">
        <f t="shared" si="2"/>
        <v>#DIV/0!</v>
      </c>
      <c r="BK20" s="33" t="e">
        <f t="shared" si="3"/>
        <v>#N/A</v>
      </c>
      <c r="BL20" s="179" t="e">
        <f t="shared" si="15"/>
        <v>#N/A</v>
      </c>
    </row>
    <row r="21" spans="1:64" ht="18.75" customHeight="1">
      <c r="A21" s="34"/>
      <c r="C21" s="38"/>
      <c r="D21" s="46"/>
      <c r="E21" s="46"/>
      <c r="F21" s="46"/>
      <c r="G21" s="46"/>
      <c r="H21" s="38"/>
      <c r="I21" s="46"/>
      <c r="J21" s="46"/>
      <c r="K21" s="46"/>
      <c r="L21" s="46"/>
      <c r="M21" s="38"/>
      <c r="N21" s="46"/>
      <c r="O21" s="46"/>
      <c r="P21" s="46"/>
      <c r="Q21" s="46"/>
      <c r="R21" s="38"/>
      <c r="S21" s="38"/>
      <c r="T21" s="38"/>
      <c r="U21" s="38"/>
      <c r="V21" s="38"/>
      <c r="W21" s="38"/>
      <c r="X21" s="38"/>
      <c r="Y21" s="38"/>
      <c r="Z21" s="38"/>
      <c r="AA21" s="38"/>
      <c r="AB21" s="38"/>
      <c r="AC21" s="38"/>
      <c r="AD21" s="38"/>
      <c r="AE21" s="39"/>
      <c r="AF21" s="42"/>
      <c r="AG21" s="42"/>
      <c r="AH21" s="46"/>
      <c r="AI21" s="46"/>
      <c r="AJ21" s="46"/>
      <c r="AK21" s="46"/>
      <c r="AL21" s="42"/>
      <c r="AM21" s="46"/>
      <c r="AN21" s="46"/>
      <c r="AO21" s="46"/>
      <c r="AP21" s="46"/>
      <c r="AQ21" s="42"/>
      <c r="AR21" s="46"/>
      <c r="AS21" s="46"/>
      <c r="AT21" s="46"/>
      <c r="AU21" s="46"/>
      <c r="AV21" s="42"/>
      <c r="AW21" s="42"/>
      <c r="AX21" s="42"/>
      <c r="AY21" s="42"/>
      <c r="AZ21" s="42"/>
      <c r="BA21" s="42"/>
      <c r="BB21" s="42"/>
      <c r="BC21" s="42"/>
      <c r="BD21" s="46"/>
      <c r="BE21" s="46"/>
      <c r="BF21" s="38"/>
    </row>
    <row r="22" spans="1:64" ht="18.75" customHeight="1">
      <c r="A22" s="41"/>
      <c r="B22" s="42"/>
      <c r="C22" s="38"/>
      <c r="D22" s="38"/>
      <c r="E22" s="38"/>
      <c r="F22" s="38"/>
      <c r="G22" s="38"/>
      <c r="H22" s="38"/>
      <c r="I22" s="38"/>
      <c r="J22" s="38"/>
      <c r="K22" s="38"/>
      <c r="L22" s="38"/>
      <c r="M22" s="38"/>
      <c r="N22" s="38"/>
      <c r="O22" s="38"/>
      <c r="P22" s="38"/>
      <c r="Q22" s="38"/>
      <c r="R22" s="46"/>
      <c r="S22" s="46"/>
      <c r="T22" s="46"/>
      <c r="U22" s="46"/>
      <c r="V22" s="46"/>
      <c r="W22" s="46"/>
      <c r="X22" s="46"/>
      <c r="Y22" s="38"/>
      <c r="Z22" s="42"/>
      <c r="AA22" s="43"/>
      <c r="AB22" s="43"/>
      <c r="AC22" s="43"/>
      <c r="AD22" s="43"/>
      <c r="AE22" s="45"/>
      <c r="AF22" s="46"/>
      <c r="AG22" s="46"/>
      <c r="AH22" s="43"/>
      <c r="AI22" s="43"/>
      <c r="AJ22" s="43"/>
      <c r="AK22" s="43"/>
      <c r="AL22" s="46"/>
      <c r="AM22" s="43"/>
      <c r="AN22" s="43"/>
      <c r="AO22" s="43"/>
      <c r="AP22" s="43"/>
      <c r="AQ22" s="46"/>
      <c r="AR22" s="43"/>
      <c r="AS22" s="43"/>
      <c r="AT22" s="43"/>
      <c r="AU22" s="46"/>
      <c r="AV22" s="46"/>
      <c r="AW22" s="46"/>
      <c r="AX22" s="46"/>
      <c r="AY22" s="46"/>
      <c r="AZ22" s="46"/>
      <c r="BA22" s="46"/>
      <c r="BB22" s="46"/>
      <c r="BC22" s="46"/>
    </row>
    <row r="23" spans="1:64" ht="18.75" customHeight="1">
      <c r="A23" s="41"/>
      <c r="B23" s="46"/>
      <c r="C23" s="46"/>
      <c r="D23" s="38"/>
      <c r="E23" s="38"/>
      <c r="F23" s="38"/>
      <c r="G23" s="38"/>
      <c r="H23" s="46"/>
      <c r="I23" s="645" t="s">
        <v>321</v>
      </c>
      <c r="J23" s="645"/>
      <c r="K23" s="645"/>
      <c r="L23" s="645"/>
      <c r="M23" s="645"/>
      <c r="N23" s="645"/>
      <c r="O23" s="645"/>
      <c r="P23" s="645"/>
      <c r="Q23" s="645"/>
      <c r="R23" s="645"/>
      <c r="S23" s="645"/>
      <c r="T23" s="645"/>
      <c r="U23" s="645"/>
      <c r="V23" s="645"/>
      <c r="W23" s="645"/>
      <c r="X23" s="645"/>
      <c r="Y23" s="645"/>
      <c r="Z23" s="645"/>
      <c r="AA23" s="645"/>
      <c r="AB23" s="644"/>
      <c r="AC23" s="644"/>
      <c r="AD23" s="644"/>
      <c r="AE23" s="644"/>
      <c r="AF23" s="43"/>
      <c r="AG23" s="43"/>
      <c r="AH23" s="42"/>
      <c r="AI23" s="42"/>
      <c r="AJ23" s="42"/>
      <c r="AK23" s="42"/>
      <c r="AL23" s="43"/>
      <c r="AM23" s="42"/>
      <c r="AN23" s="42"/>
      <c r="AO23" s="42"/>
      <c r="AP23" s="42"/>
      <c r="AQ23" s="43"/>
      <c r="AR23" s="42"/>
      <c r="AS23" s="42"/>
      <c r="AT23" s="42"/>
      <c r="AU23" s="38"/>
      <c r="AV23" s="46"/>
      <c r="AW23" s="46"/>
      <c r="AX23" s="46"/>
      <c r="AY23" s="46"/>
      <c r="AZ23" s="46"/>
      <c r="BA23" s="46"/>
      <c r="BB23" s="46"/>
    </row>
    <row r="24" spans="1:64" ht="18.75" customHeight="1">
      <c r="A24" s="41"/>
      <c r="B24" s="43"/>
      <c r="C24" s="38"/>
      <c r="D24" s="38"/>
      <c r="E24" s="38"/>
      <c r="F24" s="38"/>
      <c r="G24" s="38"/>
      <c r="H24" s="38"/>
      <c r="I24" s="645" t="s">
        <v>323</v>
      </c>
      <c r="J24" s="645"/>
      <c r="K24" s="645"/>
      <c r="L24" s="645"/>
      <c r="M24" s="645"/>
      <c r="N24" s="645"/>
      <c r="O24" s="645"/>
      <c r="P24" s="645"/>
      <c r="Q24" s="645"/>
      <c r="R24" s="645"/>
      <c r="S24" s="645"/>
      <c r="T24" s="645"/>
      <c r="U24" s="645"/>
      <c r="V24" s="645"/>
      <c r="W24" s="645"/>
      <c r="X24" s="645"/>
      <c r="Y24" s="645"/>
      <c r="Z24" s="645"/>
      <c r="AA24" s="645"/>
      <c r="AB24" s="644"/>
      <c r="AC24" s="644"/>
      <c r="AD24" s="644"/>
      <c r="AE24" s="644"/>
      <c r="AF24" s="42"/>
      <c r="AG24" s="42"/>
      <c r="AH24" s="42"/>
      <c r="AI24" s="42"/>
      <c r="AJ24" s="42"/>
      <c r="AK24" s="42"/>
      <c r="AL24" s="42"/>
      <c r="AM24" s="42"/>
      <c r="AN24" s="42"/>
      <c r="AO24" s="42"/>
      <c r="AP24" s="42"/>
      <c r="AQ24" s="42"/>
      <c r="AR24" s="42"/>
      <c r="AS24" s="42"/>
      <c r="AT24" s="42"/>
      <c r="AU24" s="42"/>
      <c r="AV24" s="38"/>
      <c r="AW24" s="38"/>
      <c r="AX24" s="38"/>
      <c r="AY24" s="38"/>
      <c r="AZ24" s="38"/>
      <c r="BA24" s="38"/>
      <c r="BB24" s="38"/>
      <c r="BD24" s="42"/>
      <c r="BE24" s="42"/>
      <c r="BF24" s="38"/>
    </row>
    <row r="25" spans="1:64" ht="18.75" customHeight="1">
      <c r="B25" s="42"/>
      <c r="C25" s="38"/>
      <c r="D25" s="38"/>
      <c r="E25" s="38"/>
      <c r="F25" s="38"/>
      <c r="G25" s="38"/>
      <c r="H25" s="38"/>
      <c r="I25" s="645" t="s">
        <v>322</v>
      </c>
      <c r="J25" s="645"/>
      <c r="K25" s="645"/>
      <c r="L25" s="645"/>
      <c r="M25" s="645"/>
      <c r="N25" s="645"/>
      <c r="O25" s="645"/>
      <c r="P25" s="645"/>
      <c r="Q25" s="645"/>
      <c r="R25" s="645"/>
      <c r="S25" s="645"/>
      <c r="T25" s="645"/>
      <c r="U25" s="645"/>
      <c r="V25" s="645"/>
      <c r="W25" s="645"/>
      <c r="X25" s="645"/>
      <c r="Y25" s="645"/>
      <c r="Z25" s="645"/>
      <c r="AA25" s="645"/>
      <c r="AB25" s="644"/>
      <c r="AC25" s="644"/>
      <c r="AD25" s="644"/>
      <c r="AE25" s="644"/>
      <c r="AF25" s="42"/>
      <c r="AG25" s="42"/>
      <c r="AL25" s="42"/>
      <c r="AQ25" s="42"/>
      <c r="AV25" s="42"/>
      <c r="AW25" s="42"/>
      <c r="AX25" s="42"/>
      <c r="AY25" s="42"/>
      <c r="AZ25" s="42"/>
      <c r="BA25" s="42"/>
      <c r="BB25" s="42"/>
      <c r="BC25" s="42"/>
      <c r="BF25" s="38"/>
    </row>
    <row r="26" spans="1:64" ht="18.75" customHeight="1">
      <c r="A26" s="41"/>
      <c r="B26" s="42"/>
      <c r="C26" s="38"/>
      <c r="H26" s="38"/>
      <c r="I26" s="645" t="s">
        <v>324</v>
      </c>
      <c r="J26" s="645"/>
      <c r="K26" s="645"/>
      <c r="L26" s="645"/>
      <c r="M26" s="645"/>
      <c r="N26" s="645"/>
      <c r="O26" s="645"/>
      <c r="P26" s="645"/>
      <c r="Q26" s="645"/>
      <c r="R26" s="645"/>
      <c r="S26" s="645"/>
      <c r="T26" s="645"/>
      <c r="U26" s="645"/>
      <c r="V26" s="645"/>
      <c r="W26" s="645"/>
      <c r="X26" s="645"/>
      <c r="Y26" s="645"/>
      <c r="Z26" s="645"/>
      <c r="AA26" s="645"/>
      <c r="AB26" s="644"/>
      <c r="AC26" s="644"/>
      <c r="AD26" s="644"/>
      <c r="AE26" s="644"/>
      <c r="BF26" s="38"/>
    </row>
    <row r="27" spans="1:64" ht="18.75" customHeight="1">
      <c r="A27" s="35"/>
      <c r="C27" s="38"/>
      <c r="H27" s="38"/>
      <c r="I27" s="645"/>
      <c r="J27" s="645"/>
      <c r="K27" s="645"/>
      <c r="L27" s="645"/>
      <c r="M27" s="645"/>
      <c r="N27" s="645"/>
      <c r="O27" s="645"/>
      <c r="P27" s="645"/>
      <c r="Q27" s="645"/>
      <c r="R27" s="645"/>
      <c r="S27" s="645"/>
      <c r="T27" s="645"/>
      <c r="U27" s="645"/>
      <c r="V27" s="645"/>
      <c r="W27" s="645"/>
      <c r="X27" s="645"/>
      <c r="Y27" s="645"/>
      <c r="Z27" s="645"/>
      <c r="AA27" s="645"/>
      <c r="AB27" s="644"/>
      <c r="AC27" s="644"/>
      <c r="AD27" s="644"/>
      <c r="AE27" s="644"/>
      <c r="AH27" s="54"/>
      <c r="AI27" s="54"/>
      <c r="AJ27" s="54"/>
      <c r="AK27" s="54"/>
      <c r="AM27" s="54"/>
      <c r="AN27" s="54"/>
      <c r="AO27" s="54"/>
      <c r="AP27" s="54"/>
      <c r="AR27" s="54"/>
      <c r="AS27" s="54"/>
    </row>
    <row r="28" spans="1:64" ht="18.75" customHeight="1">
      <c r="AI28" s="54"/>
      <c r="AK28" s="54"/>
      <c r="AL28" s="54"/>
      <c r="AM28" s="54"/>
      <c r="AO28" s="54"/>
      <c r="AQ28" s="54"/>
      <c r="AR28" s="54"/>
    </row>
    <row r="30" spans="1:64" ht="25" customHeight="1">
      <c r="AS30" s="54"/>
    </row>
    <row r="31" spans="1:64" ht="25" customHeight="1">
      <c r="BE31" s="54"/>
    </row>
    <row r="32" spans="1:64" ht="25" customHeight="1">
      <c r="AS32" s="54"/>
    </row>
    <row r="33" spans="45:57" ht="25" customHeight="1">
      <c r="BE33" s="54"/>
    </row>
    <row r="35" spans="45:57" ht="25" customHeight="1">
      <c r="AU35" s="54"/>
    </row>
    <row r="36" spans="45:57" ht="25" customHeight="1">
      <c r="AV36" s="54"/>
      <c r="AW36" s="54"/>
      <c r="AX36" s="54"/>
      <c r="AY36" s="54"/>
      <c r="AZ36" s="54"/>
      <c r="BA36" s="54"/>
      <c r="BB36" s="54"/>
    </row>
    <row r="37" spans="45:57" ht="25" customHeight="1">
      <c r="BE37" s="54"/>
    </row>
    <row r="38" spans="45:57" ht="25" customHeight="1">
      <c r="AS38" s="54"/>
    </row>
    <row r="39" spans="45:57" ht="25" customHeight="1">
      <c r="BE39" s="54"/>
    </row>
    <row r="40" spans="45:57" ht="25" customHeight="1">
      <c r="AS40" s="54"/>
    </row>
    <row r="41" spans="45:57" ht="25" customHeight="1">
      <c r="BE41" s="54"/>
    </row>
    <row r="42" spans="45:57" ht="25" customHeight="1">
      <c r="AS42" s="54"/>
    </row>
    <row r="43" spans="45:57" ht="25" customHeight="1">
      <c r="BE43" s="54"/>
    </row>
    <row r="44" spans="45:57" ht="25" customHeight="1">
      <c r="AS44" s="54"/>
    </row>
    <row r="45" spans="45:57" ht="25" customHeight="1">
      <c r="BE45" s="54"/>
    </row>
    <row r="46" spans="45:57" ht="25" customHeight="1">
      <c r="AS46" s="54"/>
    </row>
    <row r="47" spans="45:57" ht="25" customHeight="1">
      <c r="BE47" s="54"/>
    </row>
    <row r="48" spans="45:57" ht="25" customHeight="1">
      <c r="AS48" s="54"/>
    </row>
    <row r="49" spans="45:57" ht="25" customHeight="1">
      <c r="BE49" s="54"/>
    </row>
    <row r="50" spans="45:57" ht="25" customHeight="1">
      <c r="AS50" s="54"/>
    </row>
    <row r="51" spans="45:57" ht="25" customHeight="1">
      <c r="BE51" s="54"/>
    </row>
  </sheetData>
  <sheetProtection algorithmName="SHA-512" hashValue="Tkffgg0iClCcwONutJ0kWXoKkJ9hkZgt4XyYH9r4V45pXm9YTT8qiSepRoye/HnFh/a8gLwz0d6m9ligSx7M2Q==" saltValue="ViomcTy3LTts9CNFPcderw==" spinCount="100000" sheet="1" objects="1" scenarios="1" selectLockedCells="1"/>
  <mergeCells count="90">
    <mergeCell ref="R4:AB4"/>
    <mergeCell ref="R6:R7"/>
    <mergeCell ref="F6:F7"/>
    <mergeCell ref="H6:H7"/>
    <mergeCell ref="I6:I7"/>
    <mergeCell ref="AA6:AA7"/>
    <mergeCell ref="O6:O7"/>
    <mergeCell ref="G6:G7"/>
    <mergeCell ref="J6:J7"/>
    <mergeCell ref="K6:K7"/>
    <mergeCell ref="L6:L7"/>
    <mergeCell ref="M6:M7"/>
    <mergeCell ref="N6:N7"/>
    <mergeCell ref="S5:U5"/>
    <mergeCell ref="S6:S7"/>
    <mergeCell ref="T6:T7"/>
    <mergeCell ref="A4:A8"/>
    <mergeCell ref="B4:B7"/>
    <mergeCell ref="C4:G4"/>
    <mergeCell ref="H4:L4"/>
    <mergeCell ref="M4:Q4"/>
    <mergeCell ref="C5:E5"/>
    <mergeCell ref="F5:G5"/>
    <mergeCell ref="H5:J5"/>
    <mergeCell ref="C6:C7"/>
    <mergeCell ref="D6:D7"/>
    <mergeCell ref="P6:P7"/>
    <mergeCell ref="Q6:Q7"/>
    <mergeCell ref="E6:E7"/>
    <mergeCell ref="K5:L5"/>
    <mergeCell ref="M5:O5"/>
    <mergeCell ref="P5:Q5"/>
    <mergeCell ref="AP2:AQ2"/>
    <mergeCell ref="AR2:BF2"/>
    <mergeCell ref="AC4:AD5"/>
    <mergeCell ref="AF4:AF6"/>
    <mergeCell ref="AG4:AK4"/>
    <mergeCell ref="AL4:AP4"/>
    <mergeCell ref="AQ4:AU4"/>
    <mergeCell ref="BC4:BF5"/>
    <mergeCell ref="AT5:AU5"/>
    <mergeCell ref="AO5:AP5"/>
    <mergeCell ref="AQ5:AS5"/>
    <mergeCell ref="AL5:AN5"/>
    <mergeCell ref="BD6:BD7"/>
    <mergeCell ref="BE6:BE7"/>
    <mergeCell ref="AG5:AI5"/>
    <mergeCell ref="AC6:AD6"/>
    <mergeCell ref="AG6:AG7"/>
    <mergeCell ref="Y6:Y7"/>
    <mergeCell ref="Z6:Z7"/>
    <mergeCell ref="AB5:AB8"/>
    <mergeCell ref="Y5:AA5"/>
    <mergeCell ref="AC7:AC8"/>
    <mergeCell ref="AD7:AD8"/>
    <mergeCell ref="BK4:BL5"/>
    <mergeCell ref="BF6:BF8"/>
    <mergeCell ref="AN6:AN7"/>
    <mergeCell ref="AO6:AO7"/>
    <mergeCell ref="AP6:AP7"/>
    <mergeCell ref="AQ6:AQ7"/>
    <mergeCell ref="AR6:AR7"/>
    <mergeCell ref="AS6:AS7"/>
    <mergeCell ref="AT6:AT7"/>
    <mergeCell ref="AU6:AU7"/>
    <mergeCell ref="BC6:BC7"/>
    <mergeCell ref="BI4:BJ5"/>
    <mergeCell ref="BA6:BA7"/>
    <mergeCell ref="BB6:BB7"/>
    <mergeCell ref="AI6:AI7"/>
    <mergeCell ref="AJ5:AK5"/>
    <mergeCell ref="AH6:AH7"/>
    <mergeCell ref="AJ6:AJ7"/>
    <mergeCell ref="BG4:BH5"/>
    <mergeCell ref="AL6:AL7"/>
    <mergeCell ref="AM6:AM7"/>
    <mergeCell ref="AK6:AK7"/>
    <mergeCell ref="AV4:BB4"/>
    <mergeCell ref="AW5:AY5"/>
    <mergeCell ref="AZ5:BB5"/>
    <mergeCell ref="AV6:AV7"/>
    <mergeCell ref="AW6:AW7"/>
    <mergeCell ref="AX6:AX7"/>
    <mergeCell ref="AY6:AY7"/>
    <mergeCell ref="AZ6:AZ7"/>
    <mergeCell ref="U6:U7"/>
    <mergeCell ref="V5:X5"/>
    <mergeCell ref="V6:V7"/>
    <mergeCell ref="W6:W7"/>
    <mergeCell ref="X6:X7"/>
  </mergeCells>
  <phoneticPr fontId="1"/>
  <dataValidations count="3">
    <dataValidation allowBlank="1" showErrorMessage="1" sqref="AH9:AK25 D9:G25 B9:C26 H9:H26 AM17:AP25 AL17:AL26 AR17:AU25 AQ17:AQ26 BD9:BF25 AL9:AU16 AV9:BC26 AF9:AG26 I9:AE22" xr:uid="{4C71D05B-CA18-43DF-A235-17BDBC54F4DE}"/>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B131103:B131114 B196639:B196650 B262175:B262186 B327711:B327722 B393247:B393258 B458783:B458794 B524319:B524330 B589855:B589866 B655391:B655402 B720927:B720938 B786463:B786474 B851999:B852010 B917535:B917546 B983071:B983082 B65567:B65578" xr:uid="{CC3C42A0-5AD4-4B7A-B8A0-B2DFE3CBDF51}"/>
    <dataValidation allowBlank="1" showInputMessage="1" showErrorMessage="1" promptTitle="実際の人数（保健師・看護師・准看護師）" prompt="乳児が４人以上いる場合で、保健師・看護師・准看護師を保育士とみなす場合はここに入力。_x000a_常勤的非常勤→準保育士と同義です。_x000a_準看護師は、平成27年6月28日以前に勤務していた分は算定できませんのでご注意ください。" sqref="AG65567:AG65578 AG131103:AG131114 AG196639:AG196650 AG262175:AG262186 AG327711:AG327722 AG393247:AG393258 AG458783:AG458794 AG524319:AG524330 AG589855:AG589866 AG655391:AG655402 AG720927:AG720938 AG786463:AG786474 AG851999:AG852010 AG917535:AG917546 AG983071:AG983082 AI983071:AI983082 AH983069:AH983080 AI917535:AI917546 AH917533:AH917544 AI851999:AI852010 AH851997:AH852008 AI786463:AI786474 AH786461:AH786472 AI720927:AI720938 AH720925:AH720936 AI655391:AI655402 AH655389:AH655400 AI589855:AI589866 AH589853:AH589864 AI524319:AI524330 AH524317:AH524328 AI458783:AI458794 AH458781:AH458792 AI393247:AI393258 AH393245:AH393256 AI327711:AI327722 AH327709:AH327720 AI262175:AI262186 AH262173:AH262184 AI196639:AI196650 AH196637:AH196648 AI131103:AI131114 AH131101:AH131112 AI65567:AI65578 AH65565:AH65576 AK65567:AK65578 AJ65565:AJ65576 AK131103:AK131114 AJ131101:AJ131112 AK196639:AK196650 AJ196637:AJ196648 AK262175:AK262186 AJ262173:AJ262184 AK327711:AK327722 AJ327709:AJ327720 AK393247:AK393258 AJ393245:AJ393256 AK458783:AK458794 AJ458781:AJ458792 AK524319:AK524330 AJ524317:AJ524328 AK589855:AK589866 AJ589853:AJ589864 AK655391:AK655402 AJ655389:AJ655400 AK720927:AK720938 AJ720925:AJ720936 AK786463:AK786474 AJ786461:AJ786472 AK851999:AK852010 AJ851997:AJ852008 AK917535:AK917546 AJ917533:AJ917544 AK983071:AK983082 AJ983069:AJ983080 AL983070:AR983081 AL917534:AR917545 AL851998:AR852009 AL786462:AR786473 AL720926:AR720937 AL655390:AR655401 AL589854:AR589865 AL524318:AR524329 AL458782:AR458793 AL393246:AR393257 AL327710:AR327721 AL262174:AR262185 AL196638:AR196649 AL131102:AR131113 AL65566:AR65577 AT65566:AT65577 AS65565:AS65576 AT131102:AT131113 AS131101:AS131112 AT196638:AT196649 AS196637:AS196648 AT262174:AT262185 AS262173:AS262184 AT327710:AT327721 AS327709:AS327720 AT393246:AT393257 AS393245:AS393256 AT458782:AT458793 AS458781:AS458792 AT524318:AT524329 AS524317:AS524328 AT589854:AT589865 AS589853:AS589864 AT655390:AT655401 AS655389:AS655400 AT720926:AT720937 AS720925:AS720936 AT786462:AT786473 AS786461:AS786472 AT851998:AT852009 AS851997:AS852008 AT917534:AT917545 AS917533:AS917544 AT983070:AT983081 AS983069:AS983080 BC983071:BC983082 BD983069:BD983080 BC917535:BC917546 BD917533:BD917544 BC851999:BC852010 BD851997:BD852008 BC786463:BC786474 BD786461:BD786472 BC720927:BC720938 BD720925:BD720936 BC655391:BC655402 BD655389:BD655400 BC589855:BC589866 BD589853:BD589864 BC524319:BC524330 BD524317:BD524328 BC458783:BC458794 BD458781:BD458792 BC393247:BC393258 BD393245:BD393256 BC327711:BC327722 BD327709:BD327720 BC262175:BC262186 BD262173:BD262184 BC196639:BC196650 BD196637:BD196648 BC131103:BC131114 BD131101:BD131112 BC65567:BC65578 BD65565:BD65576 AU65565:AU65576 AV65566:BB65577 AU131101:AU131112 AV131102:BB131113 AU196637:AU196648 AV196638:BB196649 AU262173:AU262184 AV262174:BB262185 AU327709:AU327720 AV327710:BB327721 AU393245:AU393256 AV393246:BB393257 AU458781:AU458792 AV458782:BB458793 AU524317:AU524328 AV524318:BB524329 AU589853:AU589864 AV589854:BB589865 AU655389:AU655400 AV655390:BB655401 AU720925:AU720936 AV720926:BB720937 AU786461:AU786472 AV786462:BB786473 AU851997:AU852008 AV851998:BB852009 AU917533:AU917544 AV917534:BB917545 AU983069:AU983080 AV983070:BB983081" xr:uid="{3DCE30D1-8CA6-41DD-AE16-43A9A5D5FCE6}"/>
  </dataValidations>
  <printOptions horizontalCentered="1"/>
  <pageMargins left="0.51181102362204722" right="0.39370078740157483" top="0.51181102362204722" bottom="0.51181102362204722" header="0.51181102362204722" footer="0.51181102362204722"/>
  <pageSetup paperSize="9" scale="48" orientation="landscape" r:id="rId1"/>
  <headerFooter alignWithMargins="0"/>
  <rowBreaks count="1" manualBreakCount="1">
    <brk id="20" max="4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98794-8D0F-48E3-9727-30CC579A7335}">
  <sheetPr>
    <tabColor rgb="FF00B050"/>
  </sheetPr>
  <dimension ref="A1:X28"/>
  <sheetViews>
    <sheetView showGridLines="0" zoomScale="85" zoomScaleNormal="85" zoomScaleSheetLayoutView="85" workbookViewId="0">
      <selection activeCell="Z25" sqref="Z25"/>
    </sheetView>
  </sheetViews>
  <sheetFormatPr defaultColWidth="9" defaultRowHeight="25" customHeight="1"/>
  <cols>
    <col min="1" max="1" width="5.33203125" style="36" customWidth="1"/>
    <col min="2" max="22" width="4.58203125" style="36" customWidth="1"/>
    <col min="23" max="23" width="9" style="36"/>
    <col min="24" max="25" width="9" style="36" customWidth="1"/>
    <col min="26" max="16384" width="9" style="36"/>
  </cols>
  <sheetData>
    <row r="1" spans="1:23" s="20" customFormat="1" ht="25" customHeight="1">
      <c r="A1" s="19" t="s">
        <v>89</v>
      </c>
      <c r="B1" s="19"/>
    </row>
    <row r="2" spans="1:23" s="19" customFormat="1" ht="25" customHeight="1">
      <c r="A2" s="19" t="s">
        <v>636</v>
      </c>
      <c r="L2" s="823" t="s">
        <v>117</v>
      </c>
      <c r="M2" s="823"/>
      <c r="N2" s="831">
        <f>①基本情報!D6</f>
        <v>0</v>
      </c>
      <c r="O2" s="831"/>
      <c r="P2" s="831"/>
      <c r="Q2" s="831"/>
      <c r="R2" s="831"/>
      <c r="S2" s="831"/>
      <c r="T2" s="831"/>
      <c r="U2" s="831"/>
      <c r="V2" s="831"/>
      <c r="W2" s="19" t="s">
        <v>118</v>
      </c>
    </row>
    <row r="3" spans="1:23" s="19" customFormat="1" ht="11.25" customHeight="1"/>
    <row r="4" spans="1:23" s="24" customFormat="1" ht="25" customHeight="1">
      <c r="A4" s="794" t="s">
        <v>119</v>
      </c>
      <c r="B4" s="817" t="s">
        <v>121</v>
      </c>
      <c r="C4" s="794" t="s">
        <v>540</v>
      </c>
      <c r="D4" s="794"/>
      <c r="E4" s="794"/>
      <c r="F4" s="794"/>
      <c r="G4" s="794"/>
      <c r="H4" s="794" t="s">
        <v>542</v>
      </c>
      <c r="I4" s="794"/>
      <c r="J4" s="794"/>
      <c r="K4" s="794"/>
      <c r="L4" s="794"/>
      <c r="M4" s="794" t="s">
        <v>705</v>
      </c>
      <c r="N4" s="794"/>
      <c r="O4" s="794"/>
      <c r="P4" s="794"/>
      <c r="Q4" s="794"/>
      <c r="R4" s="794" t="s">
        <v>181</v>
      </c>
      <c r="S4" s="794"/>
      <c r="T4" s="794"/>
      <c r="U4" s="794"/>
      <c r="V4" s="794"/>
    </row>
    <row r="5" spans="1:23" s="23" customFormat="1" ht="27" customHeight="1">
      <c r="A5" s="794"/>
      <c r="B5" s="817"/>
      <c r="C5" s="794" t="s">
        <v>126</v>
      </c>
      <c r="D5" s="794"/>
      <c r="E5" s="794"/>
      <c r="F5" s="794" t="s">
        <v>516</v>
      </c>
      <c r="G5" s="794"/>
      <c r="H5" s="794" t="s">
        <v>126</v>
      </c>
      <c r="I5" s="794"/>
      <c r="J5" s="794"/>
      <c r="K5" s="794" t="s">
        <v>516</v>
      </c>
      <c r="L5" s="794"/>
      <c r="M5" s="794" t="s">
        <v>126</v>
      </c>
      <c r="N5" s="794"/>
      <c r="O5" s="794"/>
      <c r="P5" s="794" t="s">
        <v>516</v>
      </c>
      <c r="Q5" s="794"/>
      <c r="R5" s="25" t="s">
        <v>55</v>
      </c>
      <c r="S5" s="794" t="s">
        <v>131</v>
      </c>
      <c r="T5" s="794"/>
      <c r="U5" s="794"/>
      <c r="V5" s="794" t="s">
        <v>144</v>
      </c>
    </row>
    <row r="6" spans="1:23" s="23" customFormat="1" ht="68.25" customHeight="1">
      <c r="A6" s="794"/>
      <c r="B6" s="817"/>
      <c r="C6" s="806" t="s">
        <v>135</v>
      </c>
      <c r="D6" s="806" t="s">
        <v>136</v>
      </c>
      <c r="E6" s="806" t="s">
        <v>142</v>
      </c>
      <c r="F6" s="818" t="s">
        <v>138</v>
      </c>
      <c r="G6" s="818" t="s">
        <v>139</v>
      </c>
      <c r="H6" s="806" t="s">
        <v>135</v>
      </c>
      <c r="I6" s="806" t="s">
        <v>136</v>
      </c>
      <c r="J6" s="806" t="s">
        <v>142</v>
      </c>
      <c r="K6" s="818" t="s">
        <v>138</v>
      </c>
      <c r="L6" s="818" t="s">
        <v>139</v>
      </c>
      <c r="M6" s="806" t="s">
        <v>135</v>
      </c>
      <c r="N6" s="806" t="s">
        <v>136</v>
      </c>
      <c r="O6" s="806" t="s">
        <v>142</v>
      </c>
      <c r="P6" s="818" t="s">
        <v>138</v>
      </c>
      <c r="Q6" s="818" t="s">
        <v>139</v>
      </c>
      <c r="R6" s="839" t="s">
        <v>140</v>
      </c>
      <c r="S6" s="806" t="s">
        <v>135</v>
      </c>
      <c r="T6" s="806" t="s">
        <v>141</v>
      </c>
      <c r="U6" s="818" t="s">
        <v>217</v>
      </c>
      <c r="V6" s="794"/>
    </row>
    <row r="7" spans="1:23" s="23" customFormat="1" ht="60" customHeight="1">
      <c r="A7" s="794"/>
      <c r="B7" s="817"/>
      <c r="C7" s="806"/>
      <c r="D7" s="806"/>
      <c r="E7" s="806"/>
      <c r="F7" s="818"/>
      <c r="G7" s="818"/>
      <c r="H7" s="806"/>
      <c r="I7" s="806"/>
      <c r="J7" s="806"/>
      <c r="K7" s="818"/>
      <c r="L7" s="818"/>
      <c r="M7" s="806"/>
      <c r="N7" s="806"/>
      <c r="O7" s="806"/>
      <c r="P7" s="818"/>
      <c r="Q7" s="818"/>
      <c r="R7" s="839"/>
      <c r="S7" s="806"/>
      <c r="T7" s="806"/>
      <c r="U7" s="819"/>
      <c r="V7" s="794"/>
    </row>
    <row r="8" spans="1:23" s="23" customFormat="1" ht="38.25" customHeight="1">
      <c r="A8" s="794"/>
      <c r="B8" s="31" t="s">
        <v>156</v>
      </c>
      <c r="C8" s="30" t="s">
        <v>221</v>
      </c>
      <c r="D8" s="30" t="s">
        <v>222</v>
      </c>
      <c r="E8" s="30" t="s">
        <v>223</v>
      </c>
      <c r="F8" s="30" t="s">
        <v>76</v>
      </c>
      <c r="G8" s="30" t="s">
        <v>77</v>
      </c>
      <c r="H8" s="30" t="s">
        <v>78</v>
      </c>
      <c r="I8" s="30" t="s">
        <v>79</v>
      </c>
      <c r="J8" s="30" t="s">
        <v>80</v>
      </c>
      <c r="K8" s="30" t="s">
        <v>224</v>
      </c>
      <c r="L8" s="30" t="s">
        <v>190</v>
      </c>
      <c r="M8" s="30" t="s">
        <v>225</v>
      </c>
      <c r="N8" s="30" t="s">
        <v>226</v>
      </c>
      <c r="O8" s="30" t="s">
        <v>227</v>
      </c>
      <c r="P8" s="30" t="s">
        <v>228</v>
      </c>
      <c r="Q8" s="30" t="s">
        <v>229</v>
      </c>
      <c r="R8" s="30" t="s">
        <v>230</v>
      </c>
      <c r="S8" s="30" t="s">
        <v>231</v>
      </c>
      <c r="T8" s="30" t="s">
        <v>232</v>
      </c>
      <c r="U8" s="30" t="s">
        <v>233</v>
      </c>
      <c r="V8" s="794"/>
    </row>
    <row r="9" spans="1:23" s="33" customFormat="1" ht="37.5" customHeight="1">
      <c r="A9" s="127">
        <v>4</v>
      </c>
      <c r="B9" s="128">
        <f>'②-2勤務時間数入力'!AH7</f>
        <v>0</v>
      </c>
      <c r="C9" s="223">
        <f>COUNTIFS('②-1職員名簿'!AP$7:AP$106,"F",'②-2勤務時間数入力'!F$7:F$106,"正",'②-1職員名簿'!$W$7:$W$106,'②-1職員名簿'!$S$132)</f>
        <v>0</v>
      </c>
      <c r="D9" s="223">
        <f>COUNTIFS('②-1職員名簿'!AP$7:AP$106,"F",'②-2勤務時間数入力'!$C$7:$C$106,"常勤的非常勤",'②-2勤務時間数入力'!R$7:R$106,"常",'②-1職員名簿'!$W$7:$W$106,'②-1職員名簿'!$S$132)</f>
        <v>0</v>
      </c>
      <c r="E9" s="223">
        <f>SUMIFS('②-2勤務時間数入力'!R$7:R$106,'②-1職員名簿'!AP$7:AP$106,"F",'②-1職員名簿'!$C$7:$C$106,"パート",'②-1職員名簿'!$W$7:$W$106,'②-1職員名簿'!$S$132)</f>
        <v>0</v>
      </c>
      <c r="F9" s="223">
        <f>COUNTIFS('②-1職員名簿'!AP$7:AP$106,"F",'②-2勤務時間数入力'!$C$7:$C$106,"嘱託常勤",'②-2勤務時間数入力'!R$7:R$106,"常",'②-1職員名簿'!$W$7:$W$106,'②-1職員名簿'!$S$132)</f>
        <v>0</v>
      </c>
      <c r="G9" s="223">
        <f>SUMIFS('②-2勤務時間数入力'!R$7:R$106,'②-1職員名簿'!AP$7:AP$106,"F",'②-1職員名簿'!$C$7:$C$106,"嘱託等",'②-1職員名簿'!$W$7:$W$106,'②-1職員名簿'!$S$132)</f>
        <v>0</v>
      </c>
      <c r="H9" s="223">
        <f>COUNTIFS('②-1職員名簿'!AP$7:AP$106,"F",'②-2勤務時間数入力'!F$7:F$106,"正",'②-1職員名簿'!$W$7:$W$106,'②-1職員名簿'!$S$133)</f>
        <v>0</v>
      </c>
      <c r="I9" s="223">
        <f>COUNTIFS('②-1職員名簿'!AP$7:AP$106,"F",'②-2勤務時間数入力'!$C$7:$C$106,"常勤的非常勤",'②-2勤務時間数入力'!R$7:R$106,"常",'②-1職員名簿'!$W$7:$W$106,'②-1職員名簿'!$S$133)</f>
        <v>0</v>
      </c>
      <c r="J9" s="223">
        <f>SUMIFS('②-2勤務時間数入力'!R$7:R$106,'②-1職員名簿'!AP$7:AP$106,"F",'②-1職員名簿'!$C$7:$C$106,"パート",'②-1職員名簿'!$W$7:$W$106,'②-1職員名簿'!$S$133)</f>
        <v>0</v>
      </c>
      <c r="K9" s="223">
        <f>COUNTIFS('②-1職員名簿'!AP$7:AP$106,"F",'②-2勤務時間数入力'!$C$7:$C$106,"嘱託常勤",'②-2勤務時間数入力'!R$7:R$106,"常",'②-1職員名簿'!$W$7:$W$106,'②-1職員名簿'!$S$133)</f>
        <v>0</v>
      </c>
      <c r="L9" s="223">
        <f>SUMIFS('②-2勤務時間数入力'!R$7:R$106,'②-1職員名簿'!AP$7:AP$106,"F",'②-1職員名簿'!$C$7:$C$106,"嘱託等",'②-1職員名簿'!$W$7:$W$106,'②-1職員名簿'!$S$133)</f>
        <v>0</v>
      </c>
      <c r="M9" s="223">
        <f>COUNTIFS('②-1職員名簿'!AP$7:AP$106,"F",'②-2勤務時間数入力'!F$7:F$106,"正",'②-1職員名簿'!$W$7:$W$106,'②-1職員名簿'!$S$131)</f>
        <v>0</v>
      </c>
      <c r="N9" s="223">
        <f>COUNTIFS('②-1職員名簿'!AP$7:AP$106,"F",'②-2勤務時間数入力'!$C$7:$C$106,"常勤的非常勤",'②-2勤務時間数入力'!R$7:R$106,"常",'②-1職員名簿'!$W$7:$W$106,'②-1職員名簿'!$S$131)</f>
        <v>0</v>
      </c>
      <c r="O9" s="223">
        <f>SUMIFS('②-2勤務時間数入力'!R$7:R$106,'②-1職員名簿'!AP$7:AP$106,"F",'②-1職員名簿'!$C$7:$C$106,"パート",'②-1職員名簿'!$W$7:$W$106,'②-1職員名簿'!$S$131)</f>
        <v>0</v>
      </c>
      <c r="P9" s="223">
        <f>COUNTIFS('②-1職員名簿'!AP$7:AP$106,"F",'②-2勤務時間数入力'!$C$7:$C$106,"嘱託常勤",'②-2勤務時間数入力'!R$7:R$106,"常",'②-1職員名簿'!$W$7:$W$106,'②-1職員名簿'!$S$131)</f>
        <v>0</v>
      </c>
      <c r="Q9" s="223">
        <f>SUMIFS('②-2勤務時間数入力'!R$7:R$106,'②-1職員名簿'!AP$7:AP$106,"F",'②-1職員名簿'!$C$7:$C$106,"嘱託等",'②-1職員名簿'!$W$7:$W$106,'②-1職員名簿'!$S$131)</f>
        <v>0</v>
      </c>
      <c r="R9" s="225">
        <f>COUNTIFS('②-1職員名簿'!$W$7:$W$106,"園長",'②-1職員名簿'!AP$7:AP$106,"F")</f>
        <v>0</v>
      </c>
      <c r="S9" s="131">
        <f>C9+H9+M9-R9</f>
        <v>0</v>
      </c>
      <c r="T9" s="130">
        <f>D9+F9+I9+K9+N9+P9</f>
        <v>0</v>
      </c>
      <c r="U9" s="135" t="e">
        <f>ROUNDDOWN((E9+G9+J9+L9+O9+Q9)/B9,3)</f>
        <v>#DIV/0!</v>
      </c>
      <c r="V9" s="135" t="e">
        <f>+S9+T9+U9</f>
        <v>#DIV/0!</v>
      </c>
    </row>
    <row r="10" spans="1:23" s="33" customFormat="1" ht="36" customHeight="1">
      <c r="A10" s="196">
        <v>5</v>
      </c>
      <c r="B10" s="128">
        <f>'②-2勤務時間数入力'!AH8</f>
        <v>0</v>
      </c>
      <c r="C10" s="223">
        <f>COUNTIFS('②-1職員名簿'!AQ$7:AQ$106,"F",'②-2勤務時間数入力'!G$7:G$106,"正",'②-1職員名簿'!$W$7:$W$106,'②-1職員名簿'!$S$132)</f>
        <v>0</v>
      </c>
      <c r="D10" s="223">
        <f>COUNTIFS('②-1職員名簿'!AQ$7:AQ$106,"F",'②-2勤務時間数入力'!$C$7:$C$106,"常勤的非常勤",'②-2勤務時間数入力'!S$7:S$106,"常",'②-1職員名簿'!$W$7:$W$106,'②-1職員名簿'!$S$132)</f>
        <v>0</v>
      </c>
      <c r="E10" s="223">
        <f>SUMIFS('②-2勤務時間数入力'!S$7:S$106,'②-1職員名簿'!AQ$7:AQ$106,"F",'②-1職員名簿'!$C$7:$C$106,"パート",'②-1職員名簿'!$W$7:$W$106,'②-1職員名簿'!$S$132)</f>
        <v>0</v>
      </c>
      <c r="F10" s="223">
        <f>COUNTIFS('②-1職員名簿'!AQ$7:AQ$106,"F",'②-2勤務時間数入力'!$C$7:$C$106,"嘱託常勤",'②-2勤務時間数入力'!S$7:S$106,"常",'②-1職員名簿'!$W$7:$W$106,'②-1職員名簿'!$S$132)</f>
        <v>0</v>
      </c>
      <c r="G10" s="223">
        <f>SUMIFS('②-2勤務時間数入力'!S$7:S$106,'②-1職員名簿'!AQ$7:AQ$106,"F",'②-1職員名簿'!$C$7:$C$106,"嘱託等",'②-1職員名簿'!$W$7:$W$106,'②-1職員名簿'!$S$132)</f>
        <v>0</v>
      </c>
      <c r="H10" s="223">
        <f>COUNTIFS('②-1職員名簿'!AQ$7:AQ$106,"F",'②-2勤務時間数入力'!G$7:G$106,"正",'②-1職員名簿'!$W$7:$W$106,'②-1職員名簿'!$S$133)</f>
        <v>0</v>
      </c>
      <c r="I10" s="223">
        <f>COUNTIFS('②-1職員名簿'!AQ$7:AQ$106,"F",'②-2勤務時間数入力'!$C$7:$C$106,"常勤的非常勤",'②-2勤務時間数入力'!S$7:S$106,"常",'②-1職員名簿'!$W$7:$W$106,'②-1職員名簿'!$S$133)</f>
        <v>0</v>
      </c>
      <c r="J10" s="223">
        <f>SUMIFS('②-2勤務時間数入力'!S$7:S$106,'②-1職員名簿'!AQ$7:AQ$106,"F",'②-1職員名簿'!$C$7:$C$106,"パート",'②-1職員名簿'!$W$7:$W$106,'②-1職員名簿'!$S$133)</f>
        <v>0</v>
      </c>
      <c r="K10" s="223">
        <f>COUNTIFS('②-1職員名簿'!AQ$7:AQ$106,"F",'②-2勤務時間数入力'!$C$7:$C$106,"嘱託常勤",'②-2勤務時間数入力'!S$7:S$106,"常",'②-1職員名簿'!$W$7:$W$106,'②-1職員名簿'!$S$133)</f>
        <v>0</v>
      </c>
      <c r="L10" s="223">
        <f>SUMIFS('②-2勤務時間数入力'!S$7:S$106,'②-1職員名簿'!AQ$7:AQ$106,"F",'②-1職員名簿'!$C$7:$C$106,"嘱託等",'②-1職員名簿'!$W$7:$W$106,'②-1職員名簿'!$S$133)</f>
        <v>0</v>
      </c>
      <c r="M10" s="223">
        <f>COUNTIFS('②-1職員名簿'!AQ$7:AQ$106,"F",'②-2勤務時間数入力'!G$7:G$106,"正",'②-1職員名簿'!$W$7:$W$106,'②-1職員名簿'!$S$131)</f>
        <v>0</v>
      </c>
      <c r="N10" s="223">
        <f>COUNTIFS('②-1職員名簿'!AQ$7:AQ$106,"F",'②-2勤務時間数入力'!$C$7:$C$106,"常勤的非常勤",'②-2勤務時間数入力'!S$7:S$106,"常",'②-1職員名簿'!$W$7:$W$106,'②-1職員名簿'!$S$131)</f>
        <v>0</v>
      </c>
      <c r="O10" s="223">
        <f>SUMIFS('②-2勤務時間数入力'!S$7:S$106,'②-1職員名簿'!AQ$7:AQ$106,"F",'②-1職員名簿'!$C$7:$C$106,"パート",'②-1職員名簿'!$W$7:$W$106,'②-1職員名簿'!$S$131)</f>
        <v>0</v>
      </c>
      <c r="P10" s="223">
        <f>COUNTIFS('②-1職員名簿'!AQ$7:AQ$106,"F",'②-2勤務時間数入力'!$C$7:$C$106,"嘱託常勤",'②-2勤務時間数入力'!S$7:S$106,"常",'②-1職員名簿'!$W$7:$W$106,'②-1職員名簿'!$S$131)</f>
        <v>0</v>
      </c>
      <c r="Q10" s="223">
        <f>SUMIFS('②-2勤務時間数入力'!S$7:S$106,'②-1職員名簿'!AQ$7:AQ$106,"F",'②-1職員名簿'!$C$7:$C$106,"嘱託等",'②-1職員名簿'!$W$7:$W$106,'②-1職員名簿'!$S$131)</f>
        <v>0</v>
      </c>
      <c r="R10" s="225">
        <f>COUNTIFS('②-1職員名簿'!$W$7:$W$106,"園長",'②-1職員名簿'!AQ$7:AQ$106,"F")</f>
        <v>0</v>
      </c>
      <c r="S10" s="131">
        <f t="shared" ref="S10:S20" si="0">C10+H10+M10-R10</f>
        <v>0</v>
      </c>
      <c r="T10" s="130">
        <f t="shared" ref="T10:T20" si="1">D10+F10+I10+K10+N10+P10</f>
        <v>0</v>
      </c>
      <c r="U10" s="135" t="e">
        <f t="shared" ref="U10:U20" si="2">ROUNDDOWN((E10+G10+J10+L10+O10+Q10)/B10,3)</f>
        <v>#DIV/0!</v>
      </c>
      <c r="V10" s="135" t="e">
        <f t="shared" ref="V10:V20" si="3">+S10+T10+U10</f>
        <v>#DIV/0!</v>
      </c>
    </row>
    <row r="11" spans="1:23" s="33" customFormat="1" ht="36" customHeight="1">
      <c r="A11" s="196">
        <v>6</v>
      </c>
      <c r="B11" s="128">
        <f>'②-2勤務時間数入力'!AH9</f>
        <v>0</v>
      </c>
      <c r="C11" s="223">
        <f>COUNTIFS('②-1職員名簿'!AR$7:AR$106,"F",'②-2勤務時間数入力'!H$7:H$106,"正",'②-1職員名簿'!$W$7:$W$106,'②-1職員名簿'!$S$132)</f>
        <v>0</v>
      </c>
      <c r="D11" s="223">
        <f>COUNTIFS('②-1職員名簿'!AR$7:AR$106,"F",'②-2勤務時間数入力'!$C$7:$C$106,"常勤的非常勤",'②-2勤務時間数入力'!T$7:T$106,"常",'②-1職員名簿'!$W$7:$W$106,'②-1職員名簿'!$S$132)</f>
        <v>0</v>
      </c>
      <c r="E11" s="223">
        <f>SUMIFS('②-2勤務時間数入力'!T$7:T$106,'②-1職員名簿'!AR$7:AR$106,"F",'②-1職員名簿'!$C$7:$C$106,"パート",'②-1職員名簿'!$W$7:$W$106,'②-1職員名簿'!$S$132)</f>
        <v>0</v>
      </c>
      <c r="F11" s="223">
        <f>COUNTIFS('②-1職員名簿'!AR$7:AR$106,"F",'②-2勤務時間数入力'!$C$7:$C$106,"嘱託常勤",'②-2勤務時間数入力'!T$7:T$106,"常",'②-1職員名簿'!$W$7:$W$106,'②-1職員名簿'!$S$132)</f>
        <v>0</v>
      </c>
      <c r="G11" s="223">
        <f>SUMIFS('②-2勤務時間数入力'!T$7:T$106,'②-1職員名簿'!AR$7:AR$106,"F",'②-1職員名簿'!$C$7:$C$106,"嘱託等",'②-1職員名簿'!$W$7:$W$106,'②-1職員名簿'!$S$132)</f>
        <v>0</v>
      </c>
      <c r="H11" s="223">
        <f>COUNTIFS('②-1職員名簿'!AR$7:AR$106,"F",'②-2勤務時間数入力'!H$7:H$106,"正",'②-1職員名簿'!$W$7:$W$106,'②-1職員名簿'!$S$133)</f>
        <v>0</v>
      </c>
      <c r="I11" s="223">
        <f>COUNTIFS('②-1職員名簿'!AR$7:AR$106,"F",'②-2勤務時間数入力'!$C$7:$C$106,"常勤的非常勤",'②-2勤務時間数入力'!T$7:T$106,"常",'②-1職員名簿'!$W$7:$W$106,'②-1職員名簿'!$S$133)</f>
        <v>0</v>
      </c>
      <c r="J11" s="223">
        <f>SUMIFS('②-2勤務時間数入力'!T$7:T$106,'②-1職員名簿'!AR$7:AR$106,"F",'②-1職員名簿'!$C$7:$C$106,"パート",'②-1職員名簿'!$W$7:$W$106,'②-1職員名簿'!$S$133)</f>
        <v>0</v>
      </c>
      <c r="K11" s="223">
        <f>COUNTIFS('②-1職員名簿'!AR$7:AR$106,"F",'②-2勤務時間数入力'!$C$7:$C$106,"嘱託常勤",'②-2勤務時間数入力'!T$7:T$106,"常",'②-1職員名簿'!$W$7:$W$106,'②-1職員名簿'!$S$133)</f>
        <v>0</v>
      </c>
      <c r="L11" s="223">
        <f>SUMIFS('②-2勤務時間数入力'!T$7:T$106,'②-1職員名簿'!AR$7:AR$106,"F",'②-1職員名簿'!$C$7:$C$106,"嘱託等",'②-1職員名簿'!$W$7:$W$106,'②-1職員名簿'!$S$133)</f>
        <v>0</v>
      </c>
      <c r="M11" s="223">
        <f>COUNTIFS('②-1職員名簿'!AR$7:AR$106,"F",'②-2勤務時間数入力'!H$7:H$106,"正",'②-1職員名簿'!$W$7:$W$106,'②-1職員名簿'!$S$131)</f>
        <v>0</v>
      </c>
      <c r="N11" s="223">
        <f>COUNTIFS('②-1職員名簿'!AR$7:AR$106,"F",'②-2勤務時間数入力'!$C$7:$C$106,"常勤的非常勤",'②-2勤務時間数入力'!T$7:T$106,"常",'②-1職員名簿'!$W$7:$W$106,'②-1職員名簿'!$S$131)</f>
        <v>0</v>
      </c>
      <c r="O11" s="223">
        <f>SUMIFS('②-2勤務時間数入力'!T$7:T$106,'②-1職員名簿'!AR$7:AR$106,"F",'②-1職員名簿'!$C$7:$C$106,"パート",'②-1職員名簿'!$W$7:$W$106,'②-1職員名簿'!$S$131)</f>
        <v>0</v>
      </c>
      <c r="P11" s="223">
        <f>COUNTIFS('②-1職員名簿'!AR$7:AR$106,"F",'②-2勤務時間数入力'!$C$7:$C$106,"嘱託常勤",'②-2勤務時間数入力'!T$7:T$106,"常",'②-1職員名簿'!$W$7:$W$106,'②-1職員名簿'!$S$131)</f>
        <v>0</v>
      </c>
      <c r="Q11" s="223">
        <f>SUMIFS('②-2勤務時間数入力'!T$7:T$106,'②-1職員名簿'!AR$7:AR$106,"F",'②-1職員名簿'!$C$7:$C$106,"嘱託等",'②-1職員名簿'!$W$7:$W$106,'②-1職員名簿'!$S$131)</f>
        <v>0</v>
      </c>
      <c r="R11" s="225">
        <f>COUNTIFS('②-1職員名簿'!$W$7:$W$106,"園長",'②-1職員名簿'!AR$7:AR$106,"F")</f>
        <v>0</v>
      </c>
      <c r="S11" s="131">
        <f t="shared" si="0"/>
        <v>0</v>
      </c>
      <c r="T11" s="130">
        <f t="shared" si="1"/>
        <v>0</v>
      </c>
      <c r="U11" s="135" t="e">
        <f t="shared" si="2"/>
        <v>#DIV/0!</v>
      </c>
      <c r="V11" s="135" t="e">
        <f t="shared" si="3"/>
        <v>#DIV/0!</v>
      </c>
    </row>
    <row r="12" spans="1:23" s="33" customFormat="1" ht="36" customHeight="1">
      <c r="A12" s="196">
        <v>7</v>
      </c>
      <c r="B12" s="128">
        <f>'②-2勤務時間数入力'!AH10</f>
        <v>0</v>
      </c>
      <c r="C12" s="223">
        <f>COUNTIFS('②-1職員名簿'!AS$7:AS$106,"F",'②-2勤務時間数入力'!I$7:I$106,"正",'②-1職員名簿'!$W$7:$W$106,'②-1職員名簿'!$S$132)</f>
        <v>0</v>
      </c>
      <c r="D12" s="223">
        <f>COUNTIFS('②-1職員名簿'!AS$7:AS$106,"F",'②-2勤務時間数入力'!$C$7:$C$106,"常勤的非常勤",'②-2勤務時間数入力'!U$7:U$106,"常",'②-1職員名簿'!$W$7:$W$106,'②-1職員名簿'!$S$132)</f>
        <v>0</v>
      </c>
      <c r="E12" s="223">
        <f>SUMIFS('②-2勤務時間数入力'!U$7:U$106,'②-1職員名簿'!AS$7:AS$106,"F",'②-1職員名簿'!$C$7:$C$106,"パート",'②-1職員名簿'!$W$7:$W$106,'②-1職員名簿'!$S$132)</f>
        <v>0</v>
      </c>
      <c r="F12" s="223">
        <f>COUNTIFS('②-1職員名簿'!AS$7:AS$106,"F",'②-2勤務時間数入力'!$C$7:$C$106,"嘱託常勤",'②-2勤務時間数入力'!U$7:U$106,"常",'②-1職員名簿'!$W$7:$W$106,'②-1職員名簿'!$S$132)</f>
        <v>0</v>
      </c>
      <c r="G12" s="223">
        <f>SUMIFS('②-2勤務時間数入力'!U$7:U$106,'②-1職員名簿'!AS$7:AS$106,"F",'②-1職員名簿'!$C$7:$C$106,"嘱託等",'②-1職員名簿'!$W$7:$W$106,'②-1職員名簿'!$S$132)</f>
        <v>0</v>
      </c>
      <c r="H12" s="223">
        <f>COUNTIFS('②-1職員名簿'!AS$7:AS$106,"F",'②-2勤務時間数入力'!I$7:I$106,"正",'②-1職員名簿'!$W$7:$W$106,'②-1職員名簿'!$S$133)</f>
        <v>0</v>
      </c>
      <c r="I12" s="223">
        <f>COUNTIFS('②-1職員名簿'!AS$7:AS$106,"F",'②-2勤務時間数入力'!$C$7:$C$106,"常勤的非常勤",'②-2勤務時間数入力'!U$7:U$106,"常",'②-1職員名簿'!$W$7:$W$106,'②-1職員名簿'!$S$133)</f>
        <v>0</v>
      </c>
      <c r="J12" s="223">
        <f>SUMIFS('②-2勤務時間数入力'!U$7:U$106,'②-1職員名簿'!AS$7:AS$106,"F",'②-1職員名簿'!$C$7:$C$106,"パート",'②-1職員名簿'!$W$7:$W$106,'②-1職員名簿'!$S$133)</f>
        <v>0</v>
      </c>
      <c r="K12" s="223">
        <f>COUNTIFS('②-1職員名簿'!AS$7:AS$106,"F",'②-2勤務時間数入力'!$C$7:$C$106,"嘱託常勤",'②-2勤務時間数入力'!U$7:U$106,"常",'②-1職員名簿'!$W$7:$W$106,'②-1職員名簿'!$S$133)</f>
        <v>0</v>
      </c>
      <c r="L12" s="223">
        <f>SUMIFS('②-2勤務時間数入力'!U$7:U$106,'②-1職員名簿'!AS$7:AS$106,"F",'②-1職員名簿'!$C$7:$C$106,"嘱託等",'②-1職員名簿'!$W$7:$W$106,'②-1職員名簿'!$S$133)</f>
        <v>0</v>
      </c>
      <c r="M12" s="223">
        <f>COUNTIFS('②-1職員名簿'!AS$7:AS$106,"F",'②-2勤務時間数入力'!I$7:I$106,"正",'②-1職員名簿'!$W$7:$W$106,'②-1職員名簿'!$S$131)</f>
        <v>0</v>
      </c>
      <c r="N12" s="223">
        <f>COUNTIFS('②-1職員名簿'!AS$7:AS$106,"F",'②-2勤務時間数入力'!$C$7:$C$106,"常勤的非常勤",'②-2勤務時間数入力'!U$7:U$106,"常",'②-1職員名簿'!$W$7:$W$106,'②-1職員名簿'!$S$131)</f>
        <v>0</v>
      </c>
      <c r="O12" s="223">
        <f>SUMIFS('②-2勤務時間数入力'!U$7:U$106,'②-1職員名簿'!AS$7:AS$106,"F",'②-1職員名簿'!$C$7:$C$106,"パート",'②-1職員名簿'!$W$7:$W$106,'②-1職員名簿'!$S$131)</f>
        <v>0</v>
      </c>
      <c r="P12" s="223">
        <f>COUNTIFS('②-1職員名簿'!AS$7:AS$106,"F",'②-2勤務時間数入力'!$C$7:$C$106,"嘱託常勤",'②-2勤務時間数入力'!U$7:U$106,"常",'②-1職員名簿'!$W$7:$W$106,'②-1職員名簿'!$S$131)</f>
        <v>0</v>
      </c>
      <c r="Q12" s="223">
        <f>SUMIFS('②-2勤務時間数入力'!U$7:U$106,'②-1職員名簿'!AS$7:AS$106,"F",'②-1職員名簿'!$C$7:$C$106,"嘱託等",'②-1職員名簿'!$W$7:$W$106,'②-1職員名簿'!$S$131)</f>
        <v>0</v>
      </c>
      <c r="R12" s="225">
        <f>COUNTIFS('②-1職員名簿'!$W$7:$W$106,"園長",'②-1職員名簿'!AS$7:AS$106,"F")</f>
        <v>0</v>
      </c>
      <c r="S12" s="131">
        <f t="shared" si="0"/>
        <v>0</v>
      </c>
      <c r="T12" s="130">
        <f t="shared" si="1"/>
        <v>0</v>
      </c>
      <c r="U12" s="135" t="e">
        <f t="shared" si="2"/>
        <v>#DIV/0!</v>
      </c>
      <c r="V12" s="135" t="e">
        <f t="shared" si="3"/>
        <v>#DIV/0!</v>
      </c>
    </row>
    <row r="13" spans="1:23" s="33" customFormat="1" ht="36" customHeight="1">
      <c r="A13" s="196">
        <v>8</v>
      </c>
      <c r="B13" s="128">
        <f>'②-2勤務時間数入力'!AH11</f>
        <v>0</v>
      </c>
      <c r="C13" s="223">
        <f>COUNTIFS('②-1職員名簿'!AT$7:AT$106,"F",'②-2勤務時間数入力'!J$7:J$106,"正",'②-1職員名簿'!$W$7:$W$106,'②-1職員名簿'!$S$132)</f>
        <v>0</v>
      </c>
      <c r="D13" s="223">
        <f>COUNTIFS('②-1職員名簿'!AT$7:AT$106,"F",'②-2勤務時間数入力'!$C$7:$C$106,"常勤的非常勤",'②-2勤務時間数入力'!V$7:V$106,"常",'②-1職員名簿'!$W$7:$W$106,'②-1職員名簿'!$S$132)</f>
        <v>0</v>
      </c>
      <c r="E13" s="223">
        <f>SUMIFS('②-2勤務時間数入力'!V$7:V$106,'②-1職員名簿'!AT$7:AT$106,"F",'②-1職員名簿'!$C$7:$C$106,"パート",'②-1職員名簿'!$W$7:$W$106,'②-1職員名簿'!$S$132)</f>
        <v>0</v>
      </c>
      <c r="F13" s="223">
        <f>COUNTIFS('②-1職員名簿'!AT$7:AT$106,"F",'②-2勤務時間数入力'!$C$7:$C$106,"嘱託常勤",'②-2勤務時間数入力'!V$7:V$106,"常",'②-1職員名簿'!$W$7:$W$106,'②-1職員名簿'!$S$132)</f>
        <v>0</v>
      </c>
      <c r="G13" s="223">
        <f>SUMIFS('②-2勤務時間数入力'!V$7:V$106,'②-1職員名簿'!AT$7:AT$106,"F",'②-1職員名簿'!$C$7:$C$106,"嘱託等",'②-1職員名簿'!$W$7:$W$106,'②-1職員名簿'!$S$132)</f>
        <v>0</v>
      </c>
      <c r="H13" s="223">
        <f>COUNTIFS('②-1職員名簿'!AT$7:AT$106,"F",'②-2勤務時間数入力'!J$7:J$106,"正",'②-1職員名簿'!$W$7:$W$106,'②-1職員名簿'!$S$133)</f>
        <v>0</v>
      </c>
      <c r="I13" s="223">
        <f>COUNTIFS('②-1職員名簿'!AT$7:AT$106,"F",'②-2勤務時間数入力'!$C$7:$C$106,"常勤的非常勤",'②-2勤務時間数入力'!V$7:V$106,"常",'②-1職員名簿'!$W$7:$W$106,'②-1職員名簿'!$S$133)</f>
        <v>0</v>
      </c>
      <c r="J13" s="223">
        <f>SUMIFS('②-2勤務時間数入力'!V$7:V$106,'②-1職員名簿'!AT$7:AT$106,"F",'②-1職員名簿'!$C$7:$C$106,"パート",'②-1職員名簿'!$W$7:$W$106,'②-1職員名簿'!$S$133)</f>
        <v>0</v>
      </c>
      <c r="K13" s="223">
        <f>COUNTIFS('②-1職員名簿'!AT$7:AT$106,"F",'②-2勤務時間数入力'!$C$7:$C$106,"嘱託常勤",'②-2勤務時間数入力'!V$7:V$106,"常",'②-1職員名簿'!$W$7:$W$106,'②-1職員名簿'!$S$133)</f>
        <v>0</v>
      </c>
      <c r="L13" s="223">
        <f>SUMIFS('②-2勤務時間数入力'!V$7:V$106,'②-1職員名簿'!AT$7:AT$106,"F",'②-1職員名簿'!$C$7:$C$106,"嘱託等",'②-1職員名簿'!$W$7:$W$106,'②-1職員名簿'!$S$133)</f>
        <v>0</v>
      </c>
      <c r="M13" s="223">
        <f>COUNTIFS('②-1職員名簿'!AT$7:AT$106,"F",'②-2勤務時間数入力'!J$7:J$106,"正",'②-1職員名簿'!$W$7:$W$106,'②-1職員名簿'!$S$131)</f>
        <v>0</v>
      </c>
      <c r="N13" s="223">
        <f>COUNTIFS('②-1職員名簿'!AT$7:AT$106,"F",'②-2勤務時間数入力'!$C$7:$C$106,"常勤的非常勤",'②-2勤務時間数入力'!V$7:V$106,"常",'②-1職員名簿'!$W$7:$W$106,'②-1職員名簿'!$S$131)</f>
        <v>0</v>
      </c>
      <c r="O13" s="223">
        <f>SUMIFS('②-2勤務時間数入力'!V$7:V$106,'②-1職員名簿'!AT$7:AT$106,"F",'②-1職員名簿'!$C$7:$C$106,"パート",'②-1職員名簿'!$W$7:$W$106,'②-1職員名簿'!$S$131)</f>
        <v>0</v>
      </c>
      <c r="P13" s="223">
        <f>COUNTIFS('②-1職員名簿'!AT$7:AT$106,"F",'②-2勤務時間数入力'!$C$7:$C$106,"嘱託常勤",'②-2勤務時間数入力'!V$7:V$106,"常",'②-1職員名簿'!$W$7:$W$106,'②-1職員名簿'!$S$131)</f>
        <v>0</v>
      </c>
      <c r="Q13" s="223">
        <f>SUMIFS('②-2勤務時間数入力'!V$7:V$106,'②-1職員名簿'!AT$7:AT$106,"F",'②-1職員名簿'!$C$7:$C$106,"嘱託等",'②-1職員名簿'!$W$7:$W$106,'②-1職員名簿'!$S$131)</f>
        <v>0</v>
      </c>
      <c r="R13" s="225">
        <f>COUNTIFS('②-1職員名簿'!$W$7:$W$106,"園長",'②-1職員名簿'!AT$7:AT$106,"F")</f>
        <v>0</v>
      </c>
      <c r="S13" s="131">
        <f t="shared" si="0"/>
        <v>0</v>
      </c>
      <c r="T13" s="130">
        <f t="shared" si="1"/>
        <v>0</v>
      </c>
      <c r="U13" s="135" t="e">
        <f t="shared" si="2"/>
        <v>#DIV/0!</v>
      </c>
      <c r="V13" s="135" t="e">
        <f t="shared" si="3"/>
        <v>#DIV/0!</v>
      </c>
    </row>
    <row r="14" spans="1:23" s="33" customFormat="1" ht="36" customHeight="1">
      <c r="A14" s="196">
        <v>9</v>
      </c>
      <c r="B14" s="128">
        <f>'②-2勤務時間数入力'!AH12</f>
        <v>0</v>
      </c>
      <c r="C14" s="223">
        <f>COUNTIFS('②-1職員名簿'!AU$7:AU$106,"F",'②-2勤務時間数入力'!K$7:K$106,"正",'②-1職員名簿'!$W$7:$W$106,'②-1職員名簿'!$S$132)</f>
        <v>0</v>
      </c>
      <c r="D14" s="223">
        <f>COUNTIFS('②-1職員名簿'!AU$7:AU$106,"F",'②-2勤務時間数入力'!$C$7:$C$106,"常勤的非常勤",'②-2勤務時間数入力'!W$7:W$106,"常",'②-1職員名簿'!$W$7:$W$106,'②-1職員名簿'!$S$132)</f>
        <v>0</v>
      </c>
      <c r="E14" s="223">
        <f>SUMIFS('②-2勤務時間数入力'!W$7:W$106,'②-1職員名簿'!AU$7:AU$106,"F",'②-1職員名簿'!$C$7:$C$106,"パート",'②-1職員名簿'!$W$7:$W$106,'②-1職員名簿'!$S$132)</f>
        <v>0</v>
      </c>
      <c r="F14" s="223">
        <f>COUNTIFS('②-1職員名簿'!AU$7:AU$106,"F",'②-2勤務時間数入力'!$C$7:$C$106,"嘱託常勤",'②-2勤務時間数入力'!W$7:W$106,"常",'②-1職員名簿'!$W$7:$W$106,'②-1職員名簿'!$S$132)</f>
        <v>0</v>
      </c>
      <c r="G14" s="223">
        <f>SUMIFS('②-2勤務時間数入力'!W$7:W$106,'②-1職員名簿'!AU$7:AU$106,"F",'②-1職員名簿'!$C$7:$C$106,"嘱託等",'②-1職員名簿'!$W$7:$W$106,'②-1職員名簿'!$S$132)</f>
        <v>0</v>
      </c>
      <c r="H14" s="223">
        <f>COUNTIFS('②-1職員名簿'!AU$7:AU$106,"F",'②-2勤務時間数入力'!K$7:K$106,"正",'②-1職員名簿'!$W$7:$W$106,'②-1職員名簿'!$S$133)</f>
        <v>0</v>
      </c>
      <c r="I14" s="223">
        <f>COUNTIFS('②-1職員名簿'!AU$7:AU$106,"F",'②-2勤務時間数入力'!$C$7:$C$106,"常勤的非常勤",'②-2勤務時間数入力'!W$7:W$106,"常",'②-1職員名簿'!$W$7:$W$106,'②-1職員名簿'!$S$133)</f>
        <v>0</v>
      </c>
      <c r="J14" s="223">
        <f>SUMIFS('②-2勤務時間数入力'!W$7:W$106,'②-1職員名簿'!AU$7:AU$106,"F",'②-1職員名簿'!$C$7:$C$106,"パート",'②-1職員名簿'!$W$7:$W$106,'②-1職員名簿'!$S$133)</f>
        <v>0</v>
      </c>
      <c r="K14" s="223">
        <f>COUNTIFS('②-1職員名簿'!AU$7:AU$106,"F",'②-2勤務時間数入力'!$C$7:$C$106,"嘱託常勤",'②-2勤務時間数入力'!W$7:W$106,"常",'②-1職員名簿'!$W$7:$W$106,'②-1職員名簿'!$S$133)</f>
        <v>0</v>
      </c>
      <c r="L14" s="223">
        <f>SUMIFS('②-2勤務時間数入力'!W$7:W$106,'②-1職員名簿'!AU$7:AU$106,"F",'②-1職員名簿'!$C$7:$C$106,"嘱託等",'②-1職員名簿'!$W$7:$W$106,'②-1職員名簿'!$S$133)</f>
        <v>0</v>
      </c>
      <c r="M14" s="223">
        <f>COUNTIFS('②-1職員名簿'!AU$7:AU$106,"F",'②-2勤務時間数入力'!K$7:K$106,"正",'②-1職員名簿'!$W$7:$W$106,'②-1職員名簿'!$S$131)</f>
        <v>0</v>
      </c>
      <c r="N14" s="223">
        <f>COUNTIFS('②-1職員名簿'!AU$7:AU$106,"F",'②-2勤務時間数入力'!$C$7:$C$106,"常勤的非常勤",'②-2勤務時間数入力'!W$7:W$106,"常",'②-1職員名簿'!$W$7:$W$106,'②-1職員名簿'!$S$131)</f>
        <v>0</v>
      </c>
      <c r="O14" s="223">
        <f>SUMIFS('②-2勤務時間数入力'!W$7:W$106,'②-1職員名簿'!AU$7:AU$106,"F",'②-1職員名簿'!$C$7:$C$106,"パート",'②-1職員名簿'!$W$7:$W$106,'②-1職員名簿'!$S$131)</f>
        <v>0</v>
      </c>
      <c r="P14" s="223">
        <f>COUNTIFS('②-1職員名簿'!AU$7:AU$106,"F",'②-2勤務時間数入力'!$C$7:$C$106,"嘱託常勤",'②-2勤務時間数入力'!W$7:W$106,"常",'②-1職員名簿'!$W$7:$W$106,'②-1職員名簿'!$S$131)</f>
        <v>0</v>
      </c>
      <c r="Q14" s="223">
        <f>SUMIFS('②-2勤務時間数入力'!W$7:W$106,'②-1職員名簿'!AU$7:AU$106,"F",'②-1職員名簿'!$C$7:$C$106,"嘱託等",'②-1職員名簿'!$W$7:$W$106,'②-1職員名簿'!$S$131)</f>
        <v>0</v>
      </c>
      <c r="R14" s="225">
        <f>COUNTIFS('②-1職員名簿'!$W$7:$W$106,"園長",'②-1職員名簿'!AU$7:AU$106,"F")</f>
        <v>0</v>
      </c>
      <c r="S14" s="131">
        <f t="shared" si="0"/>
        <v>0</v>
      </c>
      <c r="T14" s="130">
        <f t="shared" si="1"/>
        <v>0</v>
      </c>
      <c r="U14" s="135" t="e">
        <f t="shared" si="2"/>
        <v>#DIV/0!</v>
      </c>
      <c r="V14" s="135" t="e">
        <f t="shared" si="3"/>
        <v>#DIV/0!</v>
      </c>
    </row>
    <row r="15" spans="1:23" s="33" customFormat="1" ht="36" customHeight="1">
      <c r="A15" s="196">
        <v>10</v>
      </c>
      <c r="B15" s="128">
        <f>'②-2勤務時間数入力'!AH13</f>
        <v>0</v>
      </c>
      <c r="C15" s="223">
        <f>COUNTIFS('②-1職員名簿'!AV$7:AV$106,"F",'②-2勤務時間数入力'!L$7:L$106,"正",'②-1職員名簿'!$W$7:$W$106,'②-1職員名簿'!$S$132)</f>
        <v>0</v>
      </c>
      <c r="D15" s="223">
        <f>COUNTIFS('②-1職員名簿'!AV$7:AV$106,"F",'②-2勤務時間数入力'!$C$7:$C$106,"常勤的非常勤",'②-2勤務時間数入力'!X$7:X$106,"常",'②-1職員名簿'!$W$7:$W$106,'②-1職員名簿'!$S$132)</f>
        <v>0</v>
      </c>
      <c r="E15" s="223">
        <f>SUMIFS('②-2勤務時間数入力'!X$7:X$106,'②-1職員名簿'!AV$7:AV$106,"F",'②-1職員名簿'!$C$7:$C$106,"パート",'②-1職員名簿'!$W$7:$W$106,'②-1職員名簿'!$S$132)</f>
        <v>0</v>
      </c>
      <c r="F15" s="223">
        <f>COUNTIFS('②-1職員名簿'!AV$7:AV$106,"F",'②-2勤務時間数入力'!$C$7:$C$106,"嘱託常勤",'②-2勤務時間数入力'!X$7:X$106,"常",'②-1職員名簿'!$W$7:$W$106,'②-1職員名簿'!$S$132)</f>
        <v>0</v>
      </c>
      <c r="G15" s="223">
        <f>SUMIFS('②-2勤務時間数入力'!X$7:X$106,'②-1職員名簿'!AV$7:AV$106,"F",'②-1職員名簿'!$C$7:$C$106,"嘱託等",'②-1職員名簿'!$W$7:$W$106,'②-1職員名簿'!$S$132)</f>
        <v>0</v>
      </c>
      <c r="H15" s="223">
        <f>COUNTIFS('②-1職員名簿'!AV$7:AV$106,"F",'②-2勤務時間数入力'!L$7:L$106,"正",'②-1職員名簿'!$W$7:$W$106,'②-1職員名簿'!$S$133)</f>
        <v>0</v>
      </c>
      <c r="I15" s="223">
        <f>COUNTIFS('②-1職員名簿'!AV$7:AV$106,"F",'②-2勤務時間数入力'!$C$7:$C$106,"常勤的非常勤",'②-2勤務時間数入力'!X$7:X$106,"常",'②-1職員名簿'!$W$7:$W$106,'②-1職員名簿'!$S$133)</f>
        <v>0</v>
      </c>
      <c r="J15" s="223">
        <f>SUMIFS('②-2勤務時間数入力'!X$7:X$106,'②-1職員名簿'!AV$7:AV$106,"F",'②-1職員名簿'!$C$7:$C$106,"パート",'②-1職員名簿'!$W$7:$W$106,'②-1職員名簿'!$S$133)</f>
        <v>0</v>
      </c>
      <c r="K15" s="223">
        <f>COUNTIFS('②-1職員名簿'!AV$7:AV$106,"F",'②-2勤務時間数入力'!$C$7:$C$106,"嘱託常勤",'②-2勤務時間数入力'!X$7:X$106,"常",'②-1職員名簿'!$W$7:$W$106,'②-1職員名簿'!$S$133)</f>
        <v>0</v>
      </c>
      <c r="L15" s="223">
        <f>SUMIFS('②-2勤務時間数入力'!X$7:X$106,'②-1職員名簿'!AV$7:AV$106,"F",'②-1職員名簿'!$C$7:$C$106,"嘱託等",'②-1職員名簿'!$W$7:$W$106,'②-1職員名簿'!$S$133)</f>
        <v>0</v>
      </c>
      <c r="M15" s="223">
        <f>COUNTIFS('②-1職員名簿'!AV$7:AV$106,"F",'②-2勤務時間数入力'!L$7:L$106,"正",'②-1職員名簿'!$W$7:$W$106,'②-1職員名簿'!$S$131)</f>
        <v>0</v>
      </c>
      <c r="N15" s="223">
        <f>COUNTIFS('②-1職員名簿'!AV$7:AV$106,"F",'②-2勤務時間数入力'!$C$7:$C$106,"常勤的非常勤",'②-2勤務時間数入力'!X$7:X$106,"常",'②-1職員名簿'!$W$7:$W$106,'②-1職員名簿'!$S$131)</f>
        <v>0</v>
      </c>
      <c r="O15" s="223">
        <f>SUMIFS('②-2勤務時間数入力'!X$7:X$106,'②-1職員名簿'!AV$7:AV$106,"F",'②-1職員名簿'!$C$7:$C$106,"パート",'②-1職員名簿'!$W$7:$W$106,'②-1職員名簿'!$S$131)</f>
        <v>0</v>
      </c>
      <c r="P15" s="223">
        <f>COUNTIFS('②-1職員名簿'!AV$7:AV$106,"F",'②-2勤務時間数入力'!$C$7:$C$106,"嘱託常勤",'②-2勤務時間数入力'!X$7:X$106,"常",'②-1職員名簿'!$W$7:$W$106,'②-1職員名簿'!$S$131)</f>
        <v>0</v>
      </c>
      <c r="Q15" s="223">
        <f>SUMIFS('②-2勤務時間数入力'!X$7:X$106,'②-1職員名簿'!AV$7:AV$106,"F",'②-1職員名簿'!$C$7:$C$106,"嘱託等",'②-1職員名簿'!$W$7:$W$106,'②-1職員名簿'!$S$131)</f>
        <v>0</v>
      </c>
      <c r="R15" s="225">
        <f>COUNTIFS('②-1職員名簿'!$W$7:$W$106,"園長",'②-1職員名簿'!AV$7:AV$106,"F")</f>
        <v>0</v>
      </c>
      <c r="S15" s="131">
        <f t="shared" si="0"/>
        <v>0</v>
      </c>
      <c r="T15" s="130">
        <f t="shared" si="1"/>
        <v>0</v>
      </c>
      <c r="U15" s="135" t="e">
        <f t="shared" si="2"/>
        <v>#DIV/0!</v>
      </c>
      <c r="V15" s="135" t="e">
        <f t="shared" si="3"/>
        <v>#DIV/0!</v>
      </c>
    </row>
    <row r="16" spans="1:23" s="33" customFormat="1" ht="36" customHeight="1">
      <c r="A16" s="196">
        <v>11</v>
      </c>
      <c r="B16" s="128">
        <f>'②-2勤務時間数入力'!AH14</f>
        <v>0</v>
      </c>
      <c r="C16" s="223">
        <f>COUNTIFS('②-1職員名簿'!AW$7:AW$106,"F",'②-2勤務時間数入力'!M$7:M$106,"正",'②-1職員名簿'!$W$7:$W$106,'②-1職員名簿'!$S$132)</f>
        <v>0</v>
      </c>
      <c r="D16" s="223">
        <f>COUNTIFS('②-1職員名簿'!AW$7:AW$106,"F",'②-2勤務時間数入力'!$C$7:$C$106,"常勤的非常勤",'②-2勤務時間数入力'!Y$7:Y$106,"常",'②-1職員名簿'!$W$7:$W$106,'②-1職員名簿'!$S$132)</f>
        <v>0</v>
      </c>
      <c r="E16" s="223">
        <f>SUMIFS('②-2勤務時間数入力'!Y$7:Y$106,'②-1職員名簿'!AW$7:AW$106,"F",'②-1職員名簿'!$C$7:$C$106,"パート",'②-1職員名簿'!$W$7:$W$106,'②-1職員名簿'!$S$132)</f>
        <v>0</v>
      </c>
      <c r="F16" s="223">
        <f>COUNTIFS('②-1職員名簿'!AW$7:AW$106,"F",'②-2勤務時間数入力'!$C$7:$C$106,"嘱託常勤",'②-2勤務時間数入力'!Y$7:Y$106,"常",'②-1職員名簿'!$W$7:$W$106,'②-1職員名簿'!$S$132)</f>
        <v>0</v>
      </c>
      <c r="G16" s="223">
        <f>SUMIFS('②-2勤務時間数入力'!Y$7:Y$106,'②-1職員名簿'!AW$7:AW$106,"F",'②-1職員名簿'!$C$7:$C$106,"嘱託等",'②-1職員名簿'!$W$7:$W$106,'②-1職員名簿'!$S$132)</f>
        <v>0</v>
      </c>
      <c r="H16" s="223">
        <f>COUNTIFS('②-1職員名簿'!AW$7:AW$106,"F",'②-2勤務時間数入力'!M$7:M$106,"正",'②-1職員名簿'!$W$7:$W$106,'②-1職員名簿'!$S$133)</f>
        <v>0</v>
      </c>
      <c r="I16" s="223">
        <f>COUNTIFS('②-1職員名簿'!AW$7:AW$106,"F",'②-2勤務時間数入力'!$C$7:$C$106,"常勤的非常勤",'②-2勤務時間数入力'!Y$7:Y$106,"常",'②-1職員名簿'!$W$7:$W$106,'②-1職員名簿'!$S$133)</f>
        <v>0</v>
      </c>
      <c r="J16" s="223">
        <f>SUMIFS('②-2勤務時間数入力'!Y$7:Y$106,'②-1職員名簿'!AW$7:AW$106,"F",'②-1職員名簿'!$C$7:$C$106,"パート",'②-1職員名簿'!$W$7:$W$106,'②-1職員名簿'!$S$133)</f>
        <v>0</v>
      </c>
      <c r="K16" s="223">
        <f>COUNTIFS('②-1職員名簿'!AW$7:AW$106,"F",'②-2勤務時間数入力'!$C$7:$C$106,"嘱託常勤",'②-2勤務時間数入力'!Y$7:Y$106,"常",'②-1職員名簿'!$W$7:$W$106,'②-1職員名簿'!$S$133)</f>
        <v>0</v>
      </c>
      <c r="L16" s="223">
        <f>SUMIFS('②-2勤務時間数入力'!Y$7:Y$106,'②-1職員名簿'!AW$7:AW$106,"F",'②-1職員名簿'!$C$7:$C$106,"嘱託等",'②-1職員名簿'!$W$7:$W$106,'②-1職員名簿'!$S$133)</f>
        <v>0</v>
      </c>
      <c r="M16" s="223">
        <f>COUNTIFS('②-1職員名簿'!AW$7:AW$106,"F",'②-2勤務時間数入力'!M$7:M$106,"正",'②-1職員名簿'!$W$7:$W$106,'②-1職員名簿'!$S$131)</f>
        <v>0</v>
      </c>
      <c r="N16" s="223">
        <f>COUNTIFS('②-1職員名簿'!AW$7:AW$106,"F",'②-2勤務時間数入力'!$C$7:$C$106,"常勤的非常勤",'②-2勤務時間数入力'!Y$7:Y$106,"常",'②-1職員名簿'!$W$7:$W$106,'②-1職員名簿'!$S$131)</f>
        <v>0</v>
      </c>
      <c r="O16" s="223">
        <f>SUMIFS('②-2勤務時間数入力'!Y$7:Y$106,'②-1職員名簿'!AW$7:AW$106,"F",'②-1職員名簿'!$C$7:$C$106,"パート",'②-1職員名簿'!$W$7:$W$106,'②-1職員名簿'!$S$131)</f>
        <v>0</v>
      </c>
      <c r="P16" s="223">
        <f>COUNTIFS('②-1職員名簿'!AW$7:AW$106,"F",'②-2勤務時間数入力'!$C$7:$C$106,"嘱託常勤",'②-2勤務時間数入力'!Y$7:Y$106,"常",'②-1職員名簿'!$W$7:$W$106,'②-1職員名簿'!$S$131)</f>
        <v>0</v>
      </c>
      <c r="Q16" s="223">
        <f>SUMIFS('②-2勤務時間数入力'!Y$7:Y$106,'②-1職員名簿'!AW$7:AW$106,"F",'②-1職員名簿'!$C$7:$C$106,"嘱託等",'②-1職員名簿'!$W$7:$W$106,'②-1職員名簿'!$S$131)</f>
        <v>0</v>
      </c>
      <c r="R16" s="225">
        <f>COUNTIFS('②-1職員名簿'!$W$7:$W$106,"園長",'②-1職員名簿'!AW$7:AW$106,"F")</f>
        <v>0</v>
      </c>
      <c r="S16" s="131">
        <f t="shared" si="0"/>
        <v>0</v>
      </c>
      <c r="T16" s="130">
        <f t="shared" si="1"/>
        <v>0</v>
      </c>
      <c r="U16" s="135" t="e">
        <f t="shared" si="2"/>
        <v>#DIV/0!</v>
      </c>
      <c r="V16" s="135" t="e">
        <f t="shared" si="3"/>
        <v>#DIV/0!</v>
      </c>
    </row>
    <row r="17" spans="1:24" s="33" customFormat="1" ht="36" customHeight="1">
      <c r="A17" s="196">
        <v>12</v>
      </c>
      <c r="B17" s="128">
        <f>'②-2勤務時間数入力'!AH15</f>
        <v>0</v>
      </c>
      <c r="C17" s="223">
        <f>COUNTIFS('②-1職員名簿'!AX$7:AX$106,"F",'②-2勤務時間数入力'!N$7:N$106,"正",'②-1職員名簿'!$W$7:$W$106,'②-1職員名簿'!$S$132)</f>
        <v>0</v>
      </c>
      <c r="D17" s="223">
        <f>COUNTIFS('②-1職員名簿'!AX$7:AX$106,"F",'②-2勤務時間数入力'!$C$7:$C$106,"常勤的非常勤",'②-2勤務時間数入力'!Z$7:Z$106,"常",'②-1職員名簿'!$W$7:$W$106,'②-1職員名簿'!$S$132)</f>
        <v>0</v>
      </c>
      <c r="E17" s="223">
        <f>SUMIFS('②-2勤務時間数入力'!Z$7:Z$106,'②-1職員名簿'!AX$7:AX$106,"F",'②-1職員名簿'!$C$7:$C$106,"パート",'②-1職員名簿'!$W$7:$W$106,'②-1職員名簿'!$S$132)</f>
        <v>0</v>
      </c>
      <c r="F17" s="223">
        <f>COUNTIFS('②-1職員名簿'!AX$7:AX$106,"F",'②-2勤務時間数入力'!$C$7:$C$106,"嘱託常勤",'②-2勤務時間数入力'!Z$7:Z$106,"常",'②-1職員名簿'!$W$7:$W$106,'②-1職員名簿'!$S$132)</f>
        <v>0</v>
      </c>
      <c r="G17" s="223">
        <f>SUMIFS('②-2勤務時間数入力'!Z$7:Z$106,'②-1職員名簿'!AX$7:AX$106,"F",'②-1職員名簿'!$C$7:$C$106,"嘱託等",'②-1職員名簿'!$W$7:$W$106,'②-1職員名簿'!$S$132)</f>
        <v>0</v>
      </c>
      <c r="H17" s="223">
        <f>COUNTIFS('②-1職員名簿'!AX$7:AX$106,"F",'②-2勤務時間数入力'!N$7:N$106,"正",'②-1職員名簿'!$W$7:$W$106,'②-1職員名簿'!$S$133)</f>
        <v>0</v>
      </c>
      <c r="I17" s="223">
        <f>COUNTIFS('②-1職員名簿'!AX$7:AX$106,"F",'②-2勤務時間数入力'!$C$7:$C$106,"常勤的非常勤",'②-2勤務時間数入力'!Z$7:Z$106,"常",'②-1職員名簿'!$W$7:$W$106,'②-1職員名簿'!$S$133)</f>
        <v>0</v>
      </c>
      <c r="J17" s="223">
        <f>SUMIFS('②-2勤務時間数入力'!Z$7:Z$106,'②-1職員名簿'!AX$7:AX$106,"F",'②-1職員名簿'!$C$7:$C$106,"パート",'②-1職員名簿'!$W$7:$W$106,'②-1職員名簿'!$S$133)</f>
        <v>0</v>
      </c>
      <c r="K17" s="223">
        <f>COUNTIFS('②-1職員名簿'!AX$7:AX$106,"F",'②-2勤務時間数入力'!$C$7:$C$106,"嘱託常勤",'②-2勤務時間数入力'!Z$7:Z$106,"常",'②-1職員名簿'!$W$7:$W$106,'②-1職員名簿'!$S$133)</f>
        <v>0</v>
      </c>
      <c r="L17" s="223">
        <f>SUMIFS('②-2勤務時間数入力'!Z$7:Z$106,'②-1職員名簿'!AX$7:AX$106,"F",'②-1職員名簿'!$C$7:$C$106,"嘱託等",'②-1職員名簿'!$W$7:$W$106,'②-1職員名簿'!$S$133)</f>
        <v>0</v>
      </c>
      <c r="M17" s="223">
        <f>COUNTIFS('②-1職員名簿'!AX$7:AX$106,"F",'②-2勤務時間数入力'!N$7:N$106,"正",'②-1職員名簿'!$W$7:$W$106,'②-1職員名簿'!$S$131)</f>
        <v>0</v>
      </c>
      <c r="N17" s="223">
        <f>COUNTIFS('②-1職員名簿'!AX$7:AX$106,"F",'②-2勤務時間数入力'!$C$7:$C$106,"常勤的非常勤",'②-2勤務時間数入力'!Z$7:Z$106,"常",'②-1職員名簿'!$W$7:$W$106,'②-1職員名簿'!$S$131)</f>
        <v>0</v>
      </c>
      <c r="O17" s="223">
        <f>SUMIFS('②-2勤務時間数入力'!Z$7:Z$106,'②-1職員名簿'!AX$7:AX$106,"F",'②-1職員名簿'!$C$7:$C$106,"パート",'②-1職員名簿'!$W$7:$W$106,'②-1職員名簿'!$S$131)</f>
        <v>0</v>
      </c>
      <c r="P17" s="223">
        <f>COUNTIFS('②-1職員名簿'!AX$7:AX$106,"F",'②-2勤務時間数入力'!$C$7:$C$106,"嘱託常勤",'②-2勤務時間数入力'!Z$7:Z$106,"常",'②-1職員名簿'!$W$7:$W$106,'②-1職員名簿'!$S$131)</f>
        <v>0</v>
      </c>
      <c r="Q17" s="223">
        <f>SUMIFS('②-2勤務時間数入力'!Z$7:Z$106,'②-1職員名簿'!AX$7:AX$106,"F",'②-1職員名簿'!$C$7:$C$106,"嘱託等",'②-1職員名簿'!$W$7:$W$106,'②-1職員名簿'!$S$131)</f>
        <v>0</v>
      </c>
      <c r="R17" s="225">
        <f>COUNTIFS('②-1職員名簿'!$W$7:$W$106,"園長",'②-1職員名簿'!AX$7:AX$106,"F")</f>
        <v>0</v>
      </c>
      <c r="S17" s="131">
        <f t="shared" si="0"/>
        <v>0</v>
      </c>
      <c r="T17" s="130">
        <f t="shared" si="1"/>
        <v>0</v>
      </c>
      <c r="U17" s="135" t="e">
        <f t="shared" si="2"/>
        <v>#DIV/0!</v>
      </c>
      <c r="V17" s="135" t="e">
        <f t="shared" si="3"/>
        <v>#DIV/0!</v>
      </c>
    </row>
    <row r="18" spans="1:24" s="33" customFormat="1" ht="36" customHeight="1">
      <c r="A18" s="196">
        <v>1</v>
      </c>
      <c r="B18" s="128">
        <f>'②-2勤務時間数入力'!AH16</f>
        <v>0</v>
      </c>
      <c r="C18" s="223">
        <f>COUNTIFS('②-1職員名簿'!AY$7:AY$106,"F",'②-2勤務時間数入力'!O$7:O$106,"正",'②-1職員名簿'!$W$7:$W$106,'②-1職員名簿'!$S$132)</f>
        <v>0</v>
      </c>
      <c r="D18" s="223">
        <f>COUNTIFS('②-1職員名簿'!AY$7:AY$106,"F",'②-2勤務時間数入力'!$C$7:$C$106,"常勤的非常勤",'②-2勤務時間数入力'!AA$7:AA$106,"常",'②-1職員名簿'!$W$7:$W$106,'②-1職員名簿'!$S$132)</f>
        <v>0</v>
      </c>
      <c r="E18" s="223">
        <f>SUMIFS('②-2勤務時間数入力'!AA$7:AA$106,'②-1職員名簿'!AY$7:AY$106,"F",'②-1職員名簿'!$C$7:$C$106,"パート",'②-1職員名簿'!$W$7:$W$106,'②-1職員名簿'!$S$132)</f>
        <v>0</v>
      </c>
      <c r="F18" s="223">
        <f>COUNTIFS('②-1職員名簿'!AY$7:AY$106,"F",'②-2勤務時間数入力'!$C$7:$C$106,"嘱託常勤",'②-2勤務時間数入力'!AA$7:AA$106,"常",'②-1職員名簿'!$W$7:$W$106,'②-1職員名簿'!$S$132)</f>
        <v>0</v>
      </c>
      <c r="G18" s="223">
        <f>SUMIFS('②-2勤務時間数入力'!AA$7:AA$106,'②-1職員名簿'!AY$7:AY$106,"F",'②-1職員名簿'!$C$7:$C$106,"嘱託等",'②-1職員名簿'!$W$7:$W$106,'②-1職員名簿'!$S$132)</f>
        <v>0</v>
      </c>
      <c r="H18" s="223">
        <f>COUNTIFS('②-1職員名簿'!AY$7:AY$106,"F",'②-2勤務時間数入力'!O$7:O$106,"正",'②-1職員名簿'!$W$7:$W$106,'②-1職員名簿'!$S$133)</f>
        <v>0</v>
      </c>
      <c r="I18" s="223">
        <f>COUNTIFS('②-1職員名簿'!AY$7:AY$106,"F",'②-2勤務時間数入力'!$C$7:$C$106,"常勤的非常勤",'②-2勤務時間数入力'!AA$7:AA$106,"常",'②-1職員名簿'!$W$7:$W$106,'②-1職員名簿'!$S$133)</f>
        <v>0</v>
      </c>
      <c r="J18" s="223">
        <f>SUMIFS('②-2勤務時間数入力'!AA$7:AA$106,'②-1職員名簿'!AY$7:AY$106,"F",'②-1職員名簿'!$C$7:$C$106,"パート",'②-1職員名簿'!$W$7:$W$106,'②-1職員名簿'!$S$133)</f>
        <v>0</v>
      </c>
      <c r="K18" s="223">
        <f>COUNTIFS('②-1職員名簿'!AY$7:AY$106,"F",'②-2勤務時間数入力'!$C$7:$C$106,"嘱託常勤",'②-2勤務時間数入力'!AA$7:AA$106,"常",'②-1職員名簿'!$W$7:$W$106,'②-1職員名簿'!$S$133)</f>
        <v>0</v>
      </c>
      <c r="L18" s="223">
        <f>SUMIFS('②-2勤務時間数入力'!AA$7:AA$106,'②-1職員名簿'!AY$7:AY$106,"F",'②-1職員名簿'!$C$7:$C$106,"嘱託等",'②-1職員名簿'!$W$7:$W$106,'②-1職員名簿'!$S$133)</f>
        <v>0</v>
      </c>
      <c r="M18" s="223">
        <f>COUNTIFS('②-1職員名簿'!AY$7:AY$106,"F",'②-2勤務時間数入力'!O$7:O$106,"正",'②-1職員名簿'!$W$7:$W$106,'②-1職員名簿'!$S$131)</f>
        <v>0</v>
      </c>
      <c r="N18" s="223">
        <f>COUNTIFS('②-1職員名簿'!AY$7:AY$106,"F",'②-2勤務時間数入力'!$C$7:$C$106,"常勤的非常勤",'②-2勤務時間数入力'!AA$7:AA$106,"常",'②-1職員名簿'!$W$7:$W$106,'②-1職員名簿'!$S$131)</f>
        <v>0</v>
      </c>
      <c r="O18" s="223">
        <f>SUMIFS('②-2勤務時間数入力'!AA$7:AA$106,'②-1職員名簿'!AY$7:AY$106,"F",'②-1職員名簿'!$C$7:$C$106,"パート",'②-1職員名簿'!$W$7:$W$106,'②-1職員名簿'!$S$131)</f>
        <v>0</v>
      </c>
      <c r="P18" s="223">
        <f>COUNTIFS('②-1職員名簿'!AY$7:AY$106,"F",'②-2勤務時間数入力'!$C$7:$C$106,"嘱託常勤",'②-2勤務時間数入力'!AA$7:AA$106,"常",'②-1職員名簿'!$W$7:$W$106,'②-1職員名簿'!$S$131)</f>
        <v>0</v>
      </c>
      <c r="Q18" s="223">
        <f>SUMIFS('②-2勤務時間数入力'!AA$7:AA$106,'②-1職員名簿'!AY$7:AY$106,"F",'②-1職員名簿'!$C$7:$C$106,"嘱託等",'②-1職員名簿'!$W$7:$W$106,'②-1職員名簿'!$S$131)</f>
        <v>0</v>
      </c>
      <c r="R18" s="225">
        <f>COUNTIFS('②-1職員名簿'!$W$7:$W$106,"園長",'②-1職員名簿'!AY$7:AY$106,"F")</f>
        <v>0</v>
      </c>
      <c r="S18" s="131">
        <f t="shared" si="0"/>
        <v>0</v>
      </c>
      <c r="T18" s="130">
        <f t="shared" si="1"/>
        <v>0</v>
      </c>
      <c r="U18" s="135" t="e">
        <f t="shared" si="2"/>
        <v>#DIV/0!</v>
      </c>
      <c r="V18" s="135" t="e">
        <f t="shared" si="3"/>
        <v>#DIV/0!</v>
      </c>
    </row>
    <row r="19" spans="1:24" s="33" customFormat="1" ht="36" customHeight="1">
      <c r="A19" s="196">
        <v>2</v>
      </c>
      <c r="B19" s="128">
        <f>'②-2勤務時間数入力'!AH17</f>
        <v>0</v>
      </c>
      <c r="C19" s="223">
        <f>COUNTIFS('②-1職員名簿'!AZ$7:AZ$106,"F",'②-2勤務時間数入力'!P$7:P$106,"正",'②-1職員名簿'!$W$7:$W$106,'②-1職員名簿'!$S$132)</f>
        <v>0</v>
      </c>
      <c r="D19" s="223">
        <f>COUNTIFS('②-1職員名簿'!AZ$7:AZ$106,"F",'②-2勤務時間数入力'!$C$7:$C$106,"常勤的非常勤",'②-2勤務時間数入力'!AB$7:AB$106,"常",'②-1職員名簿'!$W$7:$W$106,'②-1職員名簿'!$S$132)</f>
        <v>0</v>
      </c>
      <c r="E19" s="223">
        <f>SUMIFS('②-2勤務時間数入力'!AB$7:AB$106,'②-1職員名簿'!AZ$7:AZ$106,"F",'②-1職員名簿'!$C$7:$C$106,"パート",'②-1職員名簿'!$W$7:$W$106,'②-1職員名簿'!$S$132)</f>
        <v>0</v>
      </c>
      <c r="F19" s="223">
        <f>COUNTIFS('②-1職員名簿'!AZ$7:AZ$106,"F",'②-2勤務時間数入力'!$C$7:$C$106,"嘱託常勤",'②-2勤務時間数入力'!AB$7:AB$106,"常",'②-1職員名簿'!$W$7:$W$106,'②-1職員名簿'!$S$132)</f>
        <v>0</v>
      </c>
      <c r="G19" s="223">
        <f>SUMIFS('②-2勤務時間数入力'!AB$7:AB$106,'②-1職員名簿'!AZ$7:AZ$106,"F",'②-1職員名簿'!$C$7:$C$106,"嘱託等",'②-1職員名簿'!$W$7:$W$106,'②-1職員名簿'!$S$132)</f>
        <v>0</v>
      </c>
      <c r="H19" s="223">
        <f>COUNTIFS('②-1職員名簿'!AZ$7:AZ$106,"F",'②-2勤務時間数入力'!P$7:P$106,"正",'②-1職員名簿'!$W$7:$W$106,'②-1職員名簿'!$S$133)</f>
        <v>0</v>
      </c>
      <c r="I19" s="223">
        <f>COUNTIFS('②-1職員名簿'!AZ$7:AZ$106,"F",'②-2勤務時間数入力'!$C$7:$C$106,"常勤的非常勤",'②-2勤務時間数入力'!AB$7:AB$106,"常",'②-1職員名簿'!$W$7:$W$106,'②-1職員名簿'!$S$133)</f>
        <v>0</v>
      </c>
      <c r="J19" s="223">
        <f>SUMIFS('②-2勤務時間数入力'!AB$7:AB$106,'②-1職員名簿'!AZ$7:AZ$106,"F",'②-1職員名簿'!$C$7:$C$106,"パート",'②-1職員名簿'!$W$7:$W$106,'②-1職員名簿'!$S$133)</f>
        <v>0</v>
      </c>
      <c r="K19" s="223">
        <f>COUNTIFS('②-1職員名簿'!AZ$7:AZ$106,"F",'②-2勤務時間数入力'!$C$7:$C$106,"嘱託常勤",'②-2勤務時間数入力'!AB$7:AB$106,"常",'②-1職員名簿'!$W$7:$W$106,'②-1職員名簿'!$S$133)</f>
        <v>0</v>
      </c>
      <c r="L19" s="223">
        <f>SUMIFS('②-2勤務時間数入力'!AB$7:AB$106,'②-1職員名簿'!AZ$7:AZ$106,"F",'②-1職員名簿'!$C$7:$C$106,"嘱託等",'②-1職員名簿'!$W$7:$W$106,'②-1職員名簿'!$S$133)</f>
        <v>0</v>
      </c>
      <c r="M19" s="223">
        <f>COUNTIFS('②-1職員名簿'!AZ$7:AZ$106,"F",'②-2勤務時間数入力'!P$7:P$106,"正",'②-1職員名簿'!$W$7:$W$106,'②-1職員名簿'!$S$131)</f>
        <v>0</v>
      </c>
      <c r="N19" s="223">
        <f>COUNTIFS('②-1職員名簿'!AZ$7:AZ$106,"F",'②-2勤務時間数入力'!$C$7:$C$106,"常勤的非常勤",'②-2勤務時間数入力'!AB$7:AB$106,"常",'②-1職員名簿'!$W$7:$W$106,'②-1職員名簿'!$S$131)</f>
        <v>0</v>
      </c>
      <c r="O19" s="223">
        <f>SUMIFS('②-2勤務時間数入力'!AB$7:AB$106,'②-1職員名簿'!AZ$7:AZ$106,"F",'②-1職員名簿'!$C$7:$C$106,"パート",'②-1職員名簿'!$W$7:$W$106,'②-1職員名簿'!$S$131)</f>
        <v>0</v>
      </c>
      <c r="P19" s="223">
        <f>COUNTIFS('②-1職員名簿'!AZ$7:AZ$106,"F",'②-2勤務時間数入力'!$C$7:$C$106,"嘱託常勤",'②-2勤務時間数入力'!AB$7:AB$106,"常",'②-1職員名簿'!$W$7:$W$106,'②-1職員名簿'!$S$131)</f>
        <v>0</v>
      </c>
      <c r="Q19" s="223">
        <f>SUMIFS('②-2勤務時間数入力'!AB$7:AB$106,'②-1職員名簿'!AZ$7:AZ$106,"F",'②-1職員名簿'!$C$7:$C$106,"嘱託等",'②-1職員名簿'!$W$7:$W$106,'②-1職員名簿'!$S$131)</f>
        <v>0</v>
      </c>
      <c r="R19" s="225">
        <f>COUNTIFS('②-1職員名簿'!$W$7:$W$106,"園長",'②-1職員名簿'!AZ$7:AZ$106,"F")</f>
        <v>0</v>
      </c>
      <c r="S19" s="131">
        <f t="shared" si="0"/>
        <v>0</v>
      </c>
      <c r="T19" s="130">
        <f t="shared" si="1"/>
        <v>0</v>
      </c>
      <c r="U19" s="135" t="e">
        <f t="shared" si="2"/>
        <v>#DIV/0!</v>
      </c>
      <c r="V19" s="135" t="e">
        <f t="shared" si="3"/>
        <v>#DIV/0!</v>
      </c>
    </row>
    <row r="20" spans="1:24" s="33" customFormat="1" ht="36" customHeight="1">
      <c r="A20" s="196">
        <v>3</v>
      </c>
      <c r="B20" s="128">
        <f>'②-2勤務時間数入力'!AH18</f>
        <v>0</v>
      </c>
      <c r="C20" s="223">
        <f>COUNTIFS('②-1職員名簿'!BA$7:BA$106,"F",'②-2勤務時間数入力'!Q$7:Q$106,"正",'②-1職員名簿'!$W$7:$W$106,'②-1職員名簿'!$S$132)</f>
        <v>0</v>
      </c>
      <c r="D20" s="223">
        <f>COUNTIFS('②-1職員名簿'!BA$7:BA$106,"F",'②-2勤務時間数入力'!$C$7:$C$106,"常勤的非常勤",'②-2勤務時間数入力'!AC$7:AC$106,"常",'②-1職員名簿'!$W$7:$W$106,'②-1職員名簿'!$S$132)</f>
        <v>0</v>
      </c>
      <c r="E20" s="223">
        <f>SUMIFS('②-2勤務時間数入力'!AC$7:AC$106,'②-1職員名簿'!BA$7:BA$106,"F",'②-1職員名簿'!$C$7:$C$106,"パート",'②-1職員名簿'!$W$7:$W$106,'②-1職員名簿'!$S$132)</f>
        <v>0</v>
      </c>
      <c r="F20" s="223">
        <f>COUNTIFS('②-1職員名簿'!BA$7:BA$106,"F",'②-2勤務時間数入力'!$C$7:$C$106,"嘱託常勤",'②-2勤務時間数入力'!AC$7:AC$106,"常",'②-1職員名簿'!$W$7:$W$106,'②-1職員名簿'!$S$132)</f>
        <v>0</v>
      </c>
      <c r="G20" s="223">
        <f>SUMIFS('②-2勤務時間数入力'!AC$7:AC$106,'②-1職員名簿'!BA$7:BA$106,"F",'②-1職員名簿'!$C$7:$C$106,"嘱託等",'②-1職員名簿'!$W$7:$W$106,'②-1職員名簿'!$S$132)</f>
        <v>0</v>
      </c>
      <c r="H20" s="223">
        <f>COUNTIFS('②-1職員名簿'!BA$7:BA$106,"F",'②-2勤務時間数入力'!Q$7:Q$106,"正",'②-1職員名簿'!$W$7:$W$106,'②-1職員名簿'!$S$133)</f>
        <v>0</v>
      </c>
      <c r="I20" s="223">
        <f>COUNTIFS('②-1職員名簿'!BA$7:BA$106,"F",'②-2勤務時間数入力'!$C$7:$C$106,"常勤的非常勤",'②-2勤務時間数入力'!AC$7:AC$106,"常",'②-1職員名簿'!$W$7:$W$106,'②-1職員名簿'!$S$133)</f>
        <v>0</v>
      </c>
      <c r="J20" s="223">
        <f>SUMIFS('②-2勤務時間数入力'!AC$7:AC$106,'②-1職員名簿'!BA$7:BA$106,"F",'②-1職員名簿'!$C$7:$C$106,"パート",'②-1職員名簿'!$W$7:$W$106,'②-1職員名簿'!$S$133)</f>
        <v>0</v>
      </c>
      <c r="K20" s="223">
        <f>COUNTIFS('②-1職員名簿'!BA$7:BA$106,"F",'②-2勤務時間数入力'!$C$7:$C$106,"嘱託常勤",'②-2勤務時間数入力'!AC$7:AC$106,"常",'②-1職員名簿'!$W$7:$W$106,'②-1職員名簿'!$S$133)</f>
        <v>0</v>
      </c>
      <c r="L20" s="223">
        <f>SUMIFS('②-2勤務時間数入力'!AC$7:AC$106,'②-1職員名簿'!BA$7:BA$106,"F",'②-1職員名簿'!$C$7:$C$106,"嘱託等",'②-1職員名簿'!$W$7:$W$106,'②-1職員名簿'!$S$133)</f>
        <v>0</v>
      </c>
      <c r="M20" s="223">
        <f>COUNTIFS('②-1職員名簿'!BA$7:BA$106,"F",'②-2勤務時間数入力'!Q$7:Q$106,"正",'②-1職員名簿'!$W$7:$W$106,'②-1職員名簿'!$S$131)</f>
        <v>0</v>
      </c>
      <c r="N20" s="223">
        <f>COUNTIFS('②-1職員名簿'!BA$7:BA$106,"F",'②-2勤務時間数入力'!$C$7:$C$106,"常勤的非常勤",'②-2勤務時間数入力'!AC$7:AC$106,"常",'②-1職員名簿'!$W$7:$W$106,'②-1職員名簿'!$S$131)</f>
        <v>0</v>
      </c>
      <c r="O20" s="223">
        <f>SUMIFS('②-2勤務時間数入力'!AC$7:AC$106,'②-1職員名簿'!BA$7:BA$106,"F",'②-1職員名簿'!$C$7:$C$106,"パート",'②-1職員名簿'!$W$7:$W$106,'②-1職員名簿'!$S$131)</f>
        <v>0</v>
      </c>
      <c r="P20" s="223">
        <f>COUNTIFS('②-1職員名簿'!BA$7:BA$106,"F",'②-2勤務時間数入力'!$C$7:$C$106,"嘱託常勤",'②-2勤務時間数入力'!AC$7:AC$106,"常",'②-1職員名簿'!$W$7:$W$106,'②-1職員名簿'!$S$131)</f>
        <v>0</v>
      </c>
      <c r="Q20" s="223">
        <f>SUMIFS('②-2勤務時間数入力'!AC$7:AC$106,'②-1職員名簿'!BA$7:BA$106,"F",'②-1職員名簿'!$C$7:$C$106,"嘱託等",'②-1職員名簿'!$W$7:$W$106,'②-1職員名簿'!$S$131)</f>
        <v>0</v>
      </c>
      <c r="R20" s="223">
        <f>COUNTIFS('②-1職員名簿'!$W$7:$W$106,"園長",'②-1職員名簿'!BA$7:BA$106,"F")</f>
        <v>0</v>
      </c>
      <c r="S20" s="131">
        <f t="shared" si="0"/>
        <v>0</v>
      </c>
      <c r="T20" s="130">
        <f t="shared" si="1"/>
        <v>0</v>
      </c>
      <c r="U20" s="135" t="e">
        <f t="shared" si="2"/>
        <v>#DIV/0!</v>
      </c>
      <c r="V20" s="135" t="e">
        <f t="shared" si="3"/>
        <v>#DIV/0!</v>
      </c>
    </row>
    <row r="21" spans="1:24" ht="18.75" customHeight="1">
      <c r="A21" s="34"/>
      <c r="C21" s="38"/>
      <c r="D21" s="46"/>
      <c r="E21" s="46"/>
      <c r="F21" s="46"/>
      <c r="G21" s="46"/>
      <c r="H21" s="38"/>
      <c r="I21" s="46"/>
      <c r="J21" s="46"/>
      <c r="K21" s="46"/>
      <c r="L21" s="46"/>
      <c r="M21" s="38"/>
      <c r="N21" s="46"/>
      <c r="O21" s="46"/>
      <c r="P21" s="46"/>
      <c r="Q21" s="46"/>
      <c r="R21" s="38"/>
      <c r="S21" s="38"/>
      <c r="T21" s="38"/>
      <c r="U21" s="38"/>
      <c r="V21" s="38"/>
    </row>
    <row r="22" spans="1:24" ht="18.75" customHeight="1">
      <c r="A22" s="41"/>
      <c r="B22" s="42"/>
      <c r="C22" s="38"/>
      <c r="D22" s="38"/>
      <c r="E22" s="38"/>
      <c r="F22" s="38"/>
      <c r="G22" s="38"/>
      <c r="H22" s="38"/>
      <c r="I22" s="38"/>
      <c r="J22" s="38"/>
      <c r="K22" s="38"/>
      <c r="L22" s="38"/>
      <c r="M22" s="38"/>
      <c r="N22" s="38"/>
      <c r="O22" s="38"/>
      <c r="P22" s="38"/>
      <c r="Q22" s="38"/>
      <c r="R22" s="46"/>
      <c r="S22" s="38"/>
      <c r="T22" s="42"/>
      <c r="U22" s="43"/>
      <c r="V22" s="43"/>
    </row>
    <row r="23" spans="1:24" ht="18.75" customHeight="1">
      <c r="A23" s="41"/>
      <c r="B23" s="645" t="s">
        <v>321</v>
      </c>
      <c r="C23" s="645"/>
      <c r="D23" s="645"/>
      <c r="E23" s="645"/>
      <c r="F23" s="645"/>
      <c r="G23" s="645"/>
      <c r="H23" s="645"/>
      <c r="I23" s="645"/>
      <c r="J23" s="645"/>
      <c r="K23" s="645"/>
      <c r="L23" s="645"/>
      <c r="M23" s="645"/>
      <c r="N23" s="645"/>
      <c r="O23" s="645"/>
      <c r="P23" s="645"/>
      <c r="Q23" s="645"/>
      <c r="R23" s="645"/>
      <c r="S23" s="645"/>
      <c r="T23" s="645"/>
      <c r="U23" s="644"/>
      <c r="V23" s="644"/>
      <c r="W23" s="644"/>
      <c r="X23" s="644"/>
    </row>
    <row r="24" spans="1:24" ht="18.75" customHeight="1">
      <c r="A24" s="41"/>
      <c r="B24" s="645" t="s">
        <v>323</v>
      </c>
      <c r="C24" s="645"/>
      <c r="D24" s="645"/>
      <c r="E24" s="645"/>
      <c r="F24" s="645"/>
      <c r="G24" s="645"/>
      <c r="H24" s="645"/>
      <c r="I24" s="645"/>
      <c r="J24" s="645"/>
      <c r="K24" s="645"/>
      <c r="L24" s="645"/>
      <c r="M24" s="645"/>
      <c r="N24" s="645"/>
      <c r="O24" s="645"/>
      <c r="P24" s="645"/>
      <c r="Q24" s="645"/>
      <c r="R24" s="645"/>
      <c r="S24" s="645"/>
      <c r="T24" s="645"/>
      <c r="U24" s="644"/>
      <c r="V24" s="644"/>
      <c r="W24" s="644"/>
      <c r="X24" s="644"/>
    </row>
    <row r="25" spans="1:24" ht="18.75" customHeight="1">
      <c r="B25" s="645" t="s">
        <v>322</v>
      </c>
      <c r="C25" s="645"/>
      <c r="D25" s="645"/>
      <c r="E25" s="645"/>
      <c r="F25" s="645"/>
      <c r="G25" s="645"/>
      <c r="H25" s="645"/>
      <c r="I25" s="645"/>
      <c r="J25" s="645"/>
      <c r="K25" s="645"/>
      <c r="L25" s="645"/>
      <c r="M25" s="645"/>
      <c r="N25" s="645"/>
      <c r="O25" s="645"/>
      <c r="P25" s="645"/>
      <c r="Q25" s="645"/>
      <c r="R25" s="645"/>
      <c r="S25" s="645"/>
      <c r="T25" s="645"/>
      <c r="U25" s="644"/>
      <c r="V25" s="644"/>
      <c r="W25" s="644"/>
      <c r="X25" s="644"/>
    </row>
    <row r="26" spans="1:24" ht="18.75" customHeight="1">
      <c r="A26" s="41"/>
      <c r="B26" s="645" t="s">
        <v>324</v>
      </c>
      <c r="C26" s="645"/>
      <c r="D26" s="645"/>
      <c r="E26" s="645"/>
      <c r="F26" s="645"/>
      <c r="G26" s="645"/>
      <c r="H26" s="645"/>
      <c r="I26" s="645"/>
      <c r="J26" s="645"/>
      <c r="K26" s="645"/>
      <c r="L26" s="645"/>
      <c r="M26" s="645"/>
      <c r="N26" s="645"/>
      <c r="O26" s="645"/>
      <c r="P26" s="645"/>
      <c r="Q26" s="645"/>
      <c r="R26" s="645"/>
      <c r="S26" s="645"/>
      <c r="T26" s="645"/>
      <c r="U26" s="644"/>
      <c r="V26" s="644"/>
      <c r="W26" s="644"/>
      <c r="X26" s="644"/>
    </row>
    <row r="27" spans="1:24" ht="18.75" customHeight="1">
      <c r="A27" s="35"/>
      <c r="B27" s="645"/>
      <c r="C27" s="645"/>
      <c r="D27" s="645"/>
      <c r="E27" s="645"/>
      <c r="F27" s="645"/>
      <c r="G27" s="645"/>
      <c r="H27" s="645"/>
      <c r="I27" s="645"/>
      <c r="J27" s="645"/>
      <c r="K27" s="645"/>
      <c r="L27" s="645"/>
      <c r="M27" s="645"/>
      <c r="N27" s="645"/>
      <c r="O27" s="645"/>
      <c r="P27" s="645"/>
      <c r="Q27" s="645"/>
      <c r="R27" s="645"/>
      <c r="S27" s="645"/>
      <c r="T27" s="645"/>
      <c r="U27" s="644"/>
      <c r="V27" s="644"/>
      <c r="W27" s="644"/>
      <c r="X27" s="644"/>
    </row>
    <row r="28" spans="1:24" ht="18.75" customHeight="1"/>
  </sheetData>
  <sheetProtection algorithmName="SHA-512" hashValue="g84U1TmUuQBSw/4Ub4SIqspflgDDy45rvAh/VXQjbnPdI0CBi+8M3nb0qKmarmL3vJ8tA4KUlaqsk/M6W7SMOA==" saltValue="fMwloASgW/D/sdySnAyaEw==" spinCount="100000" sheet="1" objects="1" scenarios="1" selectLockedCells="1"/>
  <mergeCells count="35">
    <mergeCell ref="L2:M2"/>
    <mergeCell ref="N2:V2"/>
    <mergeCell ref="A4:A8"/>
    <mergeCell ref="B4:B7"/>
    <mergeCell ref="C4:G4"/>
    <mergeCell ref="H4:L4"/>
    <mergeCell ref="M4:Q4"/>
    <mergeCell ref="R4:V4"/>
    <mergeCell ref="C5:E5"/>
    <mergeCell ref="F5:G5"/>
    <mergeCell ref="H5:J5"/>
    <mergeCell ref="K5:L5"/>
    <mergeCell ref="M5:O5"/>
    <mergeCell ref="M6:M7"/>
    <mergeCell ref="S5:U5"/>
    <mergeCell ref="V5:V8"/>
    <mergeCell ref="S6:S7"/>
    <mergeCell ref="T6:T7"/>
    <mergeCell ref="U6:U7"/>
    <mergeCell ref="P5:Q5"/>
    <mergeCell ref="H6:H7"/>
    <mergeCell ref="I6:I7"/>
    <mergeCell ref="J6:J7"/>
    <mergeCell ref="K6:K7"/>
    <mergeCell ref="L6:L7"/>
    <mergeCell ref="O6:O7"/>
    <mergeCell ref="P6:P7"/>
    <mergeCell ref="Q6:Q7"/>
    <mergeCell ref="R6:R7"/>
    <mergeCell ref="N6:N7"/>
    <mergeCell ref="C6:C7"/>
    <mergeCell ref="D6:D7"/>
    <mergeCell ref="E6:E7"/>
    <mergeCell ref="F6:F7"/>
    <mergeCell ref="G6:G7"/>
  </mergeCells>
  <phoneticPr fontId="1"/>
  <dataValidations count="2">
    <dataValidation allowBlank="1" showInputMessage="1" showErrorMessage="1" promptTitle="実際の人数（保育士）" prompt="名簿と照らし合わせて、施設長以外で、保育を行う職員を入力してください_x000a_（主任保育士、一時預かり、障害児保育、支援センター保育士を含みます！）_x000a_延長保育を行う保育士は除きます！_x000a__x000a_乳児が４人以上で保健師・看護師を保育士とみなす場合は。右のq、r、s欄に入力！" sqref="B131103:B131114 B196639:B196650 B262175:B262186 B327711:B327722 B393247:B393258 B458783:B458794 B524319:B524330 B589855:B589866 B655391:B655402 B720927:B720938 B786463:B786474 B851999:B852010 B917535:B917546 B983071:B983082 B65567:B65578" xr:uid="{42FA3F01-C311-4958-9011-95B87A6FC67A}"/>
    <dataValidation allowBlank="1" showErrorMessage="1" sqref="B9:V22" xr:uid="{EB90FEE9-B46D-4BCE-990A-D25AF3D03769}"/>
  </dataValidations>
  <printOptions horizontalCentered="1"/>
  <pageMargins left="0.51181102362204722" right="0.39370078740157483" top="0.51181102362204722" bottom="0.51181102362204722" header="0.51181102362204722" footer="0.51181102362204722"/>
  <pageSetup paperSize="9" scale="71" orientation="landscape" r:id="rId1"/>
  <headerFooter alignWithMargins="0"/>
  <rowBreaks count="1" manualBreakCount="1">
    <brk id="20" max="4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F5B31-F21D-4AEA-ABE6-6C7649ABEAC3}">
  <sheetPr>
    <tabColor theme="1"/>
  </sheetPr>
  <dimension ref="A1:AZ20"/>
  <sheetViews>
    <sheetView topLeftCell="AB1" workbookViewId="0">
      <selection activeCell="AU21" sqref="AU21"/>
    </sheetView>
  </sheetViews>
  <sheetFormatPr defaultColWidth="9" defaultRowHeight="18"/>
  <cols>
    <col min="1" max="1" width="9" style="241"/>
    <col min="2" max="7" width="9.08203125" style="241" bestFit="1" customWidth="1"/>
    <col min="8" max="8" width="9.33203125" style="241" bestFit="1" customWidth="1"/>
    <col min="9" max="10" width="9.08203125" style="241" bestFit="1" customWidth="1"/>
    <col min="11" max="11" width="9.33203125" style="241" bestFit="1" customWidth="1"/>
    <col min="12" max="15" width="9.08203125" style="241" bestFit="1" customWidth="1"/>
    <col min="16" max="16" width="9.33203125" style="241" bestFit="1" customWidth="1"/>
    <col min="17" max="17" width="9" style="241"/>
    <col min="18" max="21" width="9.08203125" style="241" bestFit="1" customWidth="1"/>
    <col min="22" max="22" width="9" style="241"/>
    <col min="23" max="28" width="9.33203125" style="241" bestFit="1" customWidth="1"/>
    <col min="29" max="29" width="9.08203125" style="241" bestFit="1" customWidth="1"/>
    <col min="30" max="30" width="9" style="241"/>
    <col min="31" max="43" width="9.33203125" style="241" bestFit="1" customWidth="1"/>
    <col min="44" max="45" width="9.08203125" style="241" bestFit="1" customWidth="1"/>
    <col min="46" max="48" width="9.33203125" style="241" bestFit="1" customWidth="1"/>
    <col min="49" max="49" width="9" style="241"/>
    <col min="50" max="50" width="9.33203125" style="241" bestFit="1" customWidth="1"/>
    <col min="51" max="52" width="9.08203125" style="241" bestFit="1" customWidth="1"/>
    <col min="53" max="16384" width="9" style="221"/>
  </cols>
  <sheetData>
    <row r="1" spans="1:52">
      <c r="B1" s="241" t="s">
        <v>552</v>
      </c>
      <c r="H1" s="241" t="s">
        <v>632</v>
      </c>
      <c r="O1" s="241" t="s">
        <v>633</v>
      </c>
      <c r="W1" s="241">
        <v>1</v>
      </c>
      <c r="X1" s="241">
        <v>2</v>
      </c>
      <c r="Y1" s="241">
        <v>3</v>
      </c>
      <c r="AB1" s="241">
        <v>4</v>
      </c>
      <c r="AE1" s="241">
        <v>1</v>
      </c>
      <c r="AF1" s="241">
        <f>AE1+1</f>
        <v>2</v>
      </c>
      <c r="AG1" s="241">
        <f>AF1+1</f>
        <v>3</v>
      </c>
      <c r="AQ1" s="241">
        <f>AG1+1</f>
        <v>4</v>
      </c>
      <c r="AS1" s="241">
        <f>AU1+1</f>
        <v>7</v>
      </c>
      <c r="AT1" s="241">
        <f>AQ1+1</f>
        <v>5</v>
      </c>
      <c r="AU1" s="241">
        <f t="shared" ref="AU1" si="0">AT1+1</f>
        <v>6</v>
      </c>
    </row>
    <row r="2" spans="1:52">
      <c r="B2" s="241" t="s">
        <v>667</v>
      </c>
      <c r="C2" s="241" t="s">
        <v>39</v>
      </c>
      <c r="D2" s="241" t="s">
        <v>517</v>
      </c>
      <c r="E2" s="241" t="s">
        <v>518</v>
      </c>
      <c r="G2" s="241" t="s">
        <v>634</v>
      </c>
      <c r="H2" s="241" t="s">
        <v>553</v>
      </c>
      <c r="I2" s="241" t="s">
        <v>667</v>
      </c>
      <c r="J2" s="241" t="s">
        <v>39</v>
      </c>
      <c r="K2" s="241" t="s">
        <v>517</v>
      </c>
      <c r="L2" s="241" t="s">
        <v>518</v>
      </c>
      <c r="N2" s="241" t="s">
        <v>635</v>
      </c>
      <c r="O2" s="241" t="s">
        <v>39</v>
      </c>
      <c r="P2" s="241" t="s">
        <v>517</v>
      </c>
      <c r="R2" s="241" t="s">
        <v>523</v>
      </c>
      <c r="S2" s="241" t="s">
        <v>524</v>
      </c>
      <c r="T2" s="241" t="s">
        <v>526</v>
      </c>
      <c r="U2" s="241" t="s">
        <v>525</v>
      </c>
      <c r="W2" s="241" t="s">
        <v>527</v>
      </c>
      <c r="X2" s="241" t="s">
        <v>528</v>
      </c>
      <c r="Y2" s="241" t="s">
        <v>529</v>
      </c>
      <c r="Z2" s="241" t="s">
        <v>531</v>
      </c>
      <c r="AA2" s="241" t="s">
        <v>532</v>
      </c>
      <c r="AB2" s="241" t="s">
        <v>530</v>
      </c>
      <c r="AC2" s="241" t="s">
        <v>533</v>
      </c>
      <c r="AE2" s="241" t="s">
        <v>527</v>
      </c>
      <c r="AF2" s="241" t="s">
        <v>543</v>
      </c>
      <c r="AG2" s="241" t="s">
        <v>544</v>
      </c>
      <c r="AH2" s="241" t="s">
        <v>530</v>
      </c>
      <c r="AR2" s="241" t="s">
        <v>533</v>
      </c>
      <c r="AT2" s="241" t="s">
        <v>545</v>
      </c>
      <c r="AU2" s="241" t="s">
        <v>531</v>
      </c>
      <c r="AV2" s="241" t="s">
        <v>532</v>
      </c>
      <c r="AX2" s="241" t="s">
        <v>801</v>
      </c>
      <c r="AY2" s="241" t="s">
        <v>811</v>
      </c>
      <c r="AZ2" s="241" t="s">
        <v>812</v>
      </c>
    </row>
    <row r="3" spans="1:52">
      <c r="E3" s="241" t="s">
        <v>556</v>
      </c>
      <c r="F3" s="241" t="s">
        <v>557</v>
      </c>
      <c r="L3" s="241" t="s">
        <v>556</v>
      </c>
      <c r="M3" s="241" t="s">
        <v>557</v>
      </c>
      <c r="AB3" s="241" t="s">
        <v>534</v>
      </c>
      <c r="AC3" s="241" t="s">
        <v>535</v>
      </c>
    </row>
    <row r="4" spans="1:52">
      <c r="B4" s="241" t="s">
        <v>519</v>
      </c>
      <c r="C4" s="241" t="s">
        <v>520</v>
      </c>
      <c r="D4" s="241" t="s">
        <v>521</v>
      </c>
      <c r="E4" s="241" t="s">
        <v>522</v>
      </c>
      <c r="G4" s="241" t="s">
        <v>541</v>
      </c>
      <c r="I4" s="241" t="s">
        <v>519</v>
      </c>
      <c r="J4" s="241" t="s">
        <v>520</v>
      </c>
      <c r="L4" s="241" t="s">
        <v>522</v>
      </c>
      <c r="N4" s="241" t="s">
        <v>541</v>
      </c>
      <c r="O4" s="241" t="s">
        <v>520</v>
      </c>
      <c r="P4" s="241" t="s">
        <v>521</v>
      </c>
    </row>
    <row r="5" spans="1:52">
      <c r="K5" s="241" t="s">
        <v>637</v>
      </c>
    </row>
    <row r="8" spans="1:52">
      <c r="B8" s="241" t="s">
        <v>547</v>
      </c>
      <c r="C8" s="241" t="s">
        <v>548</v>
      </c>
      <c r="D8" s="241" t="s">
        <v>549</v>
      </c>
      <c r="E8" s="241" t="s">
        <v>550</v>
      </c>
      <c r="F8" s="241" t="s">
        <v>554</v>
      </c>
      <c r="G8" s="241" t="s">
        <v>555</v>
      </c>
      <c r="I8" s="241" t="s">
        <v>547</v>
      </c>
      <c r="J8" s="241" t="s">
        <v>548</v>
      </c>
      <c r="K8" s="241" t="s">
        <v>549</v>
      </c>
      <c r="L8" s="241" t="s">
        <v>550</v>
      </c>
      <c r="M8" s="241" t="s">
        <v>554</v>
      </c>
      <c r="N8" s="241" t="s">
        <v>555</v>
      </c>
      <c r="O8" s="241" t="s">
        <v>548</v>
      </c>
      <c r="P8" s="241" t="s">
        <v>549</v>
      </c>
      <c r="AH8" s="241">
        <v>1</v>
      </c>
      <c r="AI8" s="241">
        <f t="shared" ref="AI8:AS8" si="1">AH8+1</f>
        <v>2</v>
      </c>
      <c r="AJ8" s="241">
        <f t="shared" si="1"/>
        <v>3</v>
      </c>
      <c r="AK8" s="241">
        <f t="shared" si="1"/>
        <v>4</v>
      </c>
      <c r="AL8" s="241">
        <f t="shared" si="1"/>
        <v>5</v>
      </c>
      <c r="AM8" s="241">
        <f t="shared" ref="AM8" si="2">AL8+1</f>
        <v>6</v>
      </c>
      <c r="AN8" s="241">
        <f t="shared" ref="AN8" si="3">AM8+1</f>
        <v>7</v>
      </c>
      <c r="AO8" s="241">
        <f t="shared" ref="AO8" si="4">AN8+1</f>
        <v>8</v>
      </c>
      <c r="AP8" s="241">
        <f t="shared" ref="AP8" si="5">AO8+1</f>
        <v>9</v>
      </c>
      <c r="AQ8" s="241">
        <f t="shared" ref="AQ8" si="6">AP8+1</f>
        <v>10</v>
      </c>
      <c r="AR8" s="241">
        <v>1</v>
      </c>
      <c r="AS8" s="241">
        <f t="shared" si="1"/>
        <v>2</v>
      </c>
    </row>
    <row r="9" spans="1:52">
      <c r="A9" s="241" t="s">
        <v>104</v>
      </c>
      <c r="B9" s="241" t="e">
        <f>'④-1月別配置内訳書(2)-(2)-(A)'!AA9</f>
        <v>#DIV/0!</v>
      </c>
      <c r="C9" s="241" t="e">
        <f>'④-2月別配置内訳書(2)-(2)-(B)'!AF9</f>
        <v>#DIV/0!</v>
      </c>
      <c r="D9" s="241" t="e">
        <f>'④-3月別配置内訳書(2)-(2)-(C)・(D)'!AB9</f>
        <v>#DIV/0!</v>
      </c>
      <c r="E9" s="242" t="e">
        <f>'④-3月別配置内訳書(2)-(2)-(C)・(D)'!BI9</f>
        <v>#DIV/0!</v>
      </c>
      <c r="F9" s="241" t="e">
        <f>'④-3月別配置内訳書(2)-(2)-(C)・(D)'!BJ9</f>
        <v>#DIV/0!</v>
      </c>
      <c r="G9" s="241" t="e">
        <f>'④-４月別配置内訳書(2)-(2)-(E)'!V9</f>
        <v>#DIV/0!</v>
      </c>
      <c r="H9" s="241" t="e">
        <f>I9+J9+K9</f>
        <v>#DIV/0!</v>
      </c>
      <c r="I9" s="241" t="e">
        <f>'④-1月別配置内訳書(2)-(2)-(A)'!AB9</f>
        <v>#DIV/0!</v>
      </c>
      <c r="J9" s="241" t="e">
        <f>'④-2月別配置内訳書(2)-(2)-(B)'!AG9</f>
        <v>#N/A</v>
      </c>
      <c r="K9" s="241" t="e">
        <f t="shared" ref="K9:K20" si="7">MIN($D9,1+IF($S9&gt;=$W$1,$R9,0))</f>
        <v>#DIV/0!</v>
      </c>
      <c r="L9" s="241" t="e">
        <f>'④-3月別配置内訳書(2)-(2)-(C)・(D)'!BK9</f>
        <v>#N/A</v>
      </c>
      <c r="M9" s="241" t="e">
        <f>'④-3月別配置内訳書(2)-(2)-(C)・(D)'!BL9</f>
        <v>#N/A</v>
      </c>
      <c r="N9" s="241" t="e">
        <f>G9</f>
        <v>#DIV/0!</v>
      </c>
      <c r="O9" s="241" t="e">
        <f>C9-J9</f>
        <v>#DIV/0!</v>
      </c>
      <c r="P9" s="241" t="e">
        <f>D9-K9</f>
        <v>#DIV/0!</v>
      </c>
      <c r="R9" s="241">
        <f>①基本情報!F27</f>
        <v>0</v>
      </c>
      <c r="S9" s="241">
        <f>①基本情報!F29</f>
        <v>0</v>
      </c>
      <c r="T9" s="241">
        <f>SUM('③児童数及び職員定数 (2)-(1)'!C10:D10)</f>
        <v>0</v>
      </c>
      <c r="U9" s="241">
        <f>IF(T9&gt;=66,2,IF(T9&gt;=36,1,0))</f>
        <v>0</v>
      </c>
      <c r="W9" s="241" t="e">
        <f>IF(AND($H9=$W$1,$K9=0,R9&gt;=$W$1,SUM(L9:N9)=0),"NG",IF(SUM($H9,$L9:$O9)&gt;=$W$1,"OK","NG"))</f>
        <v>#DIV/0!</v>
      </c>
      <c r="X9" s="241" t="e">
        <f>IF($H9&gt;=X$1,"OK","NG")</f>
        <v>#DIV/0!</v>
      </c>
      <c r="Y9" s="241" t="e">
        <f>IF($H9&gt;=Y$1,"OK","NG")</f>
        <v>#DIV/0!</v>
      </c>
      <c r="Z9" s="241" t="e">
        <f>IF($W9="OK",IF(SUM($L9:$N9)&gt;=1,"OK",IF(SUM($I9:$P9)-COUNTIF($W9:$Y9,"OK")-SUM($AB9,$AC9)&gt;=1,"OK","NG")),"NG")</f>
        <v>#DIV/0!</v>
      </c>
      <c r="AA9" s="241" t="e">
        <f>IF($W9="OK",IF(COUNTIF($W9:$Z9,"OK")=4,"NG",IF(SUM($L9:$N9)&gt;=2,"OK",IF(SUM($I9:$P9)-COUNTIF($W9:$Z9,"OK")-SUM($AB9,$AC9)&gt;=1,"OK","NG"))),"NG")</f>
        <v>#DIV/0!</v>
      </c>
      <c r="AB9" s="241" t="e">
        <f>IF(AND($H9=$W$1,$R9&gt;=$W$1),1,IF($S9&gt;=$W$1,IF(AND($H9&gt;=$AB$1,$R9&gt;=1),MIN(ROUNDDOWN(SUM($I9:$K9,$O9:$P9)-3,0),$R9),0),IF(AND($H9&gt;=$AB$1,$R9&gt;=1),MIN(ROUNDDOWN(SUM($I9:$K9,$O9)-3,0),$R9),0)))</f>
        <v>#DIV/0!</v>
      </c>
      <c r="AC9" s="241">
        <f>IF(U9&gt;=1,MIN(ROUNDDOWN(SUM(I9:J9,O9)-COUNTIF($AF9:$AL9,$B$8)-COUNTIF($AF9:$AL9,$C$8),0),U9),0)</f>
        <v>0</v>
      </c>
      <c r="AE9" s="241" t="e">
        <f>IF(W9="OK",IF($I9&gt;=$AE$1,I$8,IF($J9&gt;=$AE$1,J$8,IF($K9&gt;=$AE$1,K$8,"NG"))),"NG")</f>
        <v>#DIV/0!</v>
      </c>
      <c r="AF9" s="241" t="e">
        <f>IF(X9="OK",IF($J9&gt;=$AE$1+COUNTIF($AE9:AE9,$J$8),$J$8,IF($K9&gt;=$AE$1+COUNTIF($AE9:AE9,$K$8),$K$8,IF($I9&gt;=$AE$1+COUNTIF($AE9:AE9,$I$8),$I$8,"NG"))),"NG")</f>
        <v>#DIV/0!</v>
      </c>
      <c r="AG9" s="241" t="e">
        <f>IF(Y9="OK",IF($J9&gt;=$AE$1+COUNTIF($AE9:AF9,$J$8),$J$8,IF($K9&gt;=$AE$1+COUNTIF($AE9:AF9,$K$8),$K$8,IF($I9&gt;=$AE$1+COUNTIF($AE9:AF9,$I$8),$I$8,"NG"))),"NG")</f>
        <v>#DIV/0!</v>
      </c>
      <c r="AH9" s="241" t="e">
        <f>IF($AB9&gt;=AH$8,IF($S9&gt;=$AE$1,IF($J9&gt;=$AE$1+COUNTIF($AE9:AG9,$J$8),$J$8,IF($D9&gt;=$AE$1+COUNTIF($AE9:AG9,$D$8),$D$8,IF($I9&gt;=$AE$1+COUNTIF($AE9:AG9,$I$8),$I$8,"NG"))),IF($J9&gt;=$AE$1+COUNTIF($AE9:AG9,$J$8),$J$8,IF($I9&gt;=$AE$1+COUNTIF($AE9:AG9,$I$8),$I$8,"NG"))),"NG")</f>
        <v>#DIV/0!</v>
      </c>
      <c r="AI9" s="241" t="e">
        <f>IF($AB9&gt;=AI$8,IF($S9&gt;=$AE$1,IF($J9&gt;=$AE$1+COUNTIF($AE9:AH9,$J$8),$J$8,IF($D9&gt;=$AE$1+COUNTIF($AE9:AH9,$D$8),$D$8,IF($I9&gt;=$AE$1+COUNTIF($AE9:AH9,$I$8),$I$8,"NG"))),IF($J9&gt;=$AE$1+COUNTIF($AE9:AH9,$J$8),$J$8,IF($I9&gt;=$AE$1+COUNTIF($AE9:AH9,$I$8),$I$8,"NG"))),"NG")</f>
        <v>#DIV/0!</v>
      </c>
      <c r="AJ9" s="241" t="e">
        <f>IF($AB9&gt;=AJ$8,IF($S9&gt;=$AE$1,IF($J9&gt;=$AE$1+COUNTIF($AE9:AI9,$J$8),$J$8,IF($D9&gt;=$AE$1+COUNTIF($AE9:AI9,$D$8),$D$8,IF($I9&gt;=$AE$1+COUNTIF($AE9:AI9,$I$8),$I$8,"NG"))),IF($J9&gt;=$AE$1+COUNTIF($AE9:AI9,$J$8),$J$8,IF($I9&gt;=$AE$1+COUNTIF($AE9:AI9,$I$8),$I$8,"NG"))),"NG")</f>
        <v>#DIV/0!</v>
      </c>
      <c r="AK9" s="241" t="e">
        <f>IF($AB9&gt;=AK$8,IF($S9&gt;=$AE$1,IF($J9&gt;=$AE$1+COUNTIF($AE9:AJ9,$J$8),$J$8,IF($D9&gt;=$AE$1+COUNTIF($AE9:AJ9,$D$8),$D$8,IF($I9&gt;=$AE$1+COUNTIF($AE9:AJ9,$I$8),$I$8,"NG"))),IF($J9&gt;=$AE$1+COUNTIF($AE9:AJ9,$J$8),$J$8,IF($I9&gt;=$AE$1+COUNTIF($AE9:AJ9,$I$8),$I$8,"NG"))),"NG")</f>
        <v>#DIV/0!</v>
      </c>
      <c r="AL9" s="241" t="e">
        <f>IF($AB9&gt;=AL$8,IF($S9&gt;=$AE$1,IF($J9&gt;=$AE$1+COUNTIF($AE9:AK9,$J$8),$J$8,IF($D9&gt;=$AE$1+COUNTIF($AE9:AK9,$D$8),$D$8,IF($I9&gt;=$AE$1+COUNTIF($AE9:AK9,$I$8),$I$8,"NG"))),IF($J9&gt;=$AE$1+COUNTIF($AE9:AK9,$J$8),$J$8,IF($I9&gt;=$AE$1+COUNTIF($AE9:AK9,$I$8),$I$8,"NG"))),"NG")</f>
        <v>#DIV/0!</v>
      </c>
      <c r="AM9" s="241" t="e">
        <f>IF($AB9&gt;=AM$8,IF($S9&gt;=$AE$1,IF($J9&gt;=$AE$1+COUNTIF($AE9:AL9,$J$8),$J$8,IF($D9&gt;=$AE$1+COUNTIF($AE9:AL9,$D$8),$D$8,IF($I9&gt;=$AE$1+COUNTIF($AE9:AL9,$I$8),$I$8,"NG"))),IF($J9&gt;=$AE$1+COUNTIF($AE9:AL9,$J$8),$J$8,IF($I9&gt;=$AE$1+COUNTIF($AE9:AL9,$I$8),$I$8,"NG"))),"NG")</f>
        <v>#DIV/0!</v>
      </c>
      <c r="AN9" s="241" t="e">
        <f>IF($AB9&gt;=AN$8,IF($S9&gt;=$AE$1,IF($J9&gt;=$AE$1+COUNTIF($AE9:AM9,$J$8),$J$8,IF($D9&gt;=$AE$1+COUNTIF($AE9:AM9,$D$8),$D$8,IF($I9&gt;=$AE$1+COUNTIF($AE9:AM9,$I$8),$I$8,"NG"))),IF($J9&gt;=$AE$1+COUNTIF($AE9:AM9,$J$8),$J$8,IF($I9&gt;=$AE$1+COUNTIF($AE9:AM9,$I$8),$I$8,"NG"))),"NG")</f>
        <v>#DIV/0!</v>
      </c>
      <c r="AO9" s="241" t="e">
        <f>IF($AB9&gt;=AO$8,IF($S9&gt;=$AE$1,IF($J9&gt;=$AE$1+COUNTIF($AE9:AN9,$J$8),$J$8,IF($D9&gt;=$AE$1+COUNTIF($AE9:AN9,$D$8),$D$8,IF($I9&gt;=$AE$1+COUNTIF($AE9:AN9,$I$8),$I$8,"NG"))),IF($J9&gt;=$AE$1+COUNTIF($AE9:AN9,$J$8),$J$8,IF($I9&gt;=$AE$1+COUNTIF($AE9:AN9,$I$8),$I$8,"NG"))),"NG")</f>
        <v>#DIV/0!</v>
      </c>
      <c r="AP9" s="241" t="e">
        <f>IF($AB9&gt;=AP$8,IF($S9&gt;=$AE$1,IF($J9&gt;=$AE$1+COUNTIF($AE9:AO9,$J$8),$J$8,IF($D9&gt;=$AE$1+COUNTIF($AE9:AO9,$D$8),$D$8,IF($I9&gt;=$AE$1+COUNTIF($AE9:AO9,$I$8),$I$8,"NG"))),IF($J9&gt;=$AE$1+COUNTIF($AE9:AO9,$J$8),$J$8,IF($I9&gt;=$AE$1+COUNTIF($AE9:AO9,$I$8),$I$8,"NG"))),"NG")</f>
        <v>#DIV/0!</v>
      </c>
      <c r="AQ9" s="241" t="e">
        <f>IF($AB9&gt;=AQ$8,IF($S9&gt;=$AE$1,IF($J9&gt;=$AE$1+COUNTIF($AE9:AP9,$J$8),$J$8,IF($D9&gt;=$AE$1+COUNTIF($AE9:AP9,$D$8),$D$8,IF($I9&gt;=$AE$1+COUNTIF($AE9:AP9,$I$8),$I$8,"NG"))),IF($J9&gt;=$AE$1+COUNTIF($AE9:AP9,$J$8),$J$8,IF($I9&gt;=$AE$1+COUNTIF($AE9:AP9,$I$8),$I$8,"NG"))),"NG")</f>
        <v>#DIV/0!</v>
      </c>
      <c r="AR9" s="241" t="str">
        <f>IF($AC9&gt;=AR$8,IF($J9&gt;=$AE$1+COUNTIF($AE9:AQ9,$J$8),$J$8,IF($I9&gt;=$AE$1+COUNTIF($AE9:AQ9,$I$8),$I$8,"NG")),"NG")</f>
        <v>NG</v>
      </c>
      <c r="AS9" s="241" t="str">
        <f>IF($AC9&gt;=AS$8,IF($J9&gt;=$AE$1+COUNTIF($AE9:AR9,$J$8),$J$8,IF($I9&gt;=$AE$1+COUNTIF($AE9:AR9,$I$8),$I$8,"NG")),"NG")</f>
        <v>NG</v>
      </c>
      <c r="AT9" s="241" t="e">
        <f>IF(AND(W9="OK",AE9="NG"),IF($N9&gt;=$AE$1+COUNTIF($AE9:AS9,$N$8),$N$8,IF($M9&gt;=$AE$1+COUNTIF($AE9:AS9,$M$8),$M$8,IF($L9&gt;=$AE$1+COUNTIF($AE9:AS9,$L$8),$L$8,"NG"))),"NG")</f>
        <v>#DIV/0!</v>
      </c>
      <c r="AU9" s="241" t="e">
        <f>IF(Z9="OK",IF($C9&gt;=$AE$1+COUNTIF($AE9:AT9,$C$8),$C$8,IF($D9&gt;=$AE$1+COUNTIF($AE9:AT9,$D$8),$D$8,IF($N9&gt;=$AE$1+COUNTIF($AE9:AT9,$N$8),$N$8,IF($I9&gt;=$AE$1+COUNTIF($AE9:AT9,$I$8),$I$8,IF($M9&gt;=$AE$1+COUNTIF($AE9:AT9,$M$8),$M$8,IF($L9&gt;=$AE$1+COUNTIF($AE9:AT9,$L$8),$L$8,"NG")))))),"NG")</f>
        <v>#DIV/0!</v>
      </c>
      <c r="AV9" s="241" t="e">
        <f>IF(AA9="OK",IF(COUNTIF($AE9:AU9,$L$8)+COUNTIF($AE9:AU9,$M$8)+COUNTIF($AE9:AU9,$N$8)&gt;=2,"NG",IF($C9&gt;=$AE$1+COUNTIF($AE9:AU9,$C$8),$C$8,IF($D9&gt;=$AE$1+COUNTIF($AE9:AU9,$D$8),$D$8,IF($N9&gt;=$AE$1+COUNTIF($AE9:AU9,$N$8),$N$8,IF($M9&gt;=$AE$1+COUNTIF($AE9:AU9,$M$8),$M$8,IF($I9&gt;=$AE$1+COUNTIF($AE9:AU9,$I$8),$I$8,IF($L9&gt;=$AE$1+COUNTIF($AE9:AU9,$L$8),$L$8,"NG"))))))),"NG")</f>
        <v>#DIV/0!</v>
      </c>
      <c r="AX9" s="241" t="e">
        <f>IF(AE9="NG",AT9,AE9)</f>
        <v>#DIV/0!</v>
      </c>
      <c r="AY9" s="241">
        <f>COUNTIF($AH9:$AQ9,"A")+COUNTIF($AH9:$AQ9,"B")+COUNTIF($AH9:$AQ9,"C")</f>
        <v>0</v>
      </c>
      <c r="AZ9" s="241">
        <f>COUNTIF($AR9:$AS9,"A")+COUNTIF($AR9:$AS9,"B")</f>
        <v>0</v>
      </c>
    </row>
    <row r="10" spans="1:52">
      <c r="A10" s="241" t="s">
        <v>105</v>
      </c>
      <c r="B10" s="241" t="e">
        <f>'④-1月別配置内訳書(2)-(2)-(A)'!AA10</f>
        <v>#DIV/0!</v>
      </c>
      <c r="C10" s="241" t="e">
        <f>'④-2月別配置内訳書(2)-(2)-(B)'!AF10</f>
        <v>#DIV/0!</v>
      </c>
      <c r="D10" s="241" t="e">
        <f>'④-3月別配置内訳書(2)-(2)-(C)・(D)'!AB10</f>
        <v>#DIV/0!</v>
      </c>
      <c r="E10" s="242" t="e">
        <f>'④-3月別配置内訳書(2)-(2)-(C)・(D)'!BI10</f>
        <v>#DIV/0!</v>
      </c>
      <c r="F10" s="241" t="e">
        <f>'④-3月別配置内訳書(2)-(2)-(C)・(D)'!BJ10</f>
        <v>#DIV/0!</v>
      </c>
      <c r="G10" s="241" t="e">
        <f>'④-４月別配置内訳書(2)-(2)-(E)'!V10</f>
        <v>#DIV/0!</v>
      </c>
      <c r="H10" s="241" t="e">
        <f>I10+J10+K10</f>
        <v>#DIV/0!</v>
      </c>
      <c r="I10" s="241" t="e">
        <f>'④-1月別配置内訳書(2)-(2)-(A)'!AB10</f>
        <v>#DIV/0!</v>
      </c>
      <c r="J10" s="241" t="e">
        <f>'④-2月別配置内訳書(2)-(2)-(B)'!AG10</f>
        <v>#N/A</v>
      </c>
      <c r="K10" s="241" t="e">
        <f t="shared" si="7"/>
        <v>#DIV/0!</v>
      </c>
      <c r="L10" s="241" t="e">
        <f>'④-3月別配置内訳書(2)-(2)-(C)・(D)'!BK10</f>
        <v>#N/A</v>
      </c>
      <c r="M10" s="241" t="e">
        <f>'④-3月別配置内訳書(2)-(2)-(C)・(D)'!BL10</f>
        <v>#N/A</v>
      </c>
      <c r="N10" s="241" t="e">
        <f t="shared" ref="N10:N14" si="8">G10</f>
        <v>#DIV/0!</v>
      </c>
      <c r="O10" s="241" t="e">
        <f t="shared" ref="O10:O14" si="9">C10-J10</f>
        <v>#DIV/0!</v>
      </c>
      <c r="P10" s="241" t="e">
        <f t="shared" ref="P10:P14" si="10">D10-K10</f>
        <v>#DIV/0!</v>
      </c>
      <c r="R10" s="241">
        <f>①基本情報!G27</f>
        <v>0</v>
      </c>
      <c r="S10" s="241">
        <f>①基本情報!G29</f>
        <v>0</v>
      </c>
      <c r="T10" s="241">
        <f>SUM('③児童数及び職員定数 (2)-(1)'!C11:D11)</f>
        <v>0</v>
      </c>
      <c r="U10" s="241">
        <f>IF(T10&gt;=66,2,IF(T10&gt;=36,1,0))</f>
        <v>0</v>
      </c>
      <c r="W10" s="241" t="e">
        <f t="shared" ref="W10:W20" si="11">IF(AND($H10=$W$1,$K10=0,R10&gt;=$W$1,SUM(L10:N10)=0),"NG",IF(SUM($H10,$L10:$O10)&gt;=$W$1,"OK","NG"))</f>
        <v>#DIV/0!</v>
      </c>
      <c r="X10" s="241" t="e">
        <f t="shared" ref="X10:Y20" si="12">IF($H10&gt;=X$1,"OK","NG")</f>
        <v>#DIV/0!</v>
      </c>
      <c r="Y10" s="241" t="e">
        <f t="shared" si="12"/>
        <v>#DIV/0!</v>
      </c>
      <c r="Z10" s="241" t="e">
        <f t="shared" ref="Z10:Z20" si="13">IF($W10="OK",IF(SUM($L10:$N10)&gt;=1,"OK",IF(SUM($I10:$P10)-COUNTIF($W10:$Y10,"OK")-SUM($AB10,$AC10)&gt;=1,"OK","NG")),"NG")</f>
        <v>#DIV/0!</v>
      </c>
      <c r="AA10" s="241" t="e">
        <f t="shared" ref="AA10:AA20" si="14">IF($W10="OK",IF(COUNTIF($W10:$Z10,"OK")=4,"NG",IF(SUM($L10:$N10)&gt;=2,"OK",IF(SUM($I10:$P10)-COUNTIF($W10:$Z10,"OK")-SUM($AB10,$AC10)&gt;=1,"OK","NG"))),"NG")</f>
        <v>#DIV/0!</v>
      </c>
      <c r="AB10" s="241" t="e">
        <f>IF(AND($H10=$W$1,$R10&gt;=$W$1),1,IF($S10&gt;=$W$1,IF(AND($H10&gt;=$AB$1,$R10&gt;=1),MIN(ROUNDDOWN(SUM($I10:$K10,$O10:$P10)-3,0),$R10),0),IF(AND($H10&gt;=$AB$1,$R10&gt;=1),MIN(ROUNDDOWN(SUM($I10:$K10,$O10)-3,0),$R10),0)))</f>
        <v>#DIV/0!</v>
      </c>
      <c r="AC10" s="241">
        <f>IF(U10&gt;=1,MIN(ROUNDDOWN(SUM(I10:J10,O10)-COUNTIF($AF10:$AL10,$B$8)-COUNTIF($AF10:$AL10,$C$8),0),U10),0)</f>
        <v>0</v>
      </c>
      <c r="AE10" s="241" t="e">
        <f t="shared" ref="AE10:AE14" si="15">IF(W10="OK",IF($I10&gt;=$AE$1,I$8,IF($J10&gt;=$AE$1,J$8,IF($K10&gt;=$AE$1,K$8,"NG"))),"NG")</f>
        <v>#DIV/0!</v>
      </c>
      <c r="AF10" s="241" t="e">
        <f>IF(X10="OK",IF($J10&gt;=$AE$1+COUNTIF($AE10:AE10,$J$8),$J$8,IF($K10&gt;=$AE$1+COUNTIF($AE10:AE10,$K$8),$K$8,IF($I10&gt;=$AE$1+COUNTIF($AE10:AE10,$I$8),$I$8,"NG"))),"NG")</f>
        <v>#DIV/0!</v>
      </c>
      <c r="AG10" s="241" t="e">
        <f>IF(Y10="OK",IF($J10&gt;=$AE$1+COUNTIF($AE10:AF10,$J$8),$J$8,IF($K10&gt;=$AE$1+COUNTIF($AE10:AF10,$K$8),$K$8,IF($I10&gt;=$AE$1+COUNTIF($AE10:AF10,$I$8),$I$8,"NG"))),"NG")</f>
        <v>#DIV/0!</v>
      </c>
      <c r="AH10" s="241" t="e">
        <f>IF($AB10&gt;=AH$8,IF($S10&gt;=$AE$1,IF($J10&gt;=$AE$1+COUNTIF($AE10:AG10,$J$8),$J$8,IF($D10&gt;=$AE$1+COUNTIF($AE10:AG10,$D$8),$D$8,IF($I10&gt;=$AE$1+COUNTIF($AE10:AG10,$I$8),$I$8,"NG"))),IF($J10&gt;=$AE$1+COUNTIF($AE10:AG10,$J$8),$J$8,IF($I10&gt;=$AE$1+COUNTIF($AE10:AG10,$I$8),$I$8,"NG"))),"NG")</f>
        <v>#DIV/0!</v>
      </c>
      <c r="AI10" s="241" t="e">
        <f>IF($AB10&gt;=AI$8,IF($S10&gt;=$AE$1,IF($J10&gt;=$AE$1+COUNTIF($AE10:AH10,$J$8),$J$8,IF($D10&gt;=$AE$1+COUNTIF($AE10:AH10,$D$8),$D$8,IF($I10&gt;=$AE$1+COUNTIF($AE10:AH10,$I$8),$I$8,"NG"))),IF($J10&gt;=$AE$1+COUNTIF($AE10:AH10,$J$8),$J$8,IF($I10&gt;=$AE$1+COUNTIF($AE10:AH10,$I$8),$I$8,"NG"))),"NG")</f>
        <v>#DIV/0!</v>
      </c>
      <c r="AJ10" s="241" t="e">
        <f>IF($AB10&gt;=AJ$8,IF($S10&gt;=$AE$1,IF($J10&gt;=$AE$1+COUNTIF($AE10:AI10,$J$8),$J$8,IF($D10&gt;=$AE$1+COUNTIF($AE10:AI10,$D$8),$D$8,IF($I10&gt;=$AE$1+COUNTIF($AE10:AI10,$I$8),$I$8,"NG"))),IF($J10&gt;=$AE$1+COUNTIF($AE10:AI10,$J$8),$J$8,IF($I10&gt;=$AE$1+COUNTIF($AE10:AI10,$I$8),$I$8,"NG"))),"NG")</f>
        <v>#DIV/0!</v>
      </c>
      <c r="AK10" s="241" t="e">
        <f>IF($AB10&gt;=AK$8,IF($S10&gt;=$AE$1,IF($J10&gt;=$AE$1+COUNTIF($AE10:AJ10,$J$8),$J$8,IF($D10&gt;=$AE$1+COUNTIF($AE10:AJ10,$D$8),$D$8,IF($I10&gt;=$AE$1+COUNTIF($AE10:AJ10,$I$8),$I$8,"NG"))),IF($J10&gt;=$AE$1+COUNTIF($AE10:AJ10,$J$8),$J$8,IF($I10&gt;=$AE$1+COUNTIF($AE10:AJ10,$I$8),$I$8,"NG"))),"NG")</f>
        <v>#DIV/0!</v>
      </c>
      <c r="AL10" s="241" t="e">
        <f>IF($AB10&gt;=AL$8,IF($S10&gt;=$AE$1,IF($J10&gt;=$AE$1+COUNTIF($AE10:AK10,$J$8),$J$8,IF($D10&gt;=$AE$1+COUNTIF($AE10:AK10,$D$8),$D$8,IF($I10&gt;=$AE$1+COUNTIF($AE10:AK10,$I$8),$I$8,"NG"))),IF($J10&gt;=$AE$1+COUNTIF($AE10:AK10,$J$8),$J$8,IF($I10&gt;=$AE$1+COUNTIF($AE10:AK10,$I$8),$I$8,"NG"))),"NG")</f>
        <v>#DIV/0!</v>
      </c>
      <c r="AM10" s="241" t="e">
        <f>IF($AB10&gt;=AM$8,IF($S10&gt;=$AE$1,IF($J10&gt;=$AE$1+COUNTIF($AE10:AL10,$J$8),$J$8,IF($D10&gt;=$AE$1+COUNTIF($AE10:AL10,$D$8),$D$8,IF($I10&gt;=$AE$1+COUNTIF($AE10:AL10,$I$8),$I$8,"NG"))),IF($J10&gt;=$AE$1+COUNTIF($AE10:AL10,$J$8),$J$8,IF($I10&gt;=$AE$1+COUNTIF($AE10:AL10,$I$8),$I$8,"NG"))),"NG")</f>
        <v>#DIV/0!</v>
      </c>
      <c r="AN10" s="241" t="e">
        <f>IF($AB10&gt;=AN$8,IF($S10&gt;=$AE$1,IF($J10&gt;=$AE$1+COUNTIF($AE10:AM10,$J$8),$J$8,IF($D10&gt;=$AE$1+COUNTIF($AE10:AM10,$D$8),$D$8,IF($I10&gt;=$AE$1+COUNTIF($AE10:AM10,$I$8),$I$8,"NG"))),IF($J10&gt;=$AE$1+COUNTIF($AE10:AM10,$J$8),$J$8,IF($I10&gt;=$AE$1+COUNTIF($AE10:AM10,$I$8),$I$8,"NG"))),"NG")</f>
        <v>#DIV/0!</v>
      </c>
      <c r="AO10" s="241" t="e">
        <f>IF($AB10&gt;=AO$8,IF($S10&gt;=$AE$1,IF($J10&gt;=$AE$1+COUNTIF($AE10:AN10,$J$8),$J$8,IF($D10&gt;=$AE$1+COUNTIF($AE10:AN10,$D$8),$D$8,IF($I10&gt;=$AE$1+COUNTIF($AE10:AN10,$I$8),$I$8,"NG"))),IF($J10&gt;=$AE$1+COUNTIF($AE10:AN10,$J$8),$J$8,IF($I10&gt;=$AE$1+COUNTIF($AE10:AN10,$I$8),$I$8,"NG"))),"NG")</f>
        <v>#DIV/0!</v>
      </c>
      <c r="AP10" s="241" t="e">
        <f>IF($AB10&gt;=AP$8,IF($S10&gt;=$AE$1,IF($J10&gt;=$AE$1+COUNTIF($AE10:AO10,$J$8),$J$8,IF($D10&gt;=$AE$1+COUNTIF($AE10:AO10,$D$8),$D$8,IF($I10&gt;=$AE$1+COUNTIF($AE10:AO10,$I$8),$I$8,"NG"))),IF($J10&gt;=$AE$1+COUNTIF($AE10:AO10,$J$8),$J$8,IF($I10&gt;=$AE$1+COUNTIF($AE10:AO10,$I$8),$I$8,"NG"))),"NG")</f>
        <v>#DIV/0!</v>
      </c>
      <c r="AQ10" s="241" t="e">
        <f>IF($AB10&gt;=AQ$8,IF($S10&gt;=$AE$1,IF($J10&gt;=$AE$1+COUNTIF($AE10:AP10,$J$8),$J$8,IF($D10&gt;=$AE$1+COUNTIF($AE10:AP10,$D$8),$D$8,IF($I10&gt;=$AE$1+COUNTIF($AE10:AP10,$I$8),$I$8,"NG"))),IF($J10&gt;=$AE$1+COUNTIF($AE10:AP10,$J$8),$J$8,IF($I10&gt;=$AE$1+COUNTIF($AE10:AP10,$I$8),$I$8,"NG"))),"NG")</f>
        <v>#DIV/0!</v>
      </c>
      <c r="AR10" s="241" t="str">
        <f>IF($AC10&gt;=AR$8,IF($J10&gt;=$AE$1+COUNTIF($AE10:AQ10,$J$8),$J$8,IF($I10&gt;=$AE$1+COUNTIF($AE10:AQ10,$I$8),$I$8,"NG")),"NG")</f>
        <v>NG</v>
      </c>
      <c r="AS10" s="241" t="str">
        <f>IF($AC10&gt;=AS$8,IF($J10&gt;=$AE$1+COUNTIF($AE10:AR10,$J$8),$J$8,IF($I10&gt;=$AE$1+COUNTIF($AE10:AR10,$I$8),$I$8,"NG")),"NG")</f>
        <v>NG</v>
      </c>
      <c r="AT10" s="241" t="e">
        <f>IF(AND(W10="OK",AE10="NG"),IF($N10&gt;=$AE$1+COUNTIF($AE10:AS10,$N$8),$N$8,IF($M10&gt;=$AE$1+COUNTIF($AE10:AS10,$M$8),$M$8,IF($L10&gt;=$AE$1+COUNTIF($AE10:AS10,$L$8),$L$8,"NG"))),"NG")</f>
        <v>#DIV/0!</v>
      </c>
      <c r="AU10" s="241" t="e">
        <f>IF(Z10="OK",IF($C10&gt;=$AE$1+COUNTIF($AE10:AT10,$C$8),$C$8,IF($D10&gt;=$AE$1+COUNTIF($AE10:AT10,$D$8),$D$8,IF($N10&gt;=$AE$1+COUNTIF($AE10:AT10,$N$8),$N$8,IF($I10&gt;=$AE$1+COUNTIF($AE10:AT10,$I$8),$I$8,IF($M10&gt;=$AE$1+COUNTIF($AE10:AT10,$M$8),$M$8,IF($L10&gt;=$AE$1+COUNTIF($AE10:AT10,$L$8),$L$8,"NG")))))),"NG")</f>
        <v>#DIV/0!</v>
      </c>
      <c r="AV10" s="241" t="e">
        <f>IF(AA10="OK",IF(COUNTIF($AE10:AU10,$L$8)+COUNTIF($AE10:AU10,$M$8)+COUNTIF($AE10:AU10,$N$8)&gt;=2,"NG",IF($C10&gt;=$AE$1+COUNTIF($AE10:AU10,$C$8),$C$8,IF($D10&gt;=$AE$1+COUNTIF($AE10:AU10,$D$8),$D$8,IF($N10&gt;=$AE$1+COUNTIF($AE10:AU10,$N$8),$N$8,IF($M10&gt;=$AE$1+COUNTIF($AE10:AU10,$M$8),$M$8,IF($I10&gt;=$AE$1+COUNTIF($AE10:AU10,$I$8),$I$8,IF($L10&gt;=$AE$1+COUNTIF($AE10:AU10,$L$8),$L$8,"NG"))))))),"NG")</f>
        <v>#DIV/0!</v>
      </c>
      <c r="AX10" s="241" t="e">
        <f>IF(AE10="NG",AT10,AE10)</f>
        <v>#DIV/0!</v>
      </c>
      <c r="AY10" s="241">
        <f>COUNTIF($AH10:$AQ10,"A")+COUNTIF($AH10:$AQ10,"B")+COUNTIF($AH10:$AQ10,"C")</f>
        <v>0</v>
      </c>
      <c r="AZ10" s="241">
        <f>COUNTIF($AR10:$AS10,"A")+COUNTIF($AR10:$AS10,"B")</f>
        <v>0</v>
      </c>
    </row>
    <row r="11" spans="1:52">
      <c r="A11" s="241" t="s">
        <v>106</v>
      </c>
      <c r="B11" s="241" t="e">
        <f>'④-1月別配置内訳書(2)-(2)-(A)'!AA11</f>
        <v>#DIV/0!</v>
      </c>
      <c r="C11" s="241" t="e">
        <f>'④-2月別配置内訳書(2)-(2)-(B)'!AF11</f>
        <v>#DIV/0!</v>
      </c>
      <c r="D11" s="241" t="e">
        <f>'④-3月別配置内訳書(2)-(2)-(C)・(D)'!AB11</f>
        <v>#DIV/0!</v>
      </c>
      <c r="E11" s="242" t="e">
        <f>'④-3月別配置内訳書(2)-(2)-(C)・(D)'!BI11</f>
        <v>#DIV/0!</v>
      </c>
      <c r="F11" s="241" t="e">
        <f>'④-3月別配置内訳書(2)-(2)-(C)・(D)'!BJ11</f>
        <v>#DIV/0!</v>
      </c>
      <c r="G11" s="241" t="e">
        <f>'④-４月別配置内訳書(2)-(2)-(E)'!V11</f>
        <v>#DIV/0!</v>
      </c>
      <c r="H11" s="241" t="e">
        <f t="shared" ref="H11:H14" si="16">I11+J11+K11</f>
        <v>#DIV/0!</v>
      </c>
      <c r="I11" s="241" t="e">
        <f>'④-1月別配置内訳書(2)-(2)-(A)'!AB11</f>
        <v>#DIV/0!</v>
      </c>
      <c r="J11" s="241" t="e">
        <f>'④-2月別配置内訳書(2)-(2)-(B)'!AG11</f>
        <v>#N/A</v>
      </c>
      <c r="K11" s="241" t="e">
        <f t="shared" si="7"/>
        <v>#DIV/0!</v>
      </c>
      <c r="L11" s="241" t="e">
        <f>'④-3月別配置内訳書(2)-(2)-(C)・(D)'!BK11</f>
        <v>#N/A</v>
      </c>
      <c r="M11" s="241" t="e">
        <f>'④-3月別配置内訳書(2)-(2)-(C)・(D)'!BL11</f>
        <v>#N/A</v>
      </c>
      <c r="N11" s="241" t="e">
        <f t="shared" si="8"/>
        <v>#DIV/0!</v>
      </c>
      <c r="O11" s="241" t="e">
        <f t="shared" si="9"/>
        <v>#DIV/0!</v>
      </c>
      <c r="P11" s="241" t="e">
        <f t="shared" si="10"/>
        <v>#DIV/0!</v>
      </c>
      <c r="R11" s="241">
        <f>①基本情報!H27</f>
        <v>0</v>
      </c>
      <c r="S11" s="241">
        <f>①基本情報!H29</f>
        <v>0</v>
      </c>
      <c r="T11" s="241">
        <f>SUM('③児童数及び職員定数 (2)-(1)'!C12:D12)</f>
        <v>0</v>
      </c>
      <c r="U11" s="241">
        <f t="shared" ref="U11:U14" si="17">IF(T11&gt;=66,2,IF(T11&gt;=36,1,0))</f>
        <v>0</v>
      </c>
      <c r="W11" s="241" t="e">
        <f t="shared" si="11"/>
        <v>#DIV/0!</v>
      </c>
      <c r="X11" s="241" t="e">
        <f>IF($H11&gt;=X$1,"OK","NG")</f>
        <v>#DIV/0!</v>
      </c>
      <c r="Y11" s="241" t="e">
        <f>IF($H11&gt;=Y$1,"OK","NG")</f>
        <v>#DIV/0!</v>
      </c>
      <c r="Z11" s="241" t="e">
        <f>IF($W11="OK",IF(SUM($L11:$N11)&gt;=1,"OK",IF(SUM($I11:$P11)-COUNTIF($W11:$Y11,"OK")-SUM($AB11,$AC11)&gt;=1,"OK","NG")),"NG")</f>
        <v>#DIV/0!</v>
      </c>
      <c r="AA11" s="241" t="e">
        <f>IF($W11="OK",IF(COUNTIF($W11:$Z11,"OK")=4,"NG",IF(SUM($L11:$N11)&gt;=2,"OK",IF(SUM($I11:$P11)-COUNTIF($W11:$Z11,"OK")-SUM($AB11,$AC11)&gt;=1,"OK","NG"))),"NG")</f>
        <v>#DIV/0!</v>
      </c>
      <c r="AB11" s="241" t="e">
        <f t="shared" ref="AB11:AB20" si="18">IF(AND($H11=$W$1,$R11&gt;=$W$1),1,IF($S11&gt;=$W$1,IF(AND($H11&gt;=$AB$1,$R11&gt;=1),MIN(ROUNDDOWN(SUM($I11:$K11,$O11:$P11)-3,0),$R11),0),IF(AND($H11&gt;=$AB$1,$R11&gt;=1),MIN(ROUNDDOWN(SUM($I11:$K11,$O11)-3,0),$R11),0)))</f>
        <v>#DIV/0!</v>
      </c>
      <c r="AC11" s="241">
        <f>IF(U11&gt;=1,MIN(ROUNDDOWN(SUM(I11:J11,O11)-COUNTIF($AF11:$AL11,$B$8)-COUNTIF($AF11:$AL11,$C$8),0),U11),0)</f>
        <v>0</v>
      </c>
      <c r="AE11" s="241" t="e">
        <f t="shared" si="15"/>
        <v>#DIV/0!</v>
      </c>
      <c r="AF11" s="241" t="e">
        <f>IF(X11="OK",IF($J11&gt;=$AE$1+COUNTIF($AE11:AE11,$J$8),$J$8,IF($K11&gt;=$AE$1+COUNTIF($AE11:AE11,$K$8),$K$8,IF($I11&gt;=$AE$1+COUNTIF($AE11:AE11,$I$8),$I$8,"NG"))),"NG")</f>
        <v>#DIV/0!</v>
      </c>
      <c r="AG11" s="241" t="e">
        <f>IF(Y11="OK",IF($J11&gt;=$AE$1+COUNTIF($AE11:AF11,$J$8),$J$8,IF($K11&gt;=$AE$1+COUNTIF($AE11:AF11,$K$8),$K$8,IF($I11&gt;=$AE$1+COUNTIF($AE11:AF11,$I$8),$I$8,"NG"))),"NG")</f>
        <v>#DIV/0!</v>
      </c>
      <c r="AH11" s="241" t="e">
        <f>IF($AB11&gt;=AH$8,IF($S11&gt;=$AE$1,IF($J11&gt;=$AE$1+COUNTIF($AE11:AG11,$J$8),$J$8,IF($D11&gt;=$AE$1+COUNTIF($AE11:AG11,$D$8),$D$8,IF($I11&gt;=$AE$1+COUNTIF($AE11:AG11,$I$8),$I$8,"NG"))),IF($J11&gt;=$AE$1+COUNTIF($AE11:AG11,$J$8),$J$8,IF($I11&gt;=$AE$1+COUNTIF($AE11:AG11,$I$8),$I$8,"NG"))),"NG")</f>
        <v>#DIV/0!</v>
      </c>
      <c r="AI11" s="241" t="e">
        <f>IF($AB11&gt;=AI$8,IF($S11&gt;=$AE$1,IF($J11&gt;=$AE$1+COUNTIF($AE11:AH11,$J$8),$J$8,IF($D11&gt;=$AE$1+COUNTIF($AE11:AH11,$D$8),$D$8,IF($I11&gt;=$AE$1+COUNTIF($AE11:AH11,$I$8),$I$8,"NG"))),IF($J11&gt;=$AE$1+COUNTIF($AE11:AH11,$J$8),$J$8,IF($I11&gt;=$AE$1+COUNTIF($AE11:AH11,$I$8),$I$8,"NG"))),"NG")</f>
        <v>#DIV/0!</v>
      </c>
      <c r="AJ11" s="241" t="e">
        <f>IF($AB11&gt;=AJ$8,IF($S11&gt;=$AE$1,IF($J11&gt;=$AE$1+COUNTIF($AE11:AI11,$J$8),$J$8,IF($D11&gt;=$AE$1+COUNTIF($AE11:AI11,$D$8),$D$8,IF($I11&gt;=$AE$1+COUNTIF($AE11:AI11,$I$8),$I$8,"NG"))),IF($J11&gt;=$AE$1+COUNTIF($AE11:AI11,$J$8),$J$8,IF($I11&gt;=$AE$1+COUNTIF($AE11:AI11,$I$8),$I$8,"NG"))),"NG")</f>
        <v>#DIV/0!</v>
      </c>
      <c r="AK11" s="241" t="e">
        <f>IF($AB11&gt;=AK$8,IF($S11&gt;=$AE$1,IF($J11&gt;=$AE$1+COUNTIF($AE11:AJ11,$J$8),$J$8,IF($D11&gt;=$AE$1+COUNTIF($AE11:AJ11,$D$8),$D$8,IF($I11&gt;=$AE$1+COUNTIF($AE11:AJ11,$I$8),$I$8,"NG"))),IF($J11&gt;=$AE$1+COUNTIF($AE11:AJ11,$J$8),$J$8,IF($I11&gt;=$AE$1+COUNTIF($AE11:AJ11,$I$8),$I$8,"NG"))),"NG")</f>
        <v>#DIV/0!</v>
      </c>
      <c r="AL11" s="241" t="e">
        <f>IF($AB11&gt;=AL$8,IF($S11&gt;=$AE$1,IF($J11&gt;=$AE$1+COUNTIF($AE11:AK11,$J$8),$J$8,IF($D11&gt;=$AE$1+COUNTIF($AE11:AK11,$D$8),$D$8,IF($I11&gt;=$AE$1+COUNTIF($AE11:AK11,$I$8),$I$8,"NG"))),IF($J11&gt;=$AE$1+COUNTIF($AE11:AK11,$J$8),$J$8,IF($I11&gt;=$AE$1+COUNTIF($AE11:AK11,$I$8),$I$8,"NG"))),"NG")</f>
        <v>#DIV/0!</v>
      </c>
      <c r="AM11" s="241" t="e">
        <f>IF($AB11&gt;=AM$8,IF($S11&gt;=$AE$1,IF($J11&gt;=$AE$1+COUNTIF($AE11:AL11,$J$8),$J$8,IF($D11&gt;=$AE$1+COUNTIF($AE11:AL11,$D$8),$D$8,IF($I11&gt;=$AE$1+COUNTIF($AE11:AL11,$I$8),$I$8,"NG"))),IF($J11&gt;=$AE$1+COUNTIF($AE11:AL11,$J$8),$J$8,IF($I11&gt;=$AE$1+COUNTIF($AE11:AL11,$I$8),$I$8,"NG"))),"NG")</f>
        <v>#DIV/0!</v>
      </c>
      <c r="AN11" s="241" t="e">
        <f>IF($AB11&gt;=AN$8,IF($S11&gt;=$AE$1,IF($J11&gt;=$AE$1+COUNTIF($AE11:AM11,$J$8),$J$8,IF($D11&gt;=$AE$1+COUNTIF($AE11:AM11,$D$8),$D$8,IF($I11&gt;=$AE$1+COUNTIF($AE11:AM11,$I$8),$I$8,"NG"))),IF($J11&gt;=$AE$1+COUNTIF($AE11:AM11,$J$8),$J$8,IF($I11&gt;=$AE$1+COUNTIF($AE11:AM11,$I$8),$I$8,"NG"))),"NG")</f>
        <v>#DIV/0!</v>
      </c>
      <c r="AO11" s="241" t="e">
        <f>IF($AB11&gt;=AO$8,IF($S11&gt;=$AE$1,IF($J11&gt;=$AE$1+COUNTIF($AE11:AN11,$J$8),$J$8,IF($D11&gt;=$AE$1+COUNTIF($AE11:AN11,$D$8),$D$8,IF($I11&gt;=$AE$1+COUNTIF($AE11:AN11,$I$8),$I$8,"NG"))),IF($J11&gt;=$AE$1+COUNTIF($AE11:AN11,$J$8),$J$8,IF($I11&gt;=$AE$1+COUNTIF($AE11:AN11,$I$8),$I$8,"NG"))),"NG")</f>
        <v>#DIV/0!</v>
      </c>
      <c r="AP11" s="241" t="e">
        <f>IF($AB11&gt;=AP$8,IF($S11&gt;=$AE$1,IF($J11&gt;=$AE$1+COUNTIF($AE11:AO11,$J$8),$J$8,IF($D11&gt;=$AE$1+COUNTIF($AE11:AO11,$D$8),$D$8,IF($I11&gt;=$AE$1+COUNTIF($AE11:AO11,$I$8),$I$8,"NG"))),IF($J11&gt;=$AE$1+COUNTIF($AE11:AO11,$J$8),$J$8,IF($I11&gt;=$AE$1+COUNTIF($AE11:AO11,$I$8),$I$8,"NG"))),"NG")</f>
        <v>#DIV/0!</v>
      </c>
      <c r="AQ11" s="241" t="e">
        <f>IF($AB11&gt;=AQ$8,IF($S11&gt;=$AE$1,IF($J11&gt;=$AE$1+COUNTIF($AE11:AP11,$J$8),$J$8,IF($D11&gt;=$AE$1+COUNTIF($AE11:AP11,$D$8),$D$8,IF($I11&gt;=$AE$1+COUNTIF($AE11:AP11,$I$8),$I$8,"NG"))),IF($J11&gt;=$AE$1+COUNTIF($AE11:AP11,$J$8),$J$8,IF($I11&gt;=$AE$1+COUNTIF($AE11:AP11,$I$8),$I$8,"NG"))),"NG")</f>
        <v>#DIV/0!</v>
      </c>
      <c r="AR11" s="241" t="str">
        <f>IF($AC11&gt;=AR$8,IF($J11&gt;=$AE$1+COUNTIF($AE11:AQ11,$J$8),$J$8,IF($I11&gt;=$AE$1+COUNTIF($AE11:AQ11,$I$8),$I$8,"NG")),"NG")</f>
        <v>NG</v>
      </c>
      <c r="AS11" s="241" t="str">
        <f>IF($AC11&gt;=AS$8,IF($J11&gt;=$AE$1+COUNTIF($AE11:AR11,$J$8),$J$8,IF($I11&gt;=$AE$1+COUNTIF($AE11:AR11,$I$8),$I$8,"NG")),"NG")</f>
        <v>NG</v>
      </c>
      <c r="AT11" s="241" t="e">
        <f>IF(AND(W11="OK",AE11="NG"),IF($N11&gt;=$AE$1+COUNTIF($AE11:AS11,$N$8),$N$8,IF($M11&gt;=$AE$1+COUNTIF($AE11:AS11,$M$8),$M$8,IF($L11&gt;=$AE$1+COUNTIF($AE11:AS11,$L$8),$L$8,"NG"))),"NG")</f>
        <v>#DIV/0!</v>
      </c>
      <c r="AU11" s="241" t="e">
        <f>IF(Z11="OK",IF($C11&gt;=$AE$1+COUNTIF($AE11:AT11,$C$8),$C$8,IF($D11&gt;=$AE$1+COUNTIF($AE11:AT11,$D$8),$D$8,IF($N11&gt;=$AE$1+COUNTIF($AE11:AT11,$N$8),$N$8,IF($I11&gt;=$AE$1+COUNTIF($AE11:AT11,$I$8),$I$8,IF($M11&gt;=$AE$1+COUNTIF($AE11:AT11,$M$8),$M$8,IF($L11&gt;=$AE$1+COUNTIF($AE11:AT11,$L$8),$L$8,"NG")))))),"NG")</f>
        <v>#DIV/0!</v>
      </c>
      <c r="AV11" s="241" t="e">
        <f>IF(AA11="OK",IF(COUNTIF($AE11:AU11,$L$8)+COUNTIF($AE11:AU11,$M$8)+COUNTIF($AE11:AU11,$N$8)&gt;=2,"NG",IF($C11&gt;=$AE$1+COUNTIF($AE11:AU11,$C$8),$C$8,IF($D11&gt;=$AE$1+COUNTIF($AE11:AU11,$D$8),$D$8,IF($N11&gt;=$AE$1+COUNTIF($AE11:AU11,$N$8),$N$8,IF($M11&gt;=$AE$1+COUNTIF($AE11:AU11,$M$8),$M$8,IF($I11&gt;=$AE$1+COUNTIF($AE11:AU11,$I$8),$I$8,IF($L11&gt;=$AE$1+COUNTIF($AE11:AU11,$L$8),$L$8,"NG"))))))),"NG")</f>
        <v>#DIV/0!</v>
      </c>
      <c r="AX11" s="241" t="e">
        <f t="shared" ref="AX11:AX14" si="19">IF(AE11="NG",AT11,AE11)</f>
        <v>#DIV/0!</v>
      </c>
      <c r="AY11" s="241">
        <f t="shared" ref="AY11:AY20" si="20">COUNTIF($AH11:$AQ11,"A")+COUNTIF($AH11:$AQ11,"B")+COUNTIF($AH11:$AQ11,"C")</f>
        <v>0</v>
      </c>
      <c r="AZ11" s="241">
        <f t="shared" ref="AZ11:AZ20" si="21">COUNTIF($AR11:$AS11,"A")+COUNTIF($AR11:$AS11,"B")</f>
        <v>0</v>
      </c>
    </row>
    <row r="12" spans="1:52">
      <c r="A12" s="241" t="s">
        <v>107</v>
      </c>
      <c r="B12" s="241" t="e">
        <f>'④-1月別配置内訳書(2)-(2)-(A)'!AA12</f>
        <v>#DIV/0!</v>
      </c>
      <c r="C12" s="241" t="e">
        <f>'④-2月別配置内訳書(2)-(2)-(B)'!AF12</f>
        <v>#DIV/0!</v>
      </c>
      <c r="D12" s="241" t="e">
        <f>'④-3月別配置内訳書(2)-(2)-(C)・(D)'!AB12</f>
        <v>#DIV/0!</v>
      </c>
      <c r="E12" s="242" t="e">
        <f>'④-3月別配置内訳書(2)-(2)-(C)・(D)'!BI12</f>
        <v>#DIV/0!</v>
      </c>
      <c r="F12" s="241" t="e">
        <f>'④-3月別配置内訳書(2)-(2)-(C)・(D)'!BJ12</f>
        <v>#DIV/0!</v>
      </c>
      <c r="G12" s="241" t="e">
        <f>'④-４月別配置内訳書(2)-(2)-(E)'!V12</f>
        <v>#DIV/0!</v>
      </c>
      <c r="H12" s="241" t="e">
        <f t="shared" si="16"/>
        <v>#DIV/0!</v>
      </c>
      <c r="I12" s="241" t="e">
        <f>'④-1月別配置内訳書(2)-(2)-(A)'!AB12</f>
        <v>#DIV/0!</v>
      </c>
      <c r="J12" s="241" t="e">
        <f>'④-2月別配置内訳書(2)-(2)-(B)'!AG12</f>
        <v>#N/A</v>
      </c>
      <c r="K12" s="241" t="e">
        <f t="shared" si="7"/>
        <v>#DIV/0!</v>
      </c>
      <c r="L12" s="241" t="e">
        <f>'④-3月別配置内訳書(2)-(2)-(C)・(D)'!BK12</f>
        <v>#N/A</v>
      </c>
      <c r="M12" s="241" t="e">
        <f>'④-3月別配置内訳書(2)-(2)-(C)・(D)'!BL12</f>
        <v>#N/A</v>
      </c>
      <c r="N12" s="241" t="e">
        <f t="shared" si="8"/>
        <v>#DIV/0!</v>
      </c>
      <c r="O12" s="241" t="e">
        <f t="shared" si="9"/>
        <v>#DIV/0!</v>
      </c>
      <c r="P12" s="241" t="e">
        <f t="shared" si="10"/>
        <v>#DIV/0!</v>
      </c>
      <c r="R12" s="241">
        <f>①基本情報!I27</f>
        <v>0</v>
      </c>
      <c r="S12" s="241">
        <f>①基本情報!I29</f>
        <v>0</v>
      </c>
      <c r="T12" s="241">
        <f>SUM('③児童数及び職員定数 (2)-(1)'!C13:D13)</f>
        <v>0</v>
      </c>
      <c r="U12" s="241">
        <f t="shared" si="17"/>
        <v>0</v>
      </c>
      <c r="W12" s="241" t="e">
        <f t="shared" si="11"/>
        <v>#DIV/0!</v>
      </c>
      <c r="X12" s="241" t="e">
        <f t="shared" si="12"/>
        <v>#DIV/0!</v>
      </c>
      <c r="Y12" s="241" t="e">
        <f t="shared" si="12"/>
        <v>#DIV/0!</v>
      </c>
      <c r="Z12" s="241" t="e">
        <f t="shared" si="13"/>
        <v>#DIV/0!</v>
      </c>
      <c r="AA12" s="241" t="e">
        <f t="shared" si="14"/>
        <v>#DIV/0!</v>
      </c>
      <c r="AB12" s="241" t="e">
        <f t="shared" si="18"/>
        <v>#DIV/0!</v>
      </c>
      <c r="AC12" s="241">
        <f t="shared" ref="AC12:AC14" si="22">IF(U12&gt;=1,MIN(ROUNDDOWN(SUM(I12:J12,O12)-COUNTIF($AF12:$AL12,$B$8)-COUNTIF($AF12:$AL12,$C$8),0),U12),0)</f>
        <v>0</v>
      </c>
      <c r="AE12" s="241" t="e">
        <f t="shared" si="15"/>
        <v>#DIV/0!</v>
      </c>
      <c r="AF12" s="241" t="e">
        <f>IF(X12="OK",IF($J12&gt;=$AE$1+COUNTIF($AE12:AE12,$J$8),$J$8,IF($K12&gt;=$AE$1+COUNTIF($AE12:AE12,$K$8),$K$8,IF($I12&gt;=$AE$1+COUNTIF($AE12:AE12,$I$8),$I$8,"NG"))),"NG")</f>
        <v>#DIV/0!</v>
      </c>
      <c r="AG12" s="241" t="e">
        <f>IF(Y12="OK",IF($J12&gt;=$AE$1+COUNTIF($AE12:AF12,$J$8),$J$8,IF($K12&gt;=$AE$1+COUNTIF($AE12:AF12,$K$8),$K$8,IF($I12&gt;=$AE$1+COUNTIF($AE12:AF12,$I$8),$I$8,"NG"))),"NG")</f>
        <v>#DIV/0!</v>
      </c>
      <c r="AH12" s="241" t="e">
        <f>IF($AB12&gt;=AH$8,IF($S12&gt;=$AE$1,IF($J12&gt;=$AE$1+COUNTIF($AE12:AG12,$J$8),$J$8,IF($D12&gt;=$AE$1+COUNTIF($AE12:AG12,$D$8),$D$8,IF($I12&gt;=$AE$1+COUNTIF($AE12:AG12,$I$8),$I$8,"NG"))),IF($J12&gt;=$AE$1+COUNTIF($AE12:AG12,$J$8),$J$8,IF($I12&gt;=$AE$1+COUNTIF($AE12:AG12,$I$8),$I$8,"NG"))),"NG")</f>
        <v>#DIV/0!</v>
      </c>
      <c r="AI12" s="241" t="e">
        <f>IF($AB12&gt;=AI$8,IF($S12&gt;=$AE$1,IF($J12&gt;=$AE$1+COUNTIF($AE12:AH12,$J$8),$J$8,IF($D12&gt;=$AE$1+COUNTIF($AE12:AH12,$D$8),$D$8,IF($I12&gt;=$AE$1+COUNTIF($AE12:AH12,$I$8),$I$8,"NG"))),IF($J12&gt;=$AE$1+COUNTIF($AE12:AH12,$J$8),$J$8,IF($I12&gt;=$AE$1+COUNTIF($AE12:AH12,$I$8),$I$8,"NG"))),"NG")</f>
        <v>#DIV/0!</v>
      </c>
      <c r="AJ12" s="241" t="e">
        <f>IF($AB12&gt;=AJ$8,IF($S12&gt;=$AE$1,IF($J12&gt;=$AE$1+COUNTIF($AE12:AI12,$J$8),$J$8,IF($D12&gt;=$AE$1+COUNTIF($AE12:AI12,$D$8),$D$8,IF($I12&gt;=$AE$1+COUNTIF($AE12:AI12,$I$8),$I$8,"NG"))),IF($J12&gt;=$AE$1+COUNTIF($AE12:AI12,$J$8),$J$8,IF($I12&gt;=$AE$1+COUNTIF($AE12:AI12,$I$8),$I$8,"NG"))),"NG")</f>
        <v>#DIV/0!</v>
      </c>
      <c r="AK12" s="241" t="e">
        <f>IF($AB12&gt;=AK$8,IF($S12&gt;=$AE$1,IF($J12&gt;=$AE$1+COUNTIF($AE12:AJ12,$J$8),$J$8,IF($D12&gt;=$AE$1+COUNTIF($AE12:AJ12,$D$8),$D$8,IF($I12&gt;=$AE$1+COUNTIF($AE12:AJ12,$I$8),$I$8,"NG"))),IF($J12&gt;=$AE$1+COUNTIF($AE12:AJ12,$J$8),$J$8,IF($I12&gt;=$AE$1+COUNTIF($AE12:AJ12,$I$8),$I$8,"NG"))),"NG")</f>
        <v>#DIV/0!</v>
      </c>
      <c r="AL12" s="241" t="e">
        <f>IF($AB12&gt;=AL$8,IF($S12&gt;=$AE$1,IF($J12&gt;=$AE$1+COUNTIF($AE12:AK12,$J$8),$J$8,IF($D12&gt;=$AE$1+COUNTIF($AE12:AK12,$D$8),$D$8,IF($I12&gt;=$AE$1+COUNTIF($AE12:AK12,$I$8),$I$8,"NG"))),IF($J12&gt;=$AE$1+COUNTIF($AE12:AK12,$J$8),$J$8,IF($I12&gt;=$AE$1+COUNTIF($AE12:AK12,$I$8),$I$8,"NG"))),"NG")</f>
        <v>#DIV/0!</v>
      </c>
      <c r="AM12" s="241" t="e">
        <f>IF($AB12&gt;=AM$8,IF($S12&gt;=$AE$1,IF($J12&gt;=$AE$1+COUNTIF($AE12:AL12,$J$8),$J$8,IF($D12&gt;=$AE$1+COUNTIF($AE12:AL12,$D$8),$D$8,IF($I12&gt;=$AE$1+COUNTIF($AE12:AL12,$I$8),$I$8,"NG"))),IF($J12&gt;=$AE$1+COUNTIF($AE12:AL12,$J$8),$J$8,IF($I12&gt;=$AE$1+COUNTIF($AE12:AL12,$I$8),$I$8,"NG"))),"NG")</f>
        <v>#DIV/0!</v>
      </c>
      <c r="AN12" s="241" t="e">
        <f>IF($AB12&gt;=AN$8,IF($S12&gt;=$AE$1,IF($J12&gt;=$AE$1+COUNTIF($AE12:AM12,$J$8),$J$8,IF($D12&gt;=$AE$1+COUNTIF($AE12:AM12,$D$8),$D$8,IF($I12&gt;=$AE$1+COUNTIF($AE12:AM12,$I$8),$I$8,"NG"))),IF($J12&gt;=$AE$1+COUNTIF($AE12:AM12,$J$8),$J$8,IF($I12&gt;=$AE$1+COUNTIF($AE12:AM12,$I$8),$I$8,"NG"))),"NG")</f>
        <v>#DIV/0!</v>
      </c>
      <c r="AO12" s="241" t="e">
        <f>IF($AB12&gt;=AO$8,IF($S12&gt;=$AE$1,IF($J12&gt;=$AE$1+COUNTIF($AE12:AN12,$J$8),$J$8,IF($D12&gt;=$AE$1+COUNTIF($AE12:AN12,$D$8),$D$8,IF($I12&gt;=$AE$1+COUNTIF($AE12:AN12,$I$8),$I$8,"NG"))),IF($J12&gt;=$AE$1+COUNTIF($AE12:AN12,$J$8),$J$8,IF($I12&gt;=$AE$1+COUNTIF($AE12:AN12,$I$8),$I$8,"NG"))),"NG")</f>
        <v>#DIV/0!</v>
      </c>
      <c r="AP12" s="241" t="e">
        <f>IF($AB12&gt;=AP$8,IF($S12&gt;=$AE$1,IF($J12&gt;=$AE$1+COUNTIF($AE12:AO12,$J$8),$J$8,IF($D12&gt;=$AE$1+COUNTIF($AE12:AO12,$D$8),$D$8,IF($I12&gt;=$AE$1+COUNTIF($AE12:AO12,$I$8),$I$8,"NG"))),IF($J12&gt;=$AE$1+COUNTIF($AE12:AO12,$J$8),$J$8,IF($I12&gt;=$AE$1+COUNTIF($AE12:AO12,$I$8),$I$8,"NG"))),"NG")</f>
        <v>#DIV/0!</v>
      </c>
      <c r="AQ12" s="241" t="e">
        <f>IF($AB12&gt;=AQ$8,IF($S12&gt;=$AE$1,IF($J12&gt;=$AE$1+COUNTIF($AE12:AP12,$J$8),$J$8,IF($D12&gt;=$AE$1+COUNTIF($AE12:AP12,$D$8),$D$8,IF($I12&gt;=$AE$1+COUNTIF($AE12:AP12,$I$8),$I$8,"NG"))),IF($J12&gt;=$AE$1+COUNTIF($AE12:AP12,$J$8),$J$8,IF($I12&gt;=$AE$1+COUNTIF($AE12:AP12,$I$8),$I$8,"NG"))),"NG")</f>
        <v>#DIV/0!</v>
      </c>
      <c r="AR12" s="241" t="str">
        <f>IF($AC12&gt;=AR$8,IF($J12&gt;=$AE$1+COUNTIF($AE12:AQ12,$J$8),$J$8,IF($I12&gt;=$AE$1+COUNTIF($AE12:AQ12,$I$8),$I$8,"NG")),"NG")</f>
        <v>NG</v>
      </c>
      <c r="AS12" s="241" t="str">
        <f>IF($AC12&gt;=AS$8,IF($J12&gt;=$AE$1+COUNTIF($AE12:AR12,$J$8),$J$8,IF($I12&gt;=$AE$1+COUNTIF($AE12:AR12,$I$8),$I$8,"NG")),"NG")</f>
        <v>NG</v>
      </c>
      <c r="AT12" s="241" t="e">
        <f>IF(AND(W12="OK",AE12="NG"),IF($N12&gt;=$AE$1+COUNTIF($AE12:AS12,$N$8),$N$8,IF($M12&gt;=$AE$1+COUNTIF($AE12:AS12,$M$8),$M$8,IF($L12&gt;=$AE$1+COUNTIF($AE12:AS12,$L$8),$L$8,"NG"))),"NG")</f>
        <v>#DIV/0!</v>
      </c>
      <c r="AU12" s="241" t="e">
        <f>IF(Z12="OK",IF($C12&gt;=$AE$1+COUNTIF($AE12:AT12,$C$8),$C$8,IF($D12&gt;=$AE$1+COUNTIF($AE12:AT12,$D$8),$D$8,IF($N12&gt;=$AE$1+COUNTIF($AE12:AT12,$N$8),$N$8,IF($I12&gt;=$AE$1+COUNTIF($AE12:AT12,$I$8),$I$8,IF($M12&gt;=$AE$1+COUNTIF($AE12:AT12,$M$8),$M$8,IF($L12&gt;=$AE$1+COUNTIF($AE12:AT12,$L$8),$L$8,"NG")))))),"NG")</f>
        <v>#DIV/0!</v>
      </c>
      <c r="AV12" s="241" t="e">
        <f>IF(AA12="OK",IF(COUNTIF($AE12:AU12,$L$8)+COUNTIF($AE12:AU12,$M$8)+COUNTIF($AE12:AU12,$N$8)&gt;=2,"NG",IF($C12&gt;=$AE$1+COUNTIF($AE12:AU12,$C$8),$C$8,IF($D12&gt;=$AE$1+COUNTIF($AE12:AU12,$D$8),$D$8,IF($N12&gt;=$AE$1+COUNTIF($AE12:AU12,$N$8),$N$8,IF($M12&gt;=$AE$1+COUNTIF($AE12:AU12,$M$8),$M$8,IF($I12&gt;=$AE$1+COUNTIF($AE12:AU12,$I$8),$I$8,IF($L12&gt;=$AE$1+COUNTIF($AE12:AU12,$L$8),$L$8,"NG"))))))),"NG")</f>
        <v>#DIV/0!</v>
      </c>
      <c r="AX12" s="241" t="e">
        <f t="shared" si="19"/>
        <v>#DIV/0!</v>
      </c>
      <c r="AY12" s="241">
        <f t="shared" si="20"/>
        <v>0</v>
      </c>
      <c r="AZ12" s="241">
        <f t="shared" si="21"/>
        <v>0</v>
      </c>
    </row>
    <row r="13" spans="1:52">
      <c r="A13" s="241" t="s">
        <v>108</v>
      </c>
      <c r="B13" s="241" t="e">
        <f>'④-1月別配置内訳書(2)-(2)-(A)'!AA13</f>
        <v>#DIV/0!</v>
      </c>
      <c r="C13" s="241" t="e">
        <f>'④-2月別配置内訳書(2)-(2)-(B)'!AF13</f>
        <v>#DIV/0!</v>
      </c>
      <c r="D13" s="241" t="e">
        <f>'④-3月別配置内訳書(2)-(2)-(C)・(D)'!AB13</f>
        <v>#DIV/0!</v>
      </c>
      <c r="E13" s="242" t="e">
        <f>'④-3月別配置内訳書(2)-(2)-(C)・(D)'!BI13</f>
        <v>#DIV/0!</v>
      </c>
      <c r="F13" s="241" t="e">
        <f>'④-3月別配置内訳書(2)-(2)-(C)・(D)'!BJ13</f>
        <v>#DIV/0!</v>
      </c>
      <c r="G13" s="241" t="e">
        <f>'④-４月別配置内訳書(2)-(2)-(E)'!V13</f>
        <v>#DIV/0!</v>
      </c>
      <c r="H13" s="241" t="e">
        <f t="shared" si="16"/>
        <v>#DIV/0!</v>
      </c>
      <c r="I13" s="241" t="e">
        <f>'④-1月別配置内訳書(2)-(2)-(A)'!AB13</f>
        <v>#DIV/0!</v>
      </c>
      <c r="J13" s="241" t="e">
        <f>'④-2月別配置内訳書(2)-(2)-(B)'!AG13</f>
        <v>#N/A</v>
      </c>
      <c r="K13" s="241" t="e">
        <f t="shared" si="7"/>
        <v>#DIV/0!</v>
      </c>
      <c r="L13" s="241" t="e">
        <f>'④-3月別配置内訳書(2)-(2)-(C)・(D)'!BK13</f>
        <v>#N/A</v>
      </c>
      <c r="M13" s="241" t="e">
        <f>'④-3月別配置内訳書(2)-(2)-(C)・(D)'!BL13</f>
        <v>#N/A</v>
      </c>
      <c r="N13" s="241" t="e">
        <f t="shared" si="8"/>
        <v>#DIV/0!</v>
      </c>
      <c r="O13" s="241" t="e">
        <f t="shared" si="9"/>
        <v>#DIV/0!</v>
      </c>
      <c r="P13" s="241" t="e">
        <f t="shared" si="10"/>
        <v>#DIV/0!</v>
      </c>
      <c r="R13" s="241">
        <f>①基本情報!J27</f>
        <v>0</v>
      </c>
      <c r="S13" s="241">
        <f>①基本情報!J29</f>
        <v>0</v>
      </c>
      <c r="T13" s="241">
        <f>SUM('③児童数及び職員定数 (2)-(1)'!C14:D14)</f>
        <v>0</v>
      </c>
      <c r="U13" s="241">
        <f t="shared" si="17"/>
        <v>0</v>
      </c>
      <c r="W13" s="241" t="e">
        <f t="shared" si="11"/>
        <v>#DIV/0!</v>
      </c>
      <c r="X13" s="241" t="e">
        <f t="shared" si="12"/>
        <v>#DIV/0!</v>
      </c>
      <c r="Y13" s="241" t="e">
        <f t="shared" si="12"/>
        <v>#DIV/0!</v>
      </c>
      <c r="Z13" s="241" t="e">
        <f t="shared" si="13"/>
        <v>#DIV/0!</v>
      </c>
      <c r="AA13" s="241" t="e">
        <f t="shared" si="14"/>
        <v>#DIV/0!</v>
      </c>
      <c r="AB13" s="241" t="e">
        <f t="shared" si="18"/>
        <v>#DIV/0!</v>
      </c>
      <c r="AC13" s="241">
        <f t="shared" si="22"/>
        <v>0</v>
      </c>
      <c r="AE13" s="241" t="e">
        <f t="shared" si="15"/>
        <v>#DIV/0!</v>
      </c>
      <c r="AF13" s="241" t="e">
        <f>IF(X13="OK",IF($J13&gt;=$AE$1+COUNTIF($AE13:AE13,$J$8),$J$8,IF($K13&gt;=$AE$1+COUNTIF($AE13:AE13,$K$8),$K$8,IF($I13&gt;=$AE$1+COUNTIF($AE13:AE13,$I$8),$I$8,"NG"))),"NG")</f>
        <v>#DIV/0!</v>
      </c>
      <c r="AG13" s="241" t="e">
        <f>IF(Y13="OK",IF($J13&gt;=$AE$1+COUNTIF($AE13:AF13,$J$8),$J$8,IF($K13&gt;=$AE$1+COUNTIF($AE13:AF13,$K$8),$K$8,IF($I13&gt;=$AE$1+COUNTIF($AE13:AF13,$I$8),$I$8,"NG"))),"NG")</f>
        <v>#DIV/0!</v>
      </c>
      <c r="AH13" s="241" t="e">
        <f>IF($AB13&gt;=AH$8,IF($S13&gt;=$AE$1,IF($J13&gt;=$AE$1+COUNTIF($AE13:AG13,$J$8),$J$8,IF($D13&gt;=$AE$1+COUNTIF($AE13:AG13,$D$8),$D$8,IF($I13&gt;=$AE$1+COUNTIF($AE13:AG13,$I$8),$I$8,"NG"))),IF($J13&gt;=$AE$1+COUNTIF($AE13:AG13,$J$8),$J$8,IF($I13&gt;=$AE$1+COUNTIF($AE13:AG13,$I$8),$I$8,"NG"))),"NG")</f>
        <v>#DIV/0!</v>
      </c>
      <c r="AI13" s="241" t="e">
        <f>IF($AB13&gt;=AI$8,IF($S13&gt;=$AE$1,IF($J13&gt;=$AE$1+COUNTIF($AE13:AH13,$J$8),$J$8,IF($D13&gt;=$AE$1+COUNTIF($AE13:AH13,$D$8),$D$8,IF($I13&gt;=$AE$1+COUNTIF($AE13:AH13,$I$8),$I$8,"NG"))),IF($J13&gt;=$AE$1+COUNTIF($AE13:AH13,$J$8),$J$8,IF($I13&gt;=$AE$1+COUNTIF($AE13:AH13,$I$8),$I$8,"NG"))),"NG")</f>
        <v>#DIV/0!</v>
      </c>
      <c r="AJ13" s="241" t="e">
        <f>IF($AB13&gt;=AJ$8,IF($S13&gt;=$AE$1,IF($J13&gt;=$AE$1+COUNTIF($AE13:AI13,$J$8),$J$8,IF($D13&gt;=$AE$1+COUNTIF($AE13:AI13,$D$8),$D$8,IF($I13&gt;=$AE$1+COUNTIF($AE13:AI13,$I$8),$I$8,"NG"))),IF($J13&gt;=$AE$1+COUNTIF($AE13:AI13,$J$8),$J$8,IF($I13&gt;=$AE$1+COUNTIF($AE13:AI13,$I$8),$I$8,"NG"))),"NG")</f>
        <v>#DIV/0!</v>
      </c>
      <c r="AK13" s="241" t="e">
        <f>IF($AB13&gt;=AK$8,IF($S13&gt;=$AE$1,IF($J13&gt;=$AE$1+COUNTIF($AE13:AJ13,$J$8),$J$8,IF($D13&gt;=$AE$1+COUNTIF($AE13:AJ13,$D$8),$D$8,IF($I13&gt;=$AE$1+COUNTIF($AE13:AJ13,$I$8),$I$8,"NG"))),IF($J13&gt;=$AE$1+COUNTIF($AE13:AJ13,$J$8),$J$8,IF($I13&gt;=$AE$1+COUNTIF($AE13:AJ13,$I$8),$I$8,"NG"))),"NG")</f>
        <v>#DIV/0!</v>
      </c>
      <c r="AL13" s="241" t="e">
        <f>IF($AB13&gt;=AL$8,IF($S13&gt;=$AE$1,IF($J13&gt;=$AE$1+COUNTIF($AE13:AK13,$J$8),$J$8,IF($D13&gt;=$AE$1+COUNTIF($AE13:AK13,$D$8),$D$8,IF($I13&gt;=$AE$1+COUNTIF($AE13:AK13,$I$8),$I$8,"NG"))),IF($J13&gt;=$AE$1+COUNTIF($AE13:AK13,$J$8),$J$8,IF($I13&gt;=$AE$1+COUNTIF($AE13:AK13,$I$8),$I$8,"NG"))),"NG")</f>
        <v>#DIV/0!</v>
      </c>
      <c r="AM13" s="241" t="e">
        <f>IF($AB13&gt;=AM$8,IF($S13&gt;=$AE$1,IF($J13&gt;=$AE$1+COUNTIF($AE13:AL13,$J$8),$J$8,IF($D13&gt;=$AE$1+COUNTIF($AE13:AL13,$D$8),$D$8,IF($I13&gt;=$AE$1+COUNTIF($AE13:AL13,$I$8),$I$8,"NG"))),IF($J13&gt;=$AE$1+COUNTIF($AE13:AL13,$J$8),$J$8,IF($I13&gt;=$AE$1+COUNTIF($AE13:AL13,$I$8),$I$8,"NG"))),"NG")</f>
        <v>#DIV/0!</v>
      </c>
      <c r="AN13" s="241" t="e">
        <f>IF($AB13&gt;=AN$8,IF($S13&gt;=$AE$1,IF($J13&gt;=$AE$1+COUNTIF($AE13:AM13,$J$8),$J$8,IF($D13&gt;=$AE$1+COUNTIF($AE13:AM13,$D$8),$D$8,IF($I13&gt;=$AE$1+COUNTIF($AE13:AM13,$I$8),$I$8,"NG"))),IF($J13&gt;=$AE$1+COUNTIF($AE13:AM13,$J$8),$J$8,IF($I13&gt;=$AE$1+COUNTIF($AE13:AM13,$I$8),$I$8,"NG"))),"NG")</f>
        <v>#DIV/0!</v>
      </c>
      <c r="AO13" s="241" t="e">
        <f>IF($AB13&gt;=AO$8,IF($S13&gt;=$AE$1,IF($J13&gt;=$AE$1+COUNTIF($AE13:AN13,$J$8),$J$8,IF($D13&gt;=$AE$1+COUNTIF($AE13:AN13,$D$8),$D$8,IF($I13&gt;=$AE$1+COUNTIF($AE13:AN13,$I$8),$I$8,"NG"))),IF($J13&gt;=$AE$1+COUNTIF($AE13:AN13,$J$8),$J$8,IF($I13&gt;=$AE$1+COUNTIF($AE13:AN13,$I$8),$I$8,"NG"))),"NG")</f>
        <v>#DIV/0!</v>
      </c>
      <c r="AP13" s="241" t="e">
        <f>IF($AB13&gt;=AP$8,IF($S13&gt;=$AE$1,IF($J13&gt;=$AE$1+COUNTIF($AE13:AO13,$J$8),$J$8,IF($D13&gt;=$AE$1+COUNTIF($AE13:AO13,$D$8),$D$8,IF($I13&gt;=$AE$1+COUNTIF($AE13:AO13,$I$8),$I$8,"NG"))),IF($J13&gt;=$AE$1+COUNTIF($AE13:AO13,$J$8),$J$8,IF($I13&gt;=$AE$1+COUNTIF($AE13:AO13,$I$8),$I$8,"NG"))),"NG")</f>
        <v>#DIV/0!</v>
      </c>
      <c r="AQ13" s="241" t="e">
        <f>IF($AB13&gt;=AQ$8,IF($S13&gt;=$AE$1,IF($J13&gt;=$AE$1+COUNTIF($AE13:AP13,$J$8),$J$8,IF($D13&gt;=$AE$1+COUNTIF($AE13:AP13,$D$8),$D$8,IF($I13&gt;=$AE$1+COUNTIF($AE13:AP13,$I$8),$I$8,"NG"))),IF($J13&gt;=$AE$1+COUNTIF($AE13:AP13,$J$8),$J$8,IF($I13&gt;=$AE$1+COUNTIF($AE13:AP13,$I$8),$I$8,"NG"))),"NG")</f>
        <v>#DIV/0!</v>
      </c>
      <c r="AR13" s="241" t="str">
        <f>IF($AC13&gt;=AR$8,IF($J13&gt;=$AE$1+COUNTIF($AE13:AQ13,$J$8),$J$8,IF($I13&gt;=$AE$1+COUNTIF($AE13:AQ13,$I$8),$I$8,"NG")),"NG")</f>
        <v>NG</v>
      </c>
      <c r="AS13" s="241" t="str">
        <f>IF($AC13&gt;=AS$8,IF($J13&gt;=$AE$1+COUNTIF($AE13:AR13,$J$8),$J$8,IF($I13&gt;=$AE$1+COUNTIF($AE13:AR13,$I$8),$I$8,"NG")),"NG")</f>
        <v>NG</v>
      </c>
      <c r="AT13" s="241" t="e">
        <f>IF(AND(W13="OK",AE13="NG"),IF($N13&gt;=$AE$1+COUNTIF($AE13:AS13,$N$8),$N$8,IF($M13&gt;=$AE$1+COUNTIF($AE13:AS13,$M$8),$M$8,IF($L13&gt;=$AE$1+COUNTIF($AE13:AS13,$L$8),$L$8,"NG"))),"NG")</f>
        <v>#DIV/0!</v>
      </c>
      <c r="AU13" s="241" t="e">
        <f>IF(Z13="OK",IF($C13&gt;=$AE$1+COUNTIF($AE13:AT13,$C$8),$C$8,IF($D13&gt;=$AE$1+COUNTIF($AE13:AT13,$D$8),$D$8,IF($N13&gt;=$AE$1+COUNTIF($AE13:AT13,$N$8),$N$8,IF($I13&gt;=$AE$1+COUNTIF($AE13:AT13,$I$8),$I$8,IF($M13&gt;=$AE$1+COUNTIF($AE13:AT13,$M$8),$M$8,IF($L13&gt;=$AE$1+COUNTIF($AE13:AT13,$L$8),$L$8,"NG")))))),"NG")</f>
        <v>#DIV/0!</v>
      </c>
      <c r="AV13" s="241" t="e">
        <f>IF(AA13="OK",IF(COUNTIF($AE13:AU13,$L$8)+COUNTIF($AE13:AU13,$M$8)+COUNTIF($AE13:AU13,$N$8)&gt;=2,"NG",IF($C13&gt;=$AE$1+COUNTIF($AE13:AU13,$C$8),$C$8,IF($D13&gt;=$AE$1+COUNTIF($AE13:AU13,$D$8),$D$8,IF($N13&gt;=$AE$1+COUNTIF($AE13:AU13,$N$8),$N$8,IF($M13&gt;=$AE$1+COUNTIF($AE13:AU13,$M$8),$M$8,IF($I13&gt;=$AE$1+COUNTIF($AE13:AU13,$I$8),$I$8,IF($L13&gt;=$AE$1+COUNTIF($AE13:AU13,$L$8),$L$8,"NG"))))))),"NG")</f>
        <v>#DIV/0!</v>
      </c>
      <c r="AX13" s="241" t="e">
        <f t="shared" si="19"/>
        <v>#DIV/0!</v>
      </c>
      <c r="AY13" s="241">
        <f t="shared" si="20"/>
        <v>0</v>
      </c>
      <c r="AZ13" s="241">
        <f t="shared" si="21"/>
        <v>0</v>
      </c>
    </row>
    <row r="14" spans="1:52">
      <c r="A14" s="241" t="s">
        <v>109</v>
      </c>
      <c r="B14" s="241" t="e">
        <f>'④-1月別配置内訳書(2)-(2)-(A)'!AA14</f>
        <v>#DIV/0!</v>
      </c>
      <c r="C14" s="241" t="e">
        <f>'④-2月別配置内訳書(2)-(2)-(B)'!AF14</f>
        <v>#DIV/0!</v>
      </c>
      <c r="D14" s="241" t="e">
        <f>'④-3月別配置内訳書(2)-(2)-(C)・(D)'!AB14</f>
        <v>#DIV/0!</v>
      </c>
      <c r="E14" s="242" t="e">
        <f>'④-3月別配置内訳書(2)-(2)-(C)・(D)'!BI14</f>
        <v>#DIV/0!</v>
      </c>
      <c r="F14" s="241" t="e">
        <f>'④-3月別配置内訳書(2)-(2)-(C)・(D)'!BJ14</f>
        <v>#DIV/0!</v>
      </c>
      <c r="G14" s="241" t="e">
        <f>'④-４月別配置内訳書(2)-(2)-(E)'!V14</f>
        <v>#DIV/0!</v>
      </c>
      <c r="H14" s="241" t="e">
        <f t="shared" si="16"/>
        <v>#DIV/0!</v>
      </c>
      <c r="I14" s="241" t="e">
        <f>'④-1月別配置内訳書(2)-(2)-(A)'!AB14</f>
        <v>#DIV/0!</v>
      </c>
      <c r="J14" s="241" t="e">
        <f>'④-2月別配置内訳書(2)-(2)-(B)'!AG14</f>
        <v>#N/A</v>
      </c>
      <c r="K14" s="241" t="e">
        <f t="shared" si="7"/>
        <v>#DIV/0!</v>
      </c>
      <c r="L14" s="241" t="e">
        <f>'④-3月別配置内訳書(2)-(2)-(C)・(D)'!BK14</f>
        <v>#N/A</v>
      </c>
      <c r="M14" s="241" t="e">
        <f>'④-3月別配置内訳書(2)-(2)-(C)・(D)'!BL14</f>
        <v>#N/A</v>
      </c>
      <c r="N14" s="241" t="e">
        <f t="shared" si="8"/>
        <v>#DIV/0!</v>
      </c>
      <c r="O14" s="241" t="e">
        <f t="shared" si="9"/>
        <v>#DIV/0!</v>
      </c>
      <c r="P14" s="241" t="e">
        <f t="shared" si="10"/>
        <v>#DIV/0!</v>
      </c>
      <c r="R14" s="241">
        <f>①基本情報!K27</f>
        <v>0</v>
      </c>
      <c r="S14" s="241">
        <f>①基本情報!K29</f>
        <v>0</v>
      </c>
      <c r="T14" s="241">
        <f>SUM('③児童数及び職員定数 (2)-(1)'!C15:D15)</f>
        <v>0</v>
      </c>
      <c r="U14" s="241">
        <f t="shared" si="17"/>
        <v>0</v>
      </c>
      <c r="W14" s="241" t="e">
        <f t="shared" si="11"/>
        <v>#DIV/0!</v>
      </c>
      <c r="X14" s="241" t="e">
        <f t="shared" si="12"/>
        <v>#DIV/0!</v>
      </c>
      <c r="Y14" s="241" t="e">
        <f t="shared" si="12"/>
        <v>#DIV/0!</v>
      </c>
      <c r="Z14" s="241" t="e">
        <f t="shared" si="13"/>
        <v>#DIV/0!</v>
      </c>
      <c r="AA14" s="241" t="e">
        <f t="shared" si="14"/>
        <v>#DIV/0!</v>
      </c>
      <c r="AB14" s="241" t="e">
        <f t="shared" si="18"/>
        <v>#DIV/0!</v>
      </c>
      <c r="AC14" s="241">
        <f t="shared" si="22"/>
        <v>0</v>
      </c>
      <c r="AE14" s="241" t="e">
        <f t="shared" si="15"/>
        <v>#DIV/0!</v>
      </c>
      <c r="AF14" s="241" t="e">
        <f>IF(X14="OK",IF($J14&gt;=$AE$1+COUNTIF($AE14:AE14,$J$8),$J$8,IF($K14&gt;=$AE$1+COUNTIF($AE14:AE14,$K$8),$K$8,IF($I14&gt;=$AE$1+COUNTIF($AE14:AE14,$I$8),$I$8,"NG"))),"NG")</f>
        <v>#DIV/0!</v>
      </c>
      <c r="AG14" s="241" t="e">
        <f>IF(Y14="OK",IF($J14&gt;=$AE$1+COUNTIF($AE14:AF14,$J$8),$J$8,IF($K14&gt;=$AE$1+COUNTIF($AE14:AF14,$K$8),$K$8,IF($I14&gt;=$AE$1+COUNTIF($AE14:AF14,$I$8),$I$8,"NG"))),"NG")</f>
        <v>#DIV/0!</v>
      </c>
      <c r="AH14" s="241" t="e">
        <f>IF($AB14&gt;=AH$8,IF($S14&gt;=$AE$1,IF($J14&gt;=$AE$1+COUNTIF($AE14:AG14,$J$8),$J$8,IF($D14&gt;=$AE$1+COUNTIF($AE14:AG14,$D$8),$D$8,IF($I14&gt;=$AE$1+COUNTIF($AE14:AG14,$I$8),$I$8,"NG"))),IF($J14&gt;=$AE$1+COUNTIF($AE14:AG14,$J$8),$J$8,IF($I14&gt;=$AE$1+COUNTIF($AE14:AG14,$I$8),$I$8,"NG"))),"NG")</f>
        <v>#DIV/0!</v>
      </c>
      <c r="AI14" s="241" t="e">
        <f>IF($AB14&gt;=AI$8,IF($S14&gt;=$AE$1,IF($J14&gt;=$AE$1+COUNTIF($AE14:AH14,$J$8),$J$8,IF($D14&gt;=$AE$1+COUNTIF($AE14:AH14,$D$8),$D$8,IF($I14&gt;=$AE$1+COUNTIF($AE14:AH14,$I$8),$I$8,"NG"))),IF($J14&gt;=$AE$1+COUNTIF($AE14:AH14,$J$8),$J$8,IF($I14&gt;=$AE$1+COUNTIF($AE14:AH14,$I$8),$I$8,"NG"))),"NG")</f>
        <v>#DIV/0!</v>
      </c>
      <c r="AJ14" s="241" t="e">
        <f>IF($AB14&gt;=AJ$8,IF($S14&gt;=$AE$1,IF($J14&gt;=$AE$1+COUNTIF($AE14:AI14,$J$8),$J$8,IF($D14&gt;=$AE$1+COUNTIF($AE14:AI14,$D$8),$D$8,IF($I14&gt;=$AE$1+COUNTIF($AE14:AI14,$I$8),$I$8,"NG"))),IF($J14&gt;=$AE$1+COUNTIF($AE14:AI14,$J$8),$J$8,IF($I14&gt;=$AE$1+COUNTIF($AE14:AI14,$I$8),$I$8,"NG"))),"NG")</f>
        <v>#DIV/0!</v>
      </c>
      <c r="AK14" s="241" t="e">
        <f>IF($AB14&gt;=AK$8,IF($S14&gt;=$AE$1,IF($J14&gt;=$AE$1+COUNTIF($AE14:AJ14,$J$8),$J$8,IF($D14&gt;=$AE$1+COUNTIF($AE14:AJ14,$D$8),$D$8,IF($I14&gt;=$AE$1+COUNTIF($AE14:AJ14,$I$8),$I$8,"NG"))),IF($J14&gt;=$AE$1+COUNTIF($AE14:AJ14,$J$8),$J$8,IF($I14&gt;=$AE$1+COUNTIF($AE14:AJ14,$I$8),$I$8,"NG"))),"NG")</f>
        <v>#DIV/0!</v>
      </c>
      <c r="AL14" s="241" t="e">
        <f>IF($AB14&gt;=AL$8,IF($S14&gt;=$AE$1,IF($J14&gt;=$AE$1+COUNTIF($AE14:AK14,$J$8),$J$8,IF($D14&gt;=$AE$1+COUNTIF($AE14:AK14,$D$8),$D$8,IF($I14&gt;=$AE$1+COUNTIF($AE14:AK14,$I$8),$I$8,"NG"))),IF($J14&gt;=$AE$1+COUNTIF($AE14:AK14,$J$8),$J$8,IF($I14&gt;=$AE$1+COUNTIF($AE14:AK14,$I$8),$I$8,"NG"))),"NG")</f>
        <v>#DIV/0!</v>
      </c>
      <c r="AM14" s="241" t="e">
        <f>IF($AB14&gt;=AM$8,IF($S14&gt;=$AE$1,IF($J14&gt;=$AE$1+COUNTIF($AE14:AL14,$J$8),$J$8,IF($D14&gt;=$AE$1+COUNTIF($AE14:AL14,$D$8),$D$8,IF($I14&gt;=$AE$1+COUNTIF($AE14:AL14,$I$8),$I$8,"NG"))),IF($J14&gt;=$AE$1+COUNTIF($AE14:AL14,$J$8),$J$8,IF($I14&gt;=$AE$1+COUNTIF($AE14:AL14,$I$8),$I$8,"NG"))),"NG")</f>
        <v>#DIV/0!</v>
      </c>
      <c r="AN14" s="241" t="e">
        <f>IF($AB14&gt;=AN$8,IF($S14&gt;=$AE$1,IF($J14&gt;=$AE$1+COUNTIF($AE14:AM14,$J$8),$J$8,IF($D14&gt;=$AE$1+COUNTIF($AE14:AM14,$D$8),$D$8,IF($I14&gt;=$AE$1+COUNTIF($AE14:AM14,$I$8),$I$8,"NG"))),IF($J14&gt;=$AE$1+COUNTIF($AE14:AM14,$J$8),$J$8,IF($I14&gt;=$AE$1+COUNTIF($AE14:AM14,$I$8),$I$8,"NG"))),"NG")</f>
        <v>#DIV/0!</v>
      </c>
      <c r="AO14" s="241" t="e">
        <f>IF($AB14&gt;=AO$8,IF($S14&gt;=$AE$1,IF($J14&gt;=$AE$1+COUNTIF($AE14:AN14,$J$8),$J$8,IF($D14&gt;=$AE$1+COUNTIF($AE14:AN14,$D$8),$D$8,IF($I14&gt;=$AE$1+COUNTIF($AE14:AN14,$I$8),$I$8,"NG"))),IF($J14&gt;=$AE$1+COUNTIF($AE14:AN14,$J$8),$J$8,IF($I14&gt;=$AE$1+COUNTIF($AE14:AN14,$I$8),$I$8,"NG"))),"NG")</f>
        <v>#DIV/0!</v>
      </c>
      <c r="AP14" s="241" t="e">
        <f>IF($AB14&gt;=AP$8,IF($S14&gt;=$AE$1,IF($J14&gt;=$AE$1+COUNTIF($AE14:AO14,$J$8),$J$8,IF($D14&gt;=$AE$1+COUNTIF($AE14:AO14,$D$8),$D$8,IF($I14&gt;=$AE$1+COUNTIF($AE14:AO14,$I$8),$I$8,"NG"))),IF($J14&gt;=$AE$1+COUNTIF($AE14:AO14,$J$8),$J$8,IF($I14&gt;=$AE$1+COUNTIF($AE14:AO14,$I$8),$I$8,"NG"))),"NG")</f>
        <v>#DIV/0!</v>
      </c>
      <c r="AQ14" s="241" t="e">
        <f>IF($AB14&gt;=AQ$8,IF($S14&gt;=$AE$1,IF($J14&gt;=$AE$1+COUNTIF($AE14:AP14,$J$8),$J$8,IF($D14&gt;=$AE$1+COUNTIF($AE14:AP14,$D$8),$D$8,IF($I14&gt;=$AE$1+COUNTIF($AE14:AP14,$I$8),$I$8,"NG"))),IF($J14&gt;=$AE$1+COUNTIF($AE14:AP14,$J$8),$J$8,IF($I14&gt;=$AE$1+COUNTIF($AE14:AP14,$I$8),$I$8,"NG"))),"NG")</f>
        <v>#DIV/0!</v>
      </c>
      <c r="AR14" s="241" t="str">
        <f>IF($AC14&gt;=AR$8,IF($J14&gt;=$AE$1+COUNTIF($AE14:AQ14,$J$8),$J$8,IF($I14&gt;=$AE$1+COUNTIF($AE14:AQ14,$I$8),$I$8,"NG")),"NG")</f>
        <v>NG</v>
      </c>
      <c r="AS14" s="241" t="str">
        <f>IF($AC14&gt;=AS$8,IF($J14&gt;=$AE$1+COUNTIF($AE14:AR14,$J$8),$J$8,IF($I14&gt;=$AE$1+COUNTIF($AE14:AR14,$I$8),$I$8,"NG")),"NG")</f>
        <v>NG</v>
      </c>
      <c r="AT14" s="241" t="e">
        <f>IF(AND(W14="OK",AE14="NG"),IF($N14&gt;=$AE$1+COUNTIF($AE14:AS14,$N$8),$N$8,IF($M14&gt;=$AE$1+COUNTIF($AE14:AS14,$M$8),$M$8,IF($L14&gt;=$AE$1+COUNTIF($AE14:AS14,$L$8),$L$8,"NG"))),"NG")</f>
        <v>#DIV/0!</v>
      </c>
      <c r="AU14" s="241" t="e">
        <f>IF(Z14="OK",IF($C14&gt;=$AE$1+COUNTIF($AE14:AT14,$C$8),$C$8,IF($D14&gt;=$AE$1+COUNTIF($AE14:AT14,$D$8),$D$8,IF($N14&gt;=$AE$1+COUNTIF($AE14:AT14,$N$8),$N$8,IF($I14&gt;=$AE$1+COUNTIF($AE14:AT14,$I$8),$I$8,IF($M14&gt;=$AE$1+COUNTIF($AE14:AT14,$M$8),$M$8,IF($L14&gt;=$AE$1+COUNTIF($AE14:AT14,$L$8),$L$8,"NG")))))),"NG")</f>
        <v>#DIV/0!</v>
      </c>
      <c r="AV14" s="241" t="e">
        <f>IF(AA14="OK",IF(COUNTIF($AE14:AU14,$L$8)+COUNTIF($AE14:AU14,$M$8)+COUNTIF($AE14:AU14,$N$8)&gt;=2,"NG",IF($C14&gt;=$AE$1+COUNTIF($AE14:AU14,$C$8),$C$8,IF($D14&gt;=$AE$1+COUNTIF($AE14:AU14,$D$8),$D$8,IF($N14&gt;=$AE$1+COUNTIF($AE14:AU14,$N$8),$N$8,IF($M14&gt;=$AE$1+COUNTIF($AE14:AU14,$M$8),$M$8,IF($I14&gt;=$AE$1+COUNTIF($AE14:AU14,$I$8),$I$8,IF($L14&gt;=$AE$1+COUNTIF($AE14:AU14,$L$8),$L$8,"NG"))))))),"NG")</f>
        <v>#DIV/0!</v>
      </c>
      <c r="AX14" s="241" t="e">
        <f t="shared" si="19"/>
        <v>#DIV/0!</v>
      </c>
      <c r="AY14" s="241">
        <f t="shared" si="20"/>
        <v>0</v>
      </c>
      <c r="AZ14" s="241">
        <f t="shared" si="21"/>
        <v>0</v>
      </c>
    </row>
    <row r="15" spans="1:52">
      <c r="A15" s="241" t="s">
        <v>110</v>
      </c>
      <c r="B15" s="241" t="e">
        <f>'④-1月別配置内訳書(2)-(2)-(A)'!AA15</f>
        <v>#DIV/0!</v>
      </c>
      <c r="C15" s="241" t="e">
        <f>'④-2月別配置内訳書(2)-(2)-(B)'!AF15</f>
        <v>#DIV/0!</v>
      </c>
      <c r="D15" s="241" t="e">
        <f>'④-3月別配置内訳書(2)-(2)-(C)・(D)'!AB15</f>
        <v>#DIV/0!</v>
      </c>
      <c r="E15" s="242" t="e">
        <f>'④-3月別配置内訳書(2)-(2)-(C)・(D)'!BI15</f>
        <v>#DIV/0!</v>
      </c>
      <c r="F15" s="241" t="e">
        <f>'④-3月別配置内訳書(2)-(2)-(C)・(D)'!BJ15</f>
        <v>#DIV/0!</v>
      </c>
      <c r="G15" s="241" t="e">
        <f>'④-４月別配置内訳書(2)-(2)-(E)'!V15</f>
        <v>#DIV/0!</v>
      </c>
      <c r="H15" s="241" t="e">
        <f t="shared" ref="H15:H20" si="23">I15+J15+K15</f>
        <v>#DIV/0!</v>
      </c>
      <c r="I15" s="241" t="e">
        <f>'④-1月別配置内訳書(2)-(2)-(A)'!AB15</f>
        <v>#DIV/0!</v>
      </c>
      <c r="J15" s="241" t="e">
        <f>'④-2月別配置内訳書(2)-(2)-(B)'!AG15</f>
        <v>#N/A</v>
      </c>
      <c r="K15" s="241" t="e">
        <f t="shared" si="7"/>
        <v>#DIV/0!</v>
      </c>
      <c r="L15" s="241" t="e">
        <f>'④-3月別配置内訳書(2)-(2)-(C)・(D)'!BK15</f>
        <v>#N/A</v>
      </c>
      <c r="M15" s="241" t="e">
        <f>'④-3月別配置内訳書(2)-(2)-(C)・(D)'!BL15</f>
        <v>#N/A</v>
      </c>
      <c r="N15" s="241" t="e">
        <f t="shared" ref="N15:N20" si="24">G15</f>
        <v>#DIV/0!</v>
      </c>
      <c r="O15" s="241" t="e">
        <f t="shared" ref="O15:O20" si="25">C15-J15</f>
        <v>#DIV/0!</v>
      </c>
      <c r="P15" s="241" t="e">
        <f t="shared" ref="P15:P20" si="26">D15-K15</f>
        <v>#DIV/0!</v>
      </c>
      <c r="R15" s="243">
        <f>①基本情報!L27</f>
        <v>0</v>
      </c>
      <c r="S15" s="243">
        <f>①基本情報!L29</f>
        <v>0</v>
      </c>
      <c r="T15" s="241">
        <f>SUM('③児童数及び職員定数 (2)-(1)'!C16:D16)</f>
        <v>0</v>
      </c>
      <c r="U15" s="241">
        <f t="shared" ref="U15:U20" si="27">IF(T15&gt;=66,2,IF(T15&gt;=36,1,0))</f>
        <v>0</v>
      </c>
      <c r="W15" s="241" t="e">
        <f t="shared" si="11"/>
        <v>#DIV/0!</v>
      </c>
      <c r="X15" s="241" t="e">
        <f t="shared" si="12"/>
        <v>#DIV/0!</v>
      </c>
      <c r="Y15" s="241" t="e">
        <f t="shared" si="12"/>
        <v>#DIV/0!</v>
      </c>
      <c r="Z15" s="241" t="e">
        <f t="shared" si="13"/>
        <v>#DIV/0!</v>
      </c>
      <c r="AA15" s="241" t="e">
        <f t="shared" si="14"/>
        <v>#DIV/0!</v>
      </c>
      <c r="AB15" s="241" t="e">
        <f t="shared" si="18"/>
        <v>#DIV/0!</v>
      </c>
      <c r="AC15" s="241">
        <f t="shared" ref="AC15:AC20" si="28">IF(U15&gt;=1,MIN(ROUNDDOWN(SUM(I15:J15,O15)-COUNTIF($AF15:$AL15,$B$8)-COUNTIF($AF15:$AL15,$C$8),0),U15),0)</f>
        <v>0</v>
      </c>
      <c r="AE15" s="241" t="e">
        <f t="shared" ref="AE15:AE20" si="29">IF(W15="OK",IF($I15&gt;=$AE$1,I$8,IF($J15&gt;=$AE$1,J$8,IF($K15&gt;=$AE$1,K$8,"NG"))),"NG")</f>
        <v>#DIV/0!</v>
      </c>
      <c r="AF15" s="241" t="e">
        <f>IF(X15="OK",IF($J15&gt;=$AE$1+COUNTIF($AE15:AE15,$J$8),$J$8,IF($K15&gt;=$AE$1+COUNTIF($AE15:AE15,$K$8),$K$8,IF($I15&gt;=$AE$1+COUNTIF($AE15:AE15,$I$8),$I$8,"NG"))),"NG")</f>
        <v>#DIV/0!</v>
      </c>
      <c r="AG15" s="241" t="e">
        <f>IF(Y15="OK",IF($J15&gt;=$AE$1+COUNTIF($AE15:AF15,$J$8),$J$8,IF($K15&gt;=$AE$1+COUNTIF($AE15:AF15,$K$8),$K$8,IF($I15&gt;=$AE$1+COUNTIF($AE15:AF15,$I$8),$I$8,"NG"))),"NG")</f>
        <v>#DIV/0!</v>
      </c>
      <c r="AH15" s="241" t="e">
        <f>IF($AB15&gt;=AH$8,IF($S15&gt;=$AE$1,IF($J15&gt;=$AE$1+COUNTIF($AE15:AG15,$J$8),$J$8,IF($D15&gt;=$AE$1+COUNTIF($AE15:AG15,$D$8),$D$8,IF($I15&gt;=$AE$1+COUNTIF($AE15:AG15,$I$8),$I$8,"NG"))),IF($J15&gt;=$AE$1+COUNTIF($AE15:AG15,$J$8),$J$8,IF($I15&gt;=$AE$1+COUNTIF($AE15:AG15,$I$8),$I$8,"NG"))),"NG")</f>
        <v>#DIV/0!</v>
      </c>
      <c r="AI15" s="241" t="e">
        <f>IF($AB15&gt;=AI$8,IF($S15&gt;=$AE$1,IF($J15&gt;=$AE$1+COUNTIF($AE15:AH15,$J$8),$J$8,IF($D15&gt;=$AE$1+COUNTIF($AE15:AH15,$D$8),$D$8,IF($I15&gt;=$AE$1+COUNTIF($AE15:AH15,$I$8),$I$8,"NG"))),IF($J15&gt;=$AE$1+COUNTIF($AE15:AH15,$J$8),$J$8,IF($I15&gt;=$AE$1+COUNTIF($AE15:AH15,$I$8),$I$8,"NG"))),"NG")</f>
        <v>#DIV/0!</v>
      </c>
      <c r="AJ15" s="241" t="e">
        <f>IF($AB15&gt;=AJ$8,IF($S15&gt;=$AE$1,IF($J15&gt;=$AE$1+COUNTIF($AE15:AI15,$J$8),$J$8,IF($D15&gt;=$AE$1+COUNTIF($AE15:AI15,$D$8),$D$8,IF($I15&gt;=$AE$1+COUNTIF($AE15:AI15,$I$8),$I$8,"NG"))),IF($J15&gt;=$AE$1+COUNTIF($AE15:AI15,$J$8),$J$8,IF($I15&gt;=$AE$1+COUNTIF($AE15:AI15,$I$8),$I$8,"NG"))),"NG")</f>
        <v>#DIV/0!</v>
      </c>
      <c r="AK15" s="241" t="e">
        <f>IF($AB15&gt;=AK$8,IF($S15&gt;=$AE$1,IF($J15&gt;=$AE$1+COUNTIF($AE15:AJ15,$J$8),$J$8,IF($D15&gt;=$AE$1+COUNTIF($AE15:AJ15,$D$8),$D$8,IF($I15&gt;=$AE$1+COUNTIF($AE15:AJ15,$I$8),$I$8,"NG"))),IF($J15&gt;=$AE$1+COUNTIF($AE15:AJ15,$J$8),$J$8,IF($I15&gt;=$AE$1+COUNTIF($AE15:AJ15,$I$8),$I$8,"NG"))),"NG")</f>
        <v>#DIV/0!</v>
      </c>
      <c r="AL15" s="241" t="e">
        <f>IF($AB15&gt;=AL$8,IF($S15&gt;=$AE$1,IF($J15&gt;=$AE$1+COUNTIF($AE15:AK15,$J$8),$J$8,IF($D15&gt;=$AE$1+COUNTIF($AE15:AK15,$D$8),$D$8,IF($I15&gt;=$AE$1+COUNTIF($AE15:AK15,$I$8),$I$8,"NG"))),IF($J15&gt;=$AE$1+COUNTIF($AE15:AK15,$J$8),$J$8,IF($I15&gt;=$AE$1+COUNTIF($AE15:AK15,$I$8),$I$8,"NG"))),"NG")</f>
        <v>#DIV/0!</v>
      </c>
      <c r="AM15" s="241" t="e">
        <f>IF($AB15&gt;=AM$8,IF($S15&gt;=$AE$1,IF($J15&gt;=$AE$1+COUNTIF($AE15:AL15,$J$8),$J$8,IF($D15&gt;=$AE$1+COUNTIF($AE15:AL15,$D$8),$D$8,IF($I15&gt;=$AE$1+COUNTIF($AE15:AL15,$I$8),$I$8,"NG"))),IF($J15&gt;=$AE$1+COUNTIF($AE15:AL15,$J$8),$J$8,IF($I15&gt;=$AE$1+COUNTIF($AE15:AL15,$I$8),$I$8,"NG"))),"NG")</f>
        <v>#DIV/0!</v>
      </c>
      <c r="AN15" s="241" t="e">
        <f>IF($AB15&gt;=AN$8,IF($S15&gt;=$AE$1,IF($J15&gt;=$AE$1+COUNTIF($AE15:AM15,$J$8),$J$8,IF($D15&gt;=$AE$1+COUNTIF($AE15:AM15,$D$8),$D$8,IF($I15&gt;=$AE$1+COUNTIF($AE15:AM15,$I$8),$I$8,"NG"))),IF($J15&gt;=$AE$1+COUNTIF($AE15:AM15,$J$8),$J$8,IF($I15&gt;=$AE$1+COUNTIF($AE15:AM15,$I$8),$I$8,"NG"))),"NG")</f>
        <v>#DIV/0!</v>
      </c>
      <c r="AO15" s="241" t="e">
        <f>IF($AB15&gt;=AO$8,IF($S15&gt;=$AE$1,IF($J15&gt;=$AE$1+COUNTIF($AE15:AN15,$J$8),$J$8,IF($D15&gt;=$AE$1+COUNTIF($AE15:AN15,$D$8),$D$8,IF($I15&gt;=$AE$1+COUNTIF($AE15:AN15,$I$8),$I$8,"NG"))),IF($J15&gt;=$AE$1+COUNTIF($AE15:AN15,$J$8),$J$8,IF($I15&gt;=$AE$1+COUNTIF($AE15:AN15,$I$8),$I$8,"NG"))),"NG")</f>
        <v>#DIV/0!</v>
      </c>
      <c r="AP15" s="241" t="e">
        <f>IF($AB15&gt;=AP$8,IF($S15&gt;=$AE$1,IF($J15&gt;=$AE$1+COUNTIF($AE15:AO15,$J$8),$J$8,IF($D15&gt;=$AE$1+COUNTIF($AE15:AO15,$D$8),$D$8,IF($I15&gt;=$AE$1+COUNTIF($AE15:AO15,$I$8),$I$8,"NG"))),IF($J15&gt;=$AE$1+COUNTIF($AE15:AO15,$J$8),$J$8,IF($I15&gt;=$AE$1+COUNTIF($AE15:AO15,$I$8),$I$8,"NG"))),"NG")</f>
        <v>#DIV/0!</v>
      </c>
      <c r="AQ15" s="241" t="e">
        <f>IF($AB15&gt;=AQ$8,IF($S15&gt;=$AE$1,IF($J15&gt;=$AE$1+COUNTIF($AE15:AP15,$J$8),$J$8,IF($D15&gt;=$AE$1+COUNTIF($AE15:AP15,$D$8),$D$8,IF($I15&gt;=$AE$1+COUNTIF($AE15:AP15,$I$8),$I$8,"NG"))),IF($J15&gt;=$AE$1+COUNTIF($AE15:AP15,$J$8),$J$8,IF($I15&gt;=$AE$1+COUNTIF($AE15:AP15,$I$8),$I$8,"NG"))),"NG")</f>
        <v>#DIV/0!</v>
      </c>
      <c r="AR15" s="241" t="str">
        <f>IF($AC15&gt;=AR$8,IF($J15&gt;=$AE$1+COUNTIF($AE15:AQ15,$J$8),$J$8,IF($I15&gt;=$AE$1+COUNTIF($AE15:AQ15,$I$8),$I$8,"NG")),"NG")</f>
        <v>NG</v>
      </c>
      <c r="AS15" s="241" t="str">
        <f>IF($AC15&gt;=AS$8,IF($J15&gt;=$AE$1+COUNTIF($AE15:AR15,$J$8),$J$8,IF($I15&gt;=$AE$1+COUNTIF($AE15:AR15,$I$8),$I$8,"NG")),"NG")</f>
        <v>NG</v>
      </c>
      <c r="AT15" s="241" t="e">
        <f>IF(AND(W15="OK",AE15="NG"),IF($N15&gt;=$AE$1+COUNTIF($AE15:AS15,$N$8),$N$8,IF($M15&gt;=$AE$1+COUNTIF($AE15:AS15,$M$8),$M$8,IF($L15&gt;=$AE$1+COUNTIF($AE15:AS15,$L$8),$L$8,"NG"))),"NG")</f>
        <v>#DIV/0!</v>
      </c>
      <c r="AU15" s="241" t="e">
        <f>IF(Z15="OK",IF($C15&gt;=$AE$1+COUNTIF($AE15:AT15,$C$8),$C$8,IF($D15&gt;=$AE$1+COUNTIF($AE15:AT15,$D$8),$D$8,IF($N15&gt;=$AE$1+COUNTIF($AE15:AT15,$N$8),$N$8,IF($I15&gt;=$AE$1+COUNTIF($AE15:AT15,$I$8),$I$8,IF($M15&gt;=$AE$1+COUNTIF($AE15:AT15,$M$8),$M$8,IF($L15&gt;=$AE$1+COUNTIF($AE15:AT15,$L$8),$L$8,"NG")))))),"NG")</f>
        <v>#DIV/0!</v>
      </c>
      <c r="AV15" s="241" t="e">
        <f>IF(AA15="OK",IF(COUNTIF($AE15:AU15,$L$8)+COUNTIF($AE15:AU15,$M$8)+COUNTIF($AE15:AU15,$N$8)&gt;=2,"NG",IF($C15&gt;=$AE$1+COUNTIF($AE15:AU15,$C$8),$C$8,IF($D15&gt;=$AE$1+COUNTIF($AE15:AU15,$D$8),$D$8,IF($N15&gt;=$AE$1+COUNTIF($AE15:AU15,$N$8),$N$8,IF($M15&gt;=$AE$1+COUNTIF($AE15:AU15,$M$8),$M$8,IF($I15&gt;=$AE$1+COUNTIF($AE15:AU15,$I$8),$I$8,IF($L15&gt;=$AE$1+COUNTIF($AE15:AU15,$L$8),$L$8,"NG"))))))),"NG")</f>
        <v>#DIV/0!</v>
      </c>
      <c r="AX15" s="241" t="e">
        <f t="shared" ref="AX15:AX20" si="30">IF(AE15="NG",AT15,AE15)</f>
        <v>#DIV/0!</v>
      </c>
      <c r="AY15" s="241">
        <f t="shared" si="20"/>
        <v>0</v>
      </c>
      <c r="AZ15" s="241">
        <f t="shared" si="21"/>
        <v>0</v>
      </c>
    </row>
    <row r="16" spans="1:52">
      <c r="A16" s="241" t="s">
        <v>111</v>
      </c>
      <c r="B16" s="241" t="e">
        <f>'④-1月別配置内訳書(2)-(2)-(A)'!AA16</f>
        <v>#DIV/0!</v>
      </c>
      <c r="C16" s="241" t="e">
        <f>'④-2月別配置内訳書(2)-(2)-(B)'!AF16</f>
        <v>#DIV/0!</v>
      </c>
      <c r="D16" s="241" t="e">
        <f>'④-3月別配置内訳書(2)-(2)-(C)・(D)'!AB16</f>
        <v>#DIV/0!</v>
      </c>
      <c r="E16" s="242" t="e">
        <f>'④-3月別配置内訳書(2)-(2)-(C)・(D)'!BI16</f>
        <v>#DIV/0!</v>
      </c>
      <c r="F16" s="241" t="e">
        <f>'④-3月別配置内訳書(2)-(2)-(C)・(D)'!BJ16</f>
        <v>#DIV/0!</v>
      </c>
      <c r="G16" s="241" t="e">
        <f>'④-４月別配置内訳書(2)-(2)-(E)'!V16</f>
        <v>#DIV/0!</v>
      </c>
      <c r="H16" s="241" t="e">
        <f t="shared" si="23"/>
        <v>#DIV/0!</v>
      </c>
      <c r="I16" s="241" t="e">
        <f>'④-1月別配置内訳書(2)-(2)-(A)'!AB16</f>
        <v>#DIV/0!</v>
      </c>
      <c r="J16" s="241" t="e">
        <f>'④-2月別配置内訳書(2)-(2)-(B)'!AG16</f>
        <v>#N/A</v>
      </c>
      <c r="K16" s="241" t="e">
        <f t="shared" si="7"/>
        <v>#DIV/0!</v>
      </c>
      <c r="L16" s="241" t="e">
        <f>'④-3月別配置内訳書(2)-(2)-(C)・(D)'!BK16</f>
        <v>#N/A</v>
      </c>
      <c r="M16" s="241" t="e">
        <f>'④-3月別配置内訳書(2)-(2)-(C)・(D)'!BL16</f>
        <v>#N/A</v>
      </c>
      <c r="N16" s="241" t="e">
        <f t="shared" si="24"/>
        <v>#DIV/0!</v>
      </c>
      <c r="O16" s="241" t="e">
        <f t="shared" si="25"/>
        <v>#DIV/0!</v>
      </c>
      <c r="P16" s="241" t="e">
        <f t="shared" si="26"/>
        <v>#DIV/0!</v>
      </c>
      <c r="R16" s="243">
        <f>①基本情報!M27</f>
        <v>0</v>
      </c>
      <c r="S16" s="243">
        <f>①基本情報!M29</f>
        <v>0</v>
      </c>
      <c r="T16" s="241">
        <f>SUM('③児童数及び職員定数 (2)-(1)'!C17:D17)</f>
        <v>0</v>
      </c>
      <c r="U16" s="241">
        <f t="shared" si="27"/>
        <v>0</v>
      </c>
      <c r="W16" s="241" t="e">
        <f t="shared" si="11"/>
        <v>#DIV/0!</v>
      </c>
      <c r="X16" s="241" t="e">
        <f t="shared" si="12"/>
        <v>#DIV/0!</v>
      </c>
      <c r="Y16" s="241" t="e">
        <f t="shared" si="12"/>
        <v>#DIV/0!</v>
      </c>
      <c r="Z16" s="241" t="e">
        <f t="shared" si="13"/>
        <v>#DIV/0!</v>
      </c>
      <c r="AA16" s="241" t="e">
        <f t="shared" si="14"/>
        <v>#DIV/0!</v>
      </c>
      <c r="AB16" s="241" t="e">
        <f t="shared" si="18"/>
        <v>#DIV/0!</v>
      </c>
      <c r="AC16" s="241">
        <f t="shared" si="28"/>
        <v>0</v>
      </c>
      <c r="AE16" s="241" t="e">
        <f t="shared" si="29"/>
        <v>#DIV/0!</v>
      </c>
      <c r="AF16" s="241" t="e">
        <f>IF(X16="OK",IF($J16&gt;=$AE$1+COUNTIF($AE16:AE16,$J$8),$J$8,IF($K16&gt;=$AE$1+COUNTIF($AE16:AE16,$K$8),$K$8,IF($I16&gt;=$AE$1+COUNTIF($AE16:AE16,$I$8),$I$8,"NG"))),"NG")</f>
        <v>#DIV/0!</v>
      </c>
      <c r="AG16" s="241" t="e">
        <f>IF(Y16="OK",IF($J16&gt;=$AE$1+COUNTIF($AE16:AF16,$J$8),$J$8,IF($K16&gt;=$AE$1+COUNTIF($AE16:AF16,$K$8),$K$8,IF($I16&gt;=$AE$1+COUNTIF($AE16:AF16,$I$8),$I$8,"NG"))),"NG")</f>
        <v>#DIV/0!</v>
      </c>
      <c r="AH16" s="241" t="e">
        <f>IF($AB16&gt;=AH$8,IF($S16&gt;=$AE$1,IF($J16&gt;=$AE$1+COUNTIF($AE16:AG16,$J$8),$J$8,IF($D16&gt;=$AE$1+COUNTIF($AE16:AG16,$D$8),$D$8,IF($I16&gt;=$AE$1+COUNTIF($AE16:AG16,$I$8),$I$8,"NG"))),IF($J16&gt;=$AE$1+COUNTIF($AE16:AG16,$J$8),$J$8,IF($I16&gt;=$AE$1+COUNTIF($AE16:AG16,$I$8),$I$8,"NG"))),"NG")</f>
        <v>#DIV/0!</v>
      </c>
      <c r="AI16" s="241" t="e">
        <f>IF($AB16&gt;=AI$8,IF($S16&gt;=$AE$1,IF($J16&gt;=$AE$1+COUNTIF($AE16:AH16,$J$8),$J$8,IF($D16&gt;=$AE$1+COUNTIF($AE16:AH16,$D$8),$D$8,IF($I16&gt;=$AE$1+COUNTIF($AE16:AH16,$I$8),$I$8,"NG"))),IF($J16&gt;=$AE$1+COUNTIF($AE16:AH16,$J$8),$J$8,IF($I16&gt;=$AE$1+COUNTIF($AE16:AH16,$I$8),$I$8,"NG"))),"NG")</f>
        <v>#DIV/0!</v>
      </c>
      <c r="AJ16" s="241" t="e">
        <f>IF($AB16&gt;=AJ$8,IF($S16&gt;=$AE$1,IF($J16&gt;=$AE$1+COUNTIF($AE16:AI16,$J$8),$J$8,IF($D16&gt;=$AE$1+COUNTIF($AE16:AI16,$D$8),$D$8,IF($I16&gt;=$AE$1+COUNTIF($AE16:AI16,$I$8),$I$8,"NG"))),IF($J16&gt;=$AE$1+COUNTIF($AE16:AI16,$J$8),$J$8,IF($I16&gt;=$AE$1+COUNTIF($AE16:AI16,$I$8),$I$8,"NG"))),"NG")</f>
        <v>#DIV/0!</v>
      </c>
      <c r="AK16" s="241" t="e">
        <f>IF($AB16&gt;=AK$8,IF($S16&gt;=$AE$1,IF($J16&gt;=$AE$1+COUNTIF($AE16:AJ16,$J$8),$J$8,IF($D16&gt;=$AE$1+COUNTIF($AE16:AJ16,$D$8),$D$8,IF($I16&gt;=$AE$1+COUNTIF($AE16:AJ16,$I$8),$I$8,"NG"))),IF($J16&gt;=$AE$1+COUNTIF($AE16:AJ16,$J$8),$J$8,IF($I16&gt;=$AE$1+COUNTIF($AE16:AJ16,$I$8),$I$8,"NG"))),"NG")</f>
        <v>#DIV/0!</v>
      </c>
      <c r="AL16" s="241" t="e">
        <f>IF($AB16&gt;=AL$8,IF($S16&gt;=$AE$1,IF($J16&gt;=$AE$1+COUNTIF($AE16:AK16,$J$8),$J$8,IF($D16&gt;=$AE$1+COUNTIF($AE16:AK16,$D$8),$D$8,IF($I16&gt;=$AE$1+COUNTIF($AE16:AK16,$I$8),$I$8,"NG"))),IF($J16&gt;=$AE$1+COUNTIF($AE16:AK16,$J$8),$J$8,IF($I16&gt;=$AE$1+COUNTIF($AE16:AK16,$I$8),$I$8,"NG"))),"NG")</f>
        <v>#DIV/0!</v>
      </c>
      <c r="AM16" s="241" t="e">
        <f>IF($AB16&gt;=AM$8,IF($S16&gt;=$AE$1,IF($J16&gt;=$AE$1+COUNTIF($AE16:AL16,$J$8),$J$8,IF($D16&gt;=$AE$1+COUNTIF($AE16:AL16,$D$8),$D$8,IF($I16&gt;=$AE$1+COUNTIF($AE16:AL16,$I$8),$I$8,"NG"))),IF($J16&gt;=$AE$1+COUNTIF($AE16:AL16,$J$8),$J$8,IF($I16&gt;=$AE$1+COUNTIF($AE16:AL16,$I$8),$I$8,"NG"))),"NG")</f>
        <v>#DIV/0!</v>
      </c>
      <c r="AN16" s="241" t="e">
        <f>IF($AB16&gt;=AN$8,IF($S16&gt;=$AE$1,IF($J16&gt;=$AE$1+COUNTIF($AE16:AM16,$J$8),$J$8,IF($D16&gt;=$AE$1+COUNTIF($AE16:AM16,$D$8),$D$8,IF($I16&gt;=$AE$1+COUNTIF($AE16:AM16,$I$8),$I$8,"NG"))),IF($J16&gt;=$AE$1+COUNTIF($AE16:AM16,$J$8),$J$8,IF($I16&gt;=$AE$1+COUNTIF($AE16:AM16,$I$8),$I$8,"NG"))),"NG")</f>
        <v>#DIV/0!</v>
      </c>
      <c r="AO16" s="241" t="e">
        <f>IF($AB16&gt;=AO$8,IF($S16&gt;=$AE$1,IF($J16&gt;=$AE$1+COUNTIF($AE16:AN16,$J$8),$J$8,IF($D16&gt;=$AE$1+COUNTIF($AE16:AN16,$D$8),$D$8,IF($I16&gt;=$AE$1+COUNTIF($AE16:AN16,$I$8),$I$8,"NG"))),IF($J16&gt;=$AE$1+COUNTIF($AE16:AN16,$J$8),$J$8,IF($I16&gt;=$AE$1+COUNTIF($AE16:AN16,$I$8),$I$8,"NG"))),"NG")</f>
        <v>#DIV/0!</v>
      </c>
      <c r="AP16" s="241" t="e">
        <f>IF($AB16&gt;=AP$8,IF($S16&gt;=$AE$1,IF($J16&gt;=$AE$1+COUNTIF($AE16:AO16,$J$8),$J$8,IF($D16&gt;=$AE$1+COUNTIF($AE16:AO16,$D$8),$D$8,IF($I16&gt;=$AE$1+COUNTIF($AE16:AO16,$I$8),$I$8,"NG"))),IF($J16&gt;=$AE$1+COUNTIF($AE16:AO16,$J$8),$J$8,IF($I16&gt;=$AE$1+COUNTIF($AE16:AO16,$I$8),$I$8,"NG"))),"NG")</f>
        <v>#DIV/0!</v>
      </c>
      <c r="AQ16" s="241" t="e">
        <f>IF($AB16&gt;=AQ$8,IF($S16&gt;=$AE$1,IF($J16&gt;=$AE$1+COUNTIF($AE16:AP16,$J$8),$J$8,IF($D16&gt;=$AE$1+COUNTIF($AE16:AP16,$D$8),$D$8,IF($I16&gt;=$AE$1+COUNTIF($AE16:AP16,$I$8),$I$8,"NG"))),IF($J16&gt;=$AE$1+COUNTIF($AE16:AP16,$J$8),$J$8,IF($I16&gt;=$AE$1+COUNTIF($AE16:AP16,$I$8),$I$8,"NG"))),"NG")</f>
        <v>#DIV/0!</v>
      </c>
      <c r="AR16" s="241" t="str">
        <f>IF($AC16&gt;=AR$8,IF($J16&gt;=$AE$1+COUNTIF($AE16:AQ16,$J$8),$J$8,IF($I16&gt;=$AE$1+COUNTIF($AE16:AQ16,$I$8),$I$8,"NG")),"NG")</f>
        <v>NG</v>
      </c>
      <c r="AS16" s="241" t="str">
        <f>IF($AC16&gt;=AS$8,IF($J16&gt;=$AE$1+COUNTIF($AE16:AR16,$J$8),$J$8,IF($I16&gt;=$AE$1+COUNTIF($AE16:AR16,$I$8),$I$8,"NG")),"NG")</f>
        <v>NG</v>
      </c>
      <c r="AT16" s="241" t="e">
        <f>IF(AND(W16="OK",AE16="NG"),IF($N16&gt;=$AE$1+COUNTIF($AE16:AS16,$N$8),$N$8,IF($M16&gt;=$AE$1+COUNTIF($AE16:AS16,$M$8),$M$8,IF($L16&gt;=$AE$1+COUNTIF($AE16:AS16,$L$8),$L$8,"NG"))),"NG")</f>
        <v>#DIV/0!</v>
      </c>
      <c r="AU16" s="241" t="e">
        <f>IF(Z16="OK",IF($C16&gt;=$AE$1+COUNTIF($AE16:AT16,$C$8),$C$8,IF($D16&gt;=$AE$1+COUNTIF($AE16:AT16,$D$8),$D$8,IF($N16&gt;=$AE$1+COUNTIF($AE16:AT16,$N$8),$N$8,IF($I16&gt;=$AE$1+COUNTIF($AE16:AT16,$I$8),$I$8,IF($M16&gt;=$AE$1+COUNTIF($AE16:AT16,$M$8),$M$8,IF($L16&gt;=$AE$1+COUNTIF($AE16:AT16,$L$8),$L$8,"NG")))))),"NG")</f>
        <v>#DIV/0!</v>
      </c>
      <c r="AV16" s="241" t="e">
        <f>IF(AA16="OK",IF(COUNTIF($AE16:AU16,$L$8)+COUNTIF($AE16:AU16,$M$8)+COUNTIF($AE16:AU16,$N$8)&gt;=2,"NG",IF($C16&gt;=$AE$1+COUNTIF($AE16:AU16,$C$8),$C$8,IF($D16&gt;=$AE$1+COUNTIF($AE16:AU16,$D$8),$D$8,IF($N16&gt;=$AE$1+COUNTIF($AE16:AU16,$N$8),$N$8,IF($M16&gt;=$AE$1+COUNTIF($AE16:AU16,$M$8),$M$8,IF($I16&gt;=$AE$1+COUNTIF($AE16:AU16,$I$8),$I$8,IF($L16&gt;=$AE$1+COUNTIF($AE16:AU16,$L$8),$L$8,"NG"))))))),"NG")</f>
        <v>#DIV/0!</v>
      </c>
      <c r="AX16" s="241" t="e">
        <f t="shared" si="30"/>
        <v>#DIV/0!</v>
      </c>
      <c r="AY16" s="241">
        <f t="shared" si="20"/>
        <v>0</v>
      </c>
      <c r="AZ16" s="241">
        <f t="shared" si="21"/>
        <v>0</v>
      </c>
    </row>
    <row r="17" spans="1:52">
      <c r="A17" s="241" t="s">
        <v>112</v>
      </c>
      <c r="B17" s="241" t="e">
        <f>'④-1月別配置内訳書(2)-(2)-(A)'!AA17</f>
        <v>#DIV/0!</v>
      </c>
      <c r="C17" s="241" t="e">
        <f>'④-2月別配置内訳書(2)-(2)-(B)'!AF17</f>
        <v>#DIV/0!</v>
      </c>
      <c r="D17" s="241" t="e">
        <f>'④-3月別配置内訳書(2)-(2)-(C)・(D)'!AB17</f>
        <v>#DIV/0!</v>
      </c>
      <c r="E17" s="242" t="e">
        <f>'④-3月別配置内訳書(2)-(2)-(C)・(D)'!BI17</f>
        <v>#DIV/0!</v>
      </c>
      <c r="F17" s="241" t="e">
        <f>'④-3月別配置内訳書(2)-(2)-(C)・(D)'!BJ17</f>
        <v>#DIV/0!</v>
      </c>
      <c r="G17" s="241" t="e">
        <f>'④-４月別配置内訳書(2)-(2)-(E)'!V17</f>
        <v>#DIV/0!</v>
      </c>
      <c r="H17" s="241" t="e">
        <f t="shared" si="23"/>
        <v>#DIV/0!</v>
      </c>
      <c r="I17" s="241" t="e">
        <f>'④-1月別配置内訳書(2)-(2)-(A)'!AB17</f>
        <v>#DIV/0!</v>
      </c>
      <c r="J17" s="241" t="e">
        <f>'④-2月別配置内訳書(2)-(2)-(B)'!AG17</f>
        <v>#N/A</v>
      </c>
      <c r="K17" s="241" t="e">
        <f t="shared" si="7"/>
        <v>#DIV/0!</v>
      </c>
      <c r="L17" s="241" t="e">
        <f>'④-3月別配置内訳書(2)-(2)-(C)・(D)'!BK17</f>
        <v>#N/A</v>
      </c>
      <c r="M17" s="241" t="e">
        <f>'④-3月別配置内訳書(2)-(2)-(C)・(D)'!BL17</f>
        <v>#N/A</v>
      </c>
      <c r="N17" s="241" t="e">
        <f t="shared" si="24"/>
        <v>#DIV/0!</v>
      </c>
      <c r="O17" s="241" t="e">
        <f t="shared" si="25"/>
        <v>#DIV/0!</v>
      </c>
      <c r="P17" s="241" t="e">
        <f t="shared" si="26"/>
        <v>#DIV/0!</v>
      </c>
      <c r="R17" s="243">
        <f>①基本情報!N27</f>
        <v>0</v>
      </c>
      <c r="S17" s="243">
        <f>①基本情報!N29</f>
        <v>0</v>
      </c>
      <c r="T17" s="241">
        <f>SUM('③児童数及び職員定数 (2)-(1)'!C18:D18)</f>
        <v>0</v>
      </c>
      <c r="U17" s="241">
        <f t="shared" si="27"/>
        <v>0</v>
      </c>
      <c r="W17" s="241" t="e">
        <f t="shared" si="11"/>
        <v>#DIV/0!</v>
      </c>
      <c r="X17" s="241" t="e">
        <f t="shared" si="12"/>
        <v>#DIV/0!</v>
      </c>
      <c r="Y17" s="241" t="e">
        <f t="shared" si="12"/>
        <v>#DIV/0!</v>
      </c>
      <c r="Z17" s="241" t="e">
        <f t="shared" si="13"/>
        <v>#DIV/0!</v>
      </c>
      <c r="AA17" s="241" t="e">
        <f t="shared" si="14"/>
        <v>#DIV/0!</v>
      </c>
      <c r="AB17" s="241" t="e">
        <f t="shared" si="18"/>
        <v>#DIV/0!</v>
      </c>
      <c r="AC17" s="241">
        <f t="shared" si="28"/>
        <v>0</v>
      </c>
      <c r="AE17" s="241" t="e">
        <f t="shared" si="29"/>
        <v>#DIV/0!</v>
      </c>
      <c r="AF17" s="241" t="e">
        <f>IF(X17="OK",IF($J17&gt;=$AE$1+COUNTIF($AE17:AE17,$J$8),$J$8,IF($K17&gt;=$AE$1+COUNTIF($AE17:AE17,$K$8),$K$8,IF($I17&gt;=$AE$1+COUNTIF($AE17:AE17,$I$8),$I$8,"NG"))),"NG")</f>
        <v>#DIV/0!</v>
      </c>
      <c r="AG17" s="241" t="e">
        <f>IF(Y17="OK",IF($J17&gt;=$AE$1+COUNTIF($AE17:AF17,$J$8),$J$8,IF($K17&gt;=$AE$1+COUNTIF($AE17:AF17,$K$8),$K$8,IF($I17&gt;=$AE$1+COUNTIF($AE17:AF17,$I$8),$I$8,"NG"))),"NG")</f>
        <v>#DIV/0!</v>
      </c>
      <c r="AH17" s="241" t="e">
        <f>IF($AB17&gt;=AH$8,IF($S17&gt;=$AE$1,IF($J17&gt;=$AE$1+COUNTIF($AE17:AG17,$J$8),$J$8,IF($D17&gt;=$AE$1+COUNTIF($AE17:AG17,$D$8),$D$8,IF($I17&gt;=$AE$1+COUNTIF($AE17:AG17,$I$8),$I$8,"NG"))),IF($J17&gt;=$AE$1+COUNTIF($AE17:AG17,$J$8),$J$8,IF($I17&gt;=$AE$1+COUNTIF($AE17:AG17,$I$8),$I$8,"NG"))),"NG")</f>
        <v>#DIV/0!</v>
      </c>
      <c r="AI17" s="241" t="e">
        <f>IF($AB17&gt;=AI$8,IF($S17&gt;=$AE$1,IF($J17&gt;=$AE$1+COUNTIF($AE17:AH17,$J$8),$J$8,IF($D17&gt;=$AE$1+COUNTIF($AE17:AH17,$D$8),$D$8,IF($I17&gt;=$AE$1+COUNTIF($AE17:AH17,$I$8),$I$8,"NG"))),IF($J17&gt;=$AE$1+COUNTIF($AE17:AH17,$J$8),$J$8,IF($I17&gt;=$AE$1+COUNTIF($AE17:AH17,$I$8),$I$8,"NG"))),"NG")</f>
        <v>#DIV/0!</v>
      </c>
      <c r="AJ17" s="241" t="e">
        <f>IF($AB17&gt;=AJ$8,IF($S17&gt;=$AE$1,IF($J17&gt;=$AE$1+COUNTIF($AE17:AI17,$J$8),$J$8,IF($D17&gt;=$AE$1+COUNTIF($AE17:AI17,$D$8),$D$8,IF($I17&gt;=$AE$1+COUNTIF($AE17:AI17,$I$8),$I$8,"NG"))),IF($J17&gt;=$AE$1+COUNTIF($AE17:AI17,$J$8),$J$8,IF($I17&gt;=$AE$1+COUNTIF($AE17:AI17,$I$8),$I$8,"NG"))),"NG")</f>
        <v>#DIV/0!</v>
      </c>
      <c r="AK17" s="241" t="e">
        <f>IF($AB17&gt;=AK$8,IF($S17&gt;=$AE$1,IF($J17&gt;=$AE$1+COUNTIF($AE17:AJ17,$J$8),$J$8,IF($D17&gt;=$AE$1+COUNTIF($AE17:AJ17,$D$8),$D$8,IF($I17&gt;=$AE$1+COUNTIF($AE17:AJ17,$I$8),$I$8,"NG"))),IF($J17&gt;=$AE$1+COUNTIF($AE17:AJ17,$J$8),$J$8,IF($I17&gt;=$AE$1+COUNTIF($AE17:AJ17,$I$8),$I$8,"NG"))),"NG")</f>
        <v>#DIV/0!</v>
      </c>
      <c r="AL17" s="241" t="e">
        <f>IF($AB17&gt;=AL$8,IF($S17&gt;=$AE$1,IF($J17&gt;=$AE$1+COUNTIF($AE17:AK17,$J$8),$J$8,IF($D17&gt;=$AE$1+COUNTIF($AE17:AK17,$D$8),$D$8,IF($I17&gt;=$AE$1+COUNTIF($AE17:AK17,$I$8),$I$8,"NG"))),IF($J17&gt;=$AE$1+COUNTIF($AE17:AK17,$J$8),$J$8,IF($I17&gt;=$AE$1+COUNTIF($AE17:AK17,$I$8),$I$8,"NG"))),"NG")</f>
        <v>#DIV/0!</v>
      </c>
      <c r="AM17" s="241" t="e">
        <f>IF($AB17&gt;=AM$8,IF($S17&gt;=$AE$1,IF($J17&gt;=$AE$1+COUNTIF($AE17:AL17,$J$8),$J$8,IF($D17&gt;=$AE$1+COUNTIF($AE17:AL17,$D$8),$D$8,IF($I17&gt;=$AE$1+COUNTIF($AE17:AL17,$I$8),$I$8,"NG"))),IF($J17&gt;=$AE$1+COUNTIF($AE17:AL17,$J$8),$J$8,IF($I17&gt;=$AE$1+COUNTIF($AE17:AL17,$I$8),$I$8,"NG"))),"NG")</f>
        <v>#DIV/0!</v>
      </c>
      <c r="AN17" s="241" t="e">
        <f>IF($AB17&gt;=AN$8,IF($S17&gt;=$AE$1,IF($J17&gt;=$AE$1+COUNTIF($AE17:AM17,$J$8),$J$8,IF($D17&gt;=$AE$1+COUNTIF($AE17:AM17,$D$8),$D$8,IF($I17&gt;=$AE$1+COUNTIF($AE17:AM17,$I$8),$I$8,"NG"))),IF($J17&gt;=$AE$1+COUNTIF($AE17:AM17,$J$8),$J$8,IF($I17&gt;=$AE$1+COUNTIF($AE17:AM17,$I$8),$I$8,"NG"))),"NG")</f>
        <v>#DIV/0!</v>
      </c>
      <c r="AO17" s="241" t="e">
        <f>IF($AB17&gt;=AO$8,IF($S17&gt;=$AE$1,IF($J17&gt;=$AE$1+COUNTIF($AE17:AN17,$J$8),$J$8,IF($D17&gt;=$AE$1+COUNTIF($AE17:AN17,$D$8),$D$8,IF($I17&gt;=$AE$1+COUNTIF($AE17:AN17,$I$8),$I$8,"NG"))),IF($J17&gt;=$AE$1+COUNTIF($AE17:AN17,$J$8),$J$8,IF($I17&gt;=$AE$1+COUNTIF($AE17:AN17,$I$8),$I$8,"NG"))),"NG")</f>
        <v>#DIV/0!</v>
      </c>
      <c r="AP17" s="241" t="e">
        <f>IF($AB17&gt;=AP$8,IF($S17&gt;=$AE$1,IF($J17&gt;=$AE$1+COUNTIF($AE17:AO17,$J$8),$J$8,IF($D17&gt;=$AE$1+COUNTIF($AE17:AO17,$D$8),$D$8,IF($I17&gt;=$AE$1+COUNTIF($AE17:AO17,$I$8),$I$8,"NG"))),IF($J17&gt;=$AE$1+COUNTIF($AE17:AO17,$J$8),$J$8,IF($I17&gt;=$AE$1+COUNTIF($AE17:AO17,$I$8),$I$8,"NG"))),"NG")</f>
        <v>#DIV/0!</v>
      </c>
      <c r="AQ17" s="241" t="e">
        <f>IF($AB17&gt;=AQ$8,IF($S17&gt;=$AE$1,IF($J17&gt;=$AE$1+COUNTIF($AE17:AP17,$J$8),$J$8,IF($D17&gt;=$AE$1+COUNTIF($AE17:AP17,$D$8),$D$8,IF($I17&gt;=$AE$1+COUNTIF($AE17:AP17,$I$8),$I$8,"NG"))),IF($J17&gt;=$AE$1+COUNTIF($AE17:AP17,$J$8),$J$8,IF($I17&gt;=$AE$1+COUNTIF($AE17:AP17,$I$8),$I$8,"NG"))),"NG")</f>
        <v>#DIV/0!</v>
      </c>
      <c r="AR17" s="241" t="str">
        <f>IF($AC17&gt;=AR$8,IF($J17&gt;=$AE$1+COUNTIF($AE17:AQ17,$J$8),$J$8,IF($I17&gt;=$AE$1+COUNTIF($AE17:AQ17,$I$8),$I$8,"NG")),"NG")</f>
        <v>NG</v>
      </c>
      <c r="AS17" s="241" t="str">
        <f>IF($AC17&gt;=AS$8,IF($J17&gt;=$AE$1+COUNTIF($AE17:AR17,$J$8),$J$8,IF($I17&gt;=$AE$1+COUNTIF($AE17:AR17,$I$8),$I$8,"NG")),"NG")</f>
        <v>NG</v>
      </c>
      <c r="AT17" s="241" t="e">
        <f>IF(AND(W17="OK",AE17="NG"),IF($N17&gt;=$AE$1+COUNTIF($AE17:AS17,$N$8),$N$8,IF($M17&gt;=$AE$1+COUNTIF($AE17:AS17,$M$8),$M$8,IF($L17&gt;=$AE$1+COUNTIF($AE17:AS17,$L$8),$L$8,"NG"))),"NG")</f>
        <v>#DIV/0!</v>
      </c>
      <c r="AU17" s="241" t="e">
        <f>IF(Z17="OK",IF($C17&gt;=$AE$1+COUNTIF($AE17:AT17,$C$8),$C$8,IF($D17&gt;=$AE$1+COUNTIF($AE17:AT17,$D$8),$D$8,IF($N17&gt;=$AE$1+COUNTIF($AE17:AT17,$N$8),$N$8,IF($I17&gt;=$AE$1+COUNTIF($AE17:AT17,$I$8),$I$8,IF($M17&gt;=$AE$1+COUNTIF($AE17:AT17,$M$8),$M$8,IF($L17&gt;=$AE$1+COUNTIF($AE17:AT17,$L$8),$L$8,"NG")))))),"NG")</f>
        <v>#DIV/0!</v>
      </c>
      <c r="AV17" s="241" t="e">
        <f>IF(AA17="OK",IF(COUNTIF($AE17:AU17,$L$8)+COUNTIF($AE17:AU17,$M$8)+COUNTIF($AE17:AU17,$N$8)&gt;=2,"NG",IF($C17&gt;=$AE$1+COUNTIF($AE17:AU17,$C$8),$C$8,IF($D17&gt;=$AE$1+COUNTIF($AE17:AU17,$D$8),$D$8,IF($N17&gt;=$AE$1+COUNTIF($AE17:AU17,$N$8),$N$8,IF($M17&gt;=$AE$1+COUNTIF($AE17:AU17,$M$8),$M$8,IF($I17&gt;=$AE$1+COUNTIF($AE17:AU17,$I$8),$I$8,IF($L17&gt;=$AE$1+COUNTIF($AE17:AU17,$L$8),$L$8,"NG"))))))),"NG")</f>
        <v>#DIV/0!</v>
      </c>
      <c r="AX17" s="241" t="e">
        <f t="shared" si="30"/>
        <v>#DIV/0!</v>
      </c>
      <c r="AY17" s="241">
        <f t="shared" si="20"/>
        <v>0</v>
      </c>
      <c r="AZ17" s="241">
        <f t="shared" si="21"/>
        <v>0</v>
      </c>
    </row>
    <row r="18" spans="1:52">
      <c r="A18" s="241" t="s">
        <v>113</v>
      </c>
      <c r="B18" s="241" t="e">
        <f>'④-1月別配置内訳書(2)-(2)-(A)'!AA18</f>
        <v>#DIV/0!</v>
      </c>
      <c r="C18" s="241" t="e">
        <f>'④-2月別配置内訳書(2)-(2)-(B)'!AF18</f>
        <v>#DIV/0!</v>
      </c>
      <c r="D18" s="241" t="e">
        <f>'④-3月別配置内訳書(2)-(2)-(C)・(D)'!AB18</f>
        <v>#DIV/0!</v>
      </c>
      <c r="E18" s="242" t="e">
        <f>'④-3月別配置内訳書(2)-(2)-(C)・(D)'!BI18</f>
        <v>#DIV/0!</v>
      </c>
      <c r="F18" s="241" t="e">
        <f>'④-3月別配置内訳書(2)-(2)-(C)・(D)'!BJ18</f>
        <v>#DIV/0!</v>
      </c>
      <c r="G18" s="241" t="e">
        <f>'④-４月別配置内訳書(2)-(2)-(E)'!V18</f>
        <v>#DIV/0!</v>
      </c>
      <c r="H18" s="241" t="e">
        <f t="shared" si="23"/>
        <v>#DIV/0!</v>
      </c>
      <c r="I18" s="241" t="e">
        <f>'④-1月別配置内訳書(2)-(2)-(A)'!AB18</f>
        <v>#DIV/0!</v>
      </c>
      <c r="J18" s="241" t="e">
        <f>'④-2月別配置内訳書(2)-(2)-(B)'!AG18</f>
        <v>#N/A</v>
      </c>
      <c r="K18" s="241" t="e">
        <f t="shared" si="7"/>
        <v>#DIV/0!</v>
      </c>
      <c r="L18" s="241" t="e">
        <f>'④-3月別配置内訳書(2)-(2)-(C)・(D)'!BK18</f>
        <v>#N/A</v>
      </c>
      <c r="M18" s="241" t="e">
        <f>'④-3月別配置内訳書(2)-(2)-(C)・(D)'!BL18</f>
        <v>#N/A</v>
      </c>
      <c r="N18" s="241" t="e">
        <f t="shared" si="24"/>
        <v>#DIV/0!</v>
      </c>
      <c r="O18" s="241" t="e">
        <f t="shared" si="25"/>
        <v>#DIV/0!</v>
      </c>
      <c r="P18" s="241" t="e">
        <f t="shared" si="26"/>
        <v>#DIV/0!</v>
      </c>
      <c r="R18" s="243">
        <f>①基本情報!O27</f>
        <v>0</v>
      </c>
      <c r="S18" s="243">
        <f>①基本情報!O29</f>
        <v>0</v>
      </c>
      <c r="T18" s="241">
        <f>SUM('③児童数及び職員定数 (2)-(1)'!C19:D19)</f>
        <v>0</v>
      </c>
      <c r="U18" s="241">
        <f t="shared" si="27"/>
        <v>0</v>
      </c>
      <c r="W18" s="241" t="e">
        <f t="shared" si="11"/>
        <v>#DIV/0!</v>
      </c>
      <c r="X18" s="241" t="e">
        <f t="shared" si="12"/>
        <v>#DIV/0!</v>
      </c>
      <c r="Y18" s="241" t="e">
        <f t="shared" si="12"/>
        <v>#DIV/0!</v>
      </c>
      <c r="Z18" s="241" t="e">
        <f t="shared" si="13"/>
        <v>#DIV/0!</v>
      </c>
      <c r="AA18" s="241" t="e">
        <f t="shared" si="14"/>
        <v>#DIV/0!</v>
      </c>
      <c r="AB18" s="241" t="e">
        <f t="shared" si="18"/>
        <v>#DIV/0!</v>
      </c>
      <c r="AC18" s="241">
        <f t="shared" si="28"/>
        <v>0</v>
      </c>
      <c r="AE18" s="241" t="e">
        <f t="shared" si="29"/>
        <v>#DIV/0!</v>
      </c>
      <c r="AF18" s="241" t="e">
        <f>IF(X18="OK",IF($J18&gt;=$AE$1+COUNTIF($AE18:AE18,$J$8),$J$8,IF($K18&gt;=$AE$1+COUNTIF($AE18:AE18,$K$8),$K$8,IF($I18&gt;=$AE$1+COUNTIF($AE18:AE18,$I$8),$I$8,"NG"))),"NG")</f>
        <v>#DIV/0!</v>
      </c>
      <c r="AG18" s="241" t="e">
        <f>IF(Y18="OK",IF($J18&gt;=$AE$1+COUNTIF($AE18:AF18,$J$8),$J$8,IF($K18&gt;=$AE$1+COUNTIF($AE18:AF18,$K$8),$K$8,IF($I18&gt;=$AE$1+COUNTIF($AE18:AF18,$I$8),$I$8,"NG"))),"NG")</f>
        <v>#DIV/0!</v>
      </c>
      <c r="AH18" s="241" t="e">
        <f>IF($AB18&gt;=AH$8,IF($S18&gt;=$AE$1,IF($J18&gt;=$AE$1+COUNTIF($AE18:AG18,$J$8),$J$8,IF($D18&gt;=$AE$1+COUNTIF($AE18:AG18,$D$8),$D$8,IF($I18&gt;=$AE$1+COUNTIF($AE18:AG18,$I$8),$I$8,"NG"))),IF($J18&gt;=$AE$1+COUNTIF($AE18:AG18,$J$8),$J$8,IF($I18&gt;=$AE$1+COUNTIF($AE18:AG18,$I$8),$I$8,"NG"))),"NG")</f>
        <v>#DIV/0!</v>
      </c>
      <c r="AI18" s="241" t="e">
        <f>IF($AB18&gt;=AI$8,IF($S18&gt;=$AE$1,IF($J18&gt;=$AE$1+COUNTIF($AE18:AH18,$J$8),$J$8,IF($D18&gt;=$AE$1+COUNTIF($AE18:AH18,$D$8),$D$8,IF($I18&gt;=$AE$1+COUNTIF($AE18:AH18,$I$8),$I$8,"NG"))),IF($J18&gt;=$AE$1+COUNTIF($AE18:AH18,$J$8),$J$8,IF($I18&gt;=$AE$1+COUNTIF($AE18:AH18,$I$8),$I$8,"NG"))),"NG")</f>
        <v>#DIV/0!</v>
      </c>
      <c r="AJ18" s="241" t="e">
        <f>IF($AB18&gt;=AJ$8,IF($S18&gt;=$AE$1,IF($J18&gt;=$AE$1+COUNTIF($AE18:AI18,$J$8),$J$8,IF($D18&gt;=$AE$1+COUNTIF($AE18:AI18,$D$8),$D$8,IF($I18&gt;=$AE$1+COUNTIF($AE18:AI18,$I$8),$I$8,"NG"))),IF($J18&gt;=$AE$1+COUNTIF($AE18:AI18,$J$8),$J$8,IF($I18&gt;=$AE$1+COUNTIF($AE18:AI18,$I$8),$I$8,"NG"))),"NG")</f>
        <v>#DIV/0!</v>
      </c>
      <c r="AK18" s="241" t="e">
        <f>IF($AB18&gt;=AK$8,IF($S18&gt;=$AE$1,IF($J18&gt;=$AE$1+COUNTIF($AE18:AJ18,$J$8),$J$8,IF($D18&gt;=$AE$1+COUNTIF($AE18:AJ18,$D$8),$D$8,IF($I18&gt;=$AE$1+COUNTIF($AE18:AJ18,$I$8),$I$8,"NG"))),IF($J18&gt;=$AE$1+COUNTIF($AE18:AJ18,$J$8),$J$8,IF($I18&gt;=$AE$1+COUNTIF($AE18:AJ18,$I$8),$I$8,"NG"))),"NG")</f>
        <v>#DIV/0!</v>
      </c>
      <c r="AL18" s="241" t="e">
        <f>IF($AB18&gt;=AL$8,IF($S18&gt;=$AE$1,IF($J18&gt;=$AE$1+COUNTIF($AE18:AK18,$J$8),$J$8,IF($D18&gt;=$AE$1+COUNTIF($AE18:AK18,$D$8),$D$8,IF($I18&gt;=$AE$1+COUNTIF($AE18:AK18,$I$8),$I$8,"NG"))),IF($J18&gt;=$AE$1+COUNTIF($AE18:AK18,$J$8),$J$8,IF($I18&gt;=$AE$1+COUNTIF($AE18:AK18,$I$8),$I$8,"NG"))),"NG")</f>
        <v>#DIV/0!</v>
      </c>
      <c r="AM18" s="241" t="e">
        <f>IF($AB18&gt;=AM$8,IF($S18&gt;=$AE$1,IF($J18&gt;=$AE$1+COUNTIF($AE18:AL18,$J$8),$J$8,IF($D18&gt;=$AE$1+COUNTIF($AE18:AL18,$D$8),$D$8,IF($I18&gt;=$AE$1+COUNTIF($AE18:AL18,$I$8),$I$8,"NG"))),IF($J18&gt;=$AE$1+COUNTIF($AE18:AL18,$J$8),$J$8,IF($I18&gt;=$AE$1+COUNTIF($AE18:AL18,$I$8),$I$8,"NG"))),"NG")</f>
        <v>#DIV/0!</v>
      </c>
      <c r="AN18" s="241" t="e">
        <f>IF($AB18&gt;=AN$8,IF($S18&gt;=$AE$1,IF($J18&gt;=$AE$1+COUNTIF($AE18:AM18,$J$8),$J$8,IF($D18&gt;=$AE$1+COUNTIF($AE18:AM18,$D$8),$D$8,IF($I18&gt;=$AE$1+COUNTIF($AE18:AM18,$I$8),$I$8,"NG"))),IF($J18&gt;=$AE$1+COUNTIF($AE18:AM18,$J$8),$J$8,IF($I18&gt;=$AE$1+COUNTIF($AE18:AM18,$I$8),$I$8,"NG"))),"NG")</f>
        <v>#DIV/0!</v>
      </c>
      <c r="AO18" s="241" t="e">
        <f>IF($AB18&gt;=AO$8,IF($S18&gt;=$AE$1,IF($J18&gt;=$AE$1+COUNTIF($AE18:AN18,$J$8),$J$8,IF($D18&gt;=$AE$1+COUNTIF($AE18:AN18,$D$8),$D$8,IF($I18&gt;=$AE$1+COUNTIF($AE18:AN18,$I$8),$I$8,"NG"))),IF($J18&gt;=$AE$1+COUNTIF($AE18:AN18,$J$8),$J$8,IF($I18&gt;=$AE$1+COUNTIF($AE18:AN18,$I$8),$I$8,"NG"))),"NG")</f>
        <v>#DIV/0!</v>
      </c>
      <c r="AP18" s="241" t="e">
        <f>IF($AB18&gt;=AP$8,IF($S18&gt;=$AE$1,IF($J18&gt;=$AE$1+COUNTIF($AE18:AO18,$J$8),$J$8,IF($D18&gt;=$AE$1+COUNTIF($AE18:AO18,$D$8),$D$8,IF($I18&gt;=$AE$1+COUNTIF($AE18:AO18,$I$8),$I$8,"NG"))),IF($J18&gt;=$AE$1+COUNTIF($AE18:AO18,$J$8),$J$8,IF($I18&gt;=$AE$1+COUNTIF($AE18:AO18,$I$8),$I$8,"NG"))),"NG")</f>
        <v>#DIV/0!</v>
      </c>
      <c r="AQ18" s="241" t="e">
        <f>IF($AB18&gt;=AQ$8,IF($S18&gt;=$AE$1,IF($J18&gt;=$AE$1+COUNTIF($AE18:AP18,$J$8),$J$8,IF($D18&gt;=$AE$1+COUNTIF($AE18:AP18,$D$8),$D$8,IF($I18&gt;=$AE$1+COUNTIF($AE18:AP18,$I$8),$I$8,"NG"))),IF($J18&gt;=$AE$1+COUNTIF($AE18:AP18,$J$8),$J$8,IF($I18&gt;=$AE$1+COUNTIF($AE18:AP18,$I$8),$I$8,"NG"))),"NG")</f>
        <v>#DIV/0!</v>
      </c>
      <c r="AR18" s="241" t="str">
        <f>IF($AC18&gt;=AR$8,IF($J18&gt;=$AE$1+COUNTIF($AE18:AQ18,$J$8),$J$8,IF($I18&gt;=$AE$1+COUNTIF($AE18:AQ18,$I$8),$I$8,"NG")),"NG")</f>
        <v>NG</v>
      </c>
      <c r="AS18" s="241" t="str">
        <f>IF($AC18&gt;=AS$8,IF($J18&gt;=$AE$1+COUNTIF($AE18:AR18,$J$8),$J$8,IF($I18&gt;=$AE$1+COUNTIF($AE18:AR18,$I$8),$I$8,"NG")),"NG")</f>
        <v>NG</v>
      </c>
      <c r="AT18" s="241" t="e">
        <f>IF(AND(W18="OK",AE18="NG"),IF($N18&gt;=$AE$1+COUNTIF($AE18:AS18,$N$8),$N$8,IF($M18&gt;=$AE$1+COUNTIF($AE18:AS18,$M$8),$M$8,IF($L18&gt;=$AE$1+COUNTIF($AE18:AS18,$L$8),$L$8,"NG"))),"NG")</f>
        <v>#DIV/0!</v>
      </c>
      <c r="AU18" s="241" t="e">
        <f>IF(Z18="OK",IF($C18&gt;=$AE$1+COUNTIF($AE18:AT18,$C$8),$C$8,IF($D18&gt;=$AE$1+COUNTIF($AE18:AT18,$D$8),$D$8,IF($N18&gt;=$AE$1+COUNTIF($AE18:AT18,$N$8),$N$8,IF($I18&gt;=$AE$1+COUNTIF($AE18:AT18,$I$8),$I$8,IF($M18&gt;=$AE$1+COUNTIF($AE18:AT18,$M$8),$M$8,IF($L18&gt;=$AE$1+COUNTIF($AE18:AT18,$L$8),$L$8,"NG")))))),"NG")</f>
        <v>#DIV/0!</v>
      </c>
      <c r="AV18" s="241" t="e">
        <f>IF(AA18="OK",IF(COUNTIF($AE18:AU18,$L$8)+COUNTIF($AE18:AU18,$M$8)+COUNTIF($AE18:AU18,$N$8)&gt;=2,"NG",IF($C18&gt;=$AE$1+COUNTIF($AE18:AU18,$C$8),$C$8,IF($D18&gt;=$AE$1+COUNTIF($AE18:AU18,$D$8),$D$8,IF($N18&gt;=$AE$1+COUNTIF($AE18:AU18,$N$8),$N$8,IF($M18&gt;=$AE$1+COUNTIF($AE18:AU18,$M$8),$M$8,IF($I18&gt;=$AE$1+COUNTIF($AE18:AU18,$I$8),$I$8,IF($L18&gt;=$AE$1+COUNTIF($AE18:AU18,$L$8),$L$8,"NG"))))))),"NG")</f>
        <v>#DIV/0!</v>
      </c>
      <c r="AX18" s="241" t="e">
        <f t="shared" si="30"/>
        <v>#DIV/0!</v>
      </c>
      <c r="AY18" s="241">
        <f t="shared" si="20"/>
        <v>0</v>
      </c>
      <c r="AZ18" s="241">
        <f t="shared" si="21"/>
        <v>0</v>
      </c>
    </row>
    <row r="19" spans="1:52">
      <c r="A19" s="241" t="s">
        <v>114</v>
      </c>
      <c r="B19" s="241" t="e">
        <f>'④-1月別配置内訳書(2)-(2)-(A)'!AA19</f>
        <v>#DIV/0!</v>
      </c>
      <c r="C19" s="241" t="e">
        <f>'④-2月別配置内訳書(2)-(2)-(B)'!AF19</f>
        <v>#DIV/0!</v>
      </c>
      <c r="D19" s="241" t="e">
        <f>'④-3月別配置内訳書(2)-(2)-(C)・(D)'!AB19</f>
        <v>#DIV/0!</v>
      </c>
      <c r="E19" s="242" t="e">
        <f>'④-3月別配置内訳書(2)-(2)-(C)・(D)'!BI19</f>
        <v>#DIV/0!</v>
      </c>
      <c r="F19" s="241" t="e">
        <f>'④-3月別配置内訳書(2)-(2)-(C)・(D)'!BJ19</f>
        <v>#DIV/0!</v>
      </c>
      <c r="G19" s="241" t="e">
        <f>'④-４月別配置内訳書(2)-(2)-(E)'!V19</f>
        <v>#DIV/0!</v>
      </c>
      <c r="H19" s="241" t="e">
        <f t="shared" si="23"/>
        <v>#DIV/0!</v>
      </c>
      <c r="I19" s="241" t="e">
        <f>'④-1月別配置内訳書(2)-(2)-(A)'!AB19</f>
        <v>#DIV/0!</v>
      </c>
      <c r="J19" s="241" t="e">
        <f>'④-2月別配置内訳書(2)-(2)-(B)'!AG19</f>
        <v>#N/A</v>
      </c>
      <c r="K19" s="241" t="e">
        <f t="shared" si="7"/>
        <v>#DIV/0!</v>
      </c>
      <c r="L19" s="241" t="e">
        <f>'④-3月別配置内訳書(2)-(2)-(C)・(D)'!BK19</f>
        <v>#N/A</v>
      </c>
      <c r="M19" s="241" t="e">
        <f>'④-3月別配置内訳書(2)-(2)-(C)・(D)'!BL19</f>
        <v>#N/A</v>
      </c>
      <c r="N19" s="241" t="e">
        <f t="shared" si="24"/>
        <v>#DIV/0!</v>
      </c>
      <c r="O19" s="241" t="e">
        <f t="shared" si="25"/>
        <v>#DIV/0!</v>
      </c>
      <c r="P19" s="241" t="e">
        <f t="shared" si="26"/>
        <v>#DIV/0!</v>
      </c>
      <c r="R19" s="243">
        <f>①基本情報!P27</f>
        <v>0</v>
      </c>
      <c r="S19" s="243">
        <f>①基本情報!P29</f>
        <v>0</v>
      </c>
      <c r="T19" s="241">
        <f>SUM('③児童数及び職員定数 (2)-(1)'!C20:D20)</f>
        <v>0</v>
      </c>
      <c r="U19" s="241">
        <f t="shared" si="27"/>
        <v>0</v>
      </c>
      <c r="W19" s="241" t="e">
        <f t="shared" si="11"/>
        <v>#DIV/0!</v>
      </c>
      <c r="X19" s="241" t="e">
        <f t="shared" si="12"/>
        <v>#DIV/0!</v>
      </c>
      <c r="Y19" s="241" t="e">
        <f t="shared" si="12"/>
        <v>#DIV/0!</v>
      </c>
      <c r="Z19" s="241" t="e">
        <f t="shared" si="13"/>
        <v>#DIV/0!</v>
      </c>
      <c r="AA19" s="241" t="e">
        <f t="shared" si="14"/>
        <v>#DIV/0!</v>
      </c>
      <c r="AB19" s="241" t="e">
        <f t="shared" si="18"/>
        <v>#DIV/0!</v>
      </c>
      <c r="AC19" s="241">
        <f t="shared" si="28"/>
        <v>0</v>
      </c>
      <c r="AE19" s="241" t="e">
        <f t="shared" si="29"/>
        <v>#DIV/0!</v>
      </c>
      <c r="AF19" s="241" t="e">
        <f>IF(X19="OK",IF($J19&gt;=$AE$1+COUNTIF($AE19:AE19,$J$8),$J$8,IF($K19&gt;=$AE$1+COUNTIF($AE19:AE19,$K$8),$K$8,IF($I19&gt;=$AE$1+COUNTIF($AE19:AE19,$I$8),$I$8,"NG"))),"NG")</f>
        <v>#DIV/0!</v>
      </c>
      <c r="AG19" s="241" t="e">
        <f>IF(Y19="OK",IF($J19&gt;=$AE$1+COUNTIF($AE19:AF19,$J$8),$J$8,IF($K19&gt;=$AE$1+COUNTIF($AE19:AF19,$K$8),$K$8,IF($I19&gt;=$AE$1+COUNTIF($AE19:AF19,$I$8),$I$8,"NG"))),"NG")</f>
        <v>#DIV/0!</v>
      </c>
      <c r="AH19" s="241" t="e">
        <f>IF($AB19&gt;=AH$8,IF($S19&gt;=$AE$1,IF($J19&gt;=$AE$1+COUNTIF($AE19:AG19,$J$8),$J$8,IF($D19&gt;=$AE$1+COUNTIF($AE19:AG19,$D$8),$D$8,IF($I19&gt;=$AE$1+COUNTIF($AE19:AG19,$I$8),$I$8,"NG"))),IF($J19&gt;=$AE$1+COUNTIF($AE19:AG19,$J$8),$J$8,IF($I19&gt;=$AE$1+COUNTIF($AE19:AG19,$I$8),$I$8,"NG"))),"NG")</f>
        <v>#DIV/0!</v>
      </c>
      <c r="AI19" s="241" t="e">
        <f>IF($AB19&gt;=AI$8,IF($S19&gt;=$AE$1,IF($J19&gt;=$AE$1+COUNTIF($AE19:AH19,$J$8),$J$8,IF($D19&gt;=$AE$1+COUNTIF($AE19:AH19,$D$8),$D$8,IF($I19&gt;=$AE$1+COUNTIF($AE19:AH19,$I$8),$I$8,"NG"))),IF($J19&gt;=$AE$1+COUNTIF($AE19:AH19,$J$8),$J$8,IF($I19&gt;=$AE$1+COUNTIF($AE19:AH19,$I$8),$I$8,"NG"))),"NG")</f>
        <v>#DIV/0!</v>
      </c>
      <c r="AJ19" s="241" t="e">
        <f>IF($AB19&gt;=AJ$8,IF($S19&gt;=$AE$1,IF($J19&gt;=$AE$1+COUNTIF($AE19:AI19,$J$8),$J$8,IF($D19&gt;=$AE$1+COUNTIF($AE19:AI19,$D$8),$D$8,IF($I19&gt;=$AE$1+COUNTIF($AE19:AI19,$I$8),$I$8,"NG"))),IF($J19&gt;=$AE$1+COUNTIF($AE19:AI19,$J$8),$J$8,IF($I19&gt;=$AE$1+COUNTIF($AE19:AI19,$I$8),$I$8,"NG"))),"NG")</f>
        <v>#DIV/0!</v>
      </c>
      <c r="AK19" s="241" t="e">
        <f>IF($AB19&gt;=AK$8,IF($S19&gt;=$AE$1,IF($J19&gt;=$AE$1+COUNTIF($AE19:AJ19,$J$8),$J$8,IF($D19&gt;=$AE$1+COUNTIF($AE19:AJ19,$D$8),$D$8,IF($I19&gt;=$AE$1+COUNTIF($AE19:AJ19,$I$8),$I$8,"NG"))),IF($J19&gt;=$AE$1+COUNTIF($AE19:AJ19,$J$8),$J$8,IF($I19&gt;=$AE$1+COUNTIF($AE19:AJ19,$I$8),$I$8,"NG"))),"NG")</f>
        <v>#DIV/0!</v>
      </c>
      <c r="AL19" s="241" t="e">
        <f>IF($AB19&gt;=AL$8,IF($S19&gt;=$AE$1,IF($J19&gt;=$AE$1+COUNTIF($AE19:AK19,$J$8),$J$8,IF($D19&gt;=$AE$1+COUNTIF($AE19:AK19,$D$8),$D$8,IF($I19&gt;=$AE$1+COUNTIF($AE19:AK19,$I$8),$I$8,"NG"))),IF($J19&gt;=$AE$1+COUNTIF($AE19:AK19,$J$8),$J$8,IF($I19&gt;=$AE$1+COUNTIF($AE19:AK19,$I$8),$I$8,"NG"))),"NG")</f>
        <v>#DIV/0!</v>
      </c>
      <c r="AM19" s="241" t="e">
        <f>IF($AB19&gt;=AM$8,IF($S19&gt;=$AE$1,IF($J19&gt;=$AE$1+COUNTIF($AE19:AL19,$J$8),$J$8,IF($D19&gt;=$AE$1+COUNTIF($AE19:AL19,$D$8),$D$8,IF($I19&gt;=$AE$1+COUNTIF($AE19:AL19,$I$8),$I$8,"NG"))),IF($J19&gt;=$AE$1+COUNTIF($AE19:AL19,$J$8),$J$8,IF($I19&gt;=$AE$1+COUNTIF($AE19:AL19,$I$8),$I$8,"NG"))),"NG")</f>
        <v>#DIV/0!</v>
      </c>
      <c r="AN19" s="241" t="e">
        <f>IF($AB19&gt;=AN$8,IF($S19&gt;=$AE$1,IF($J19&gt;=$AE$1+COUNTIF($AE19:AM19,$J$8),$J$8,IF($D19&gt;=$AE$1+COUNTIF($AE19:AM19,$D$8),$D$8,IF($I19&gt;=$AE$1+COUNTIF($AE19:AM19,$I$8),$I$8,"NG"))),IF($J19&gt;=$AE$1+COUNTIF($AE19:AM19,$J$8),$J$8,IF($I19&gt;=$AE$1+COUNTIF($AE19:AM19,$I$8),$I$8,"NG"))),"NG")</f>
        <v>#DIV/0!</v>
      </c>
      <c r="AO19" s="241" t="e">
        <f>IF($AB19&gt;=AO$8,IF($S19&gt;=$AE$1,IF($J19&gt;=$AE$1+COUNTIF($AE19:AN19,$J$8),$J$8,IF($D19&gt;=$AE$1+COUNTIF($AE19:AN19,$D$8),$D$8,IF($I19&gt;=$AE$1+COUNTIF($AE19:AN19,$I$8),$I$8,"NG"))),IF($J19&gt;=$AE$1+COUNTIF($AE19:AN19,$J$8),$J$8,IF($I19&gt;=$AE$1+COUNTIF($AE19:AN19,$I$8),$I$8,"NG"))),"NG")</f>
        <v>#DIV/0!</v>
      </c>
      <c r="AP19" s="241" t="e">
        <f>IF($AB19&gt;=AP$8,IF($S19&gt;=$AE$1,IF($J19&gt;=$AE$1+COUNTIF($AE19:AO19,$J$8),$J$8,IF($D19&gt;=$AE$1+COUNTIF($AE19:AO19,$D$8),$D$8,IF($I19&gt;=$AE$1+COUNTIF($AE19:AO19,$I$8),$I$8,"NG"))),IF($J19&gt;=$AE$1+COUNTIF($AE19:AO19,$J$8),$J$8,IF($I19&gt;=$AE$1+COUNTIF($AE19:AO19,$I$8),$I$8,"NG"))),"NG")</f>
        <v>#DIV/0!</v>
      </c>
      <c r="AQ19" s="241" t="e">
        <f>IF($AB19&gt;=AQ$8,IF($S19&gt;=$AE$1,IF($J19&gt;=$AE$1+COUNTIF($AE19:AP19,$J$8),$J$8,IF($D19&gt;=$AE$1+COUNTIF($AE19:AP19,$D$8),$D$8,IF($I19&gt;=$AE$1+COUNTIF($AE19:AP19,$I$8),$I$8,"NG"))),IF($J19&gt;=$AE$1+COUNTIF($AE19:AP19,$J$8),$J$8,IF($I19&gt;=$AE$1+COUNTIF($AE19:AP19,$I$8),$I$8,"NG"))),"NG")</f>
        <v>#DIV/0!</v>
      </c>
      <c r="AR19" s="241" t="str">
        <f>IF($AC19&gt;=AR$8,IF($J19&gt;=$AE$1+COUNTIF($AE19:AQ19,$J$8),$J$8,IF($I19&gt;=$AE$1+COUNTIF($AE19:AQ19,$I$8),$I$8,"NG")),"NG")</f>
        <v>NG</v>
      </c>
      <c r="AS19" s="241" t="str">
        <f>IF($AC19&gt;=AS$8,IF($J19&gt;=$AE$1+COUNTIF($AE19:AR19,$J$8),$J$8,IF($I19&gt;=$AE$1+COUNTIF($AE19:AR19,$I$8),$I$8,"NG")),"NG")</f>
        <v>NG</v>
      </c>
      <c r="AT19" s="241" t="e">
        <f>IF(AND(W19="OK",AE19="NG"),IF($N19&gt;=$AE$1+COUNTIF($AE19:AS19,$N$8),$N$8,IF($M19&gt;=$AE$1+COUNTIF($AE19:AS19,$M$8),$M$8,IF($L19&gt;=$AE$1+COUNTIF($AE19:AS19,$L$8),$L$8,"NG"))),"NG")</f>
        <v>#DIV/0!</v>
      </c>
      <c r="AU19" s="241" t="e">
        <f>IF(Z19="OK",IF($C19&gt;=$AE$1+COUNTIF($AE19:AT19,$C$8),$C$8,IF($D19&gt;=$AE$1+COUNTIF($AE19:AT19,$D$8),$D$8,IF($N19&gt;=$AE$1+COUNTIF($AE19:AT19,$N$8),$N$8,IF($I19&gt;=$AE$1+COUNTIF($AE19:AT19,$I$8),$I$8,IF($M19&gt;=$AE$1+COUNTIF($AE19:AT19,$M$8),$M$8,IF($L19&gt;=$AE$1+COUNTIF($AE19:AT19,$L$8),$L$8,"NG")))))),"NG")</f>
        <v>#DIV/0!</v>
      </c>
      <c r="AV19" s="241" t="e">
        <f>IF(AA19="OK",IF(COUNTIF($AE19:AU19,$L$8)+COUNTIF($AE19:AU19,$M$8)+COUNTIF($AE19:AU19,$N$8)&gt;=2,"NG",IF($C19&gt;=$AE$1+COUNTIF($AE19:AU19,$C$8),$C$8,IF($D19&gt;=$AE$1+COUNTIF($AE19:AU19,$D$8),$D$8,IF($N19&gt;=$AE$1+COUNTIF($AE19:AU19,$N$8),$N$8,IF($M19&gt;=$AE$1+COUNTIF($AE19:AU19,$M$8),$M$8,IF($I19&gt;=$AE$1+COUNTIF($AE19:AU19,$I$8),$I$8,IF($L19&gt;=$AE$1+COUNTIF($AE19:AU19,$L$8),$L$8,"NG"))))))),"NG")</f>
        <v>#DIV/0!</v>
      </c>
      <c r="AX19" s="241" t="e">
        <f t="shared" si="30"/>
        <v>#DIV/0!</v>
      </c>
      <c r="AY19" s="241">
        <f t="shared" si="20"/>
        <v>0</v>
      </c>
      <c r="AZ19" s="241">
        <f t="shared" si="21"/>
        <v>0</v>
      </c>
    </row>
    <row r="20" spans="1:52">
      <c r="A20" s="241" t="s">
        <v>115</v>
      </c>
      <c r="B20" s="241" t="e">
        <f>'④-1月別配置内訳書(2)-(2)-(A)'!AA20</f>
        <v>#DIV/0!</v>
      </c>
      <c r="C20" s="241" t="e">
        <f>'④-2月別配置内訳書(2)-(2)-(B)'!AF20</f>
        <v>#DIV/0!</v>
      </c>
      <c r="D20" s="241" t="e">
        <f>'④-3月別配置内訳書(2)-(2)-(C)・(D)'!AB20</f>
        <v>#DIV/0!</v>
      </c>
      <c r="E20" s="242" t="e">
        <f>'④-3月別配置内訳書(2)-(2)-(C)・(D)'!BI20</f>
        <v>#DIV/0!</v>
      </c>
      <c r="F20" s="241" t="e">
        <f>'④-3月別配置内訳書(2)-(2)-(C)・(D)'!BJ20</f>
        <v>#DIV/0!</v>
      </c>
      <c r="G20" s="241" t="e">
        <f>'④-４月別配置内訳書(2)-(2)-(E)'!V20</f>
        <v>#DIV/0!</v>
      </c>
      <c r="H20" s="241" t="e">
        <f t="shared" si="23"/>
        <v>#DIV/0!</v>
      </c>
      <c r="I20" s="241" t="e">
        <f>'④-1月別配置内訳書(2)-(2)-(A)'!AB20</f>
        <v>#DIV/0!</v>
      </c>
      <c r="J20" s="241" t="e">
        <f>'④-2月別配置内訳書(2)-(2)-(B)'!AG20</f>
        <v>#N/A</v>
      </c>
      <c r="K20" s="241" t="e">
        <f t="shared" si="7"/>
        <v>#DIV/0!</v>
      </c>
      <c r="L20" s="241" t="e">
        <f>'④-3月別配置内訳書(2)-(2)-(C)・(D)'!BK20</f>
        <v>#N/A</v>
      </c>
      <c r="M20" s="241" t="e">
        <f>'④-3月別配置内訳書(2)-(2)-(C)・(D)'!BL20</f>
        <v>#N/A</v>
      </c>
      <c r="N20" s="241" t="e">
        <f t="shared" si="24"/>
        <v>#DIV/0!</v>
      </c>
      <c r="O20" s="241" t="e">
        <f t="shared" si="25"/>
        <v>#DIV/0!</v>
      </c>
      <c r="P20" s="241" t="e">
        <f t="shared" si="26"/>
        <v>#DIV/0!</v>
      </c>
      <c r="R20" s="243">
        <f>①基本情報!Q27</f>
        <v>0</v>
      </c>
      <c r="S20" s="243">
        <f>①基本情報!Q29</f>
        <v>0</v>
      </c>
      <c r="T20" s="241">
        <f>SUM('③児童数及び職員定数 (2)-(1)'!C21:D21)</f>
        <v>0</v>
      </c>
      <c r="U20" s="241">
        <f t="shared" si="27"/>
        <v>0</v>
      </c>
      <c r="W20" s="241" t="e">
        <f t="shared" si="11"/>
        <v>#DIV/0!</v>
      </c>
      <c r="X20" s="241" t="e">
        <f t="shared" si="12"/>
        <v>#DIV/0!</v>
      </c>
      <c r="Y20" s="241" t="e">
        <f t="shared" si="12"/>
        <v>#DIV/0!</v>
      </c>
      <c r="Z20" s="241" t="e">
        <f t="shared" si="13"/>
        <v>#DIV/0!</v>
      </c>
      <c r="AA20" s="241" t="e">
        <f t="shared" si="14"/>
        <v>#DIV/0!</v>
      </c>
      <c r="AB20" s="241" t="e">
        <f t="shared" si="18"/>
        <v>#DIV/0!</v>
      </c>
      <c r="AC20" s="241">
        <f t="shared" si="28"/>
        <v>0</v>
      </c>
      <c r="AE20" s="241" t="e">
        <f t="shared" si="29"/>
        <v>#DIV/0!</v>
      </c>
      <c r="AF20" s="241" t="e">
        <f>IF(X20="OK",IF($J20&gt;=$AE$1+COUNTIF($AE20:AE20,$J$8),$J$8,IF($K20&gt;=$AE$1+COUNTIF($AE20:AE20,$K$8),$K$8,IF($I20&gt;=$AE$1+COUNTIF($AE20:AE20,$I$8),$I$8,"NG"))),"NG")</f>
        <v>#DIV/0!</v>
      </c>
      <c r="AG20" s="241" t="e">
        <f>IF(Y20="OK",IF($J20&gt;=$AE$1+COUNTIF($AE20:AF20,$J$8),$J$8,IF($K20&gt;=$AE$1+COUNTIF($AE20:AF20,$K$8),$K$8,IF($I20&gt;=$AE$1+COUNTIF($AE20:AF20,$I$8),$I$8,"NG"))),"NG")</f>
        <v>#DIV/0!</v>
      </c>
      <c r="AH20" s="241" t="e">
        <f>IF($AB20&gt;=AH$8,IF($S20&gt;=$AE$1,IF($J20&gt;=$AE$1+COUNTIF($AE20:AG20,$J$8),$J$8,IF($D20&gt;=$AE$1+COUNTIF($AE20:AG20,$D$8),$D$8,IF($I20&gt;=$AE$1+COUNTIF($AE20:AG20,$I$8),$I$8,"NG"))),IF($J20&gt;=$AE$1+COUNTIF($AE20:AG20,$J$8),$J$8,IF($I20&gt;=$AE$1+COUNTIF($AE20:AG20,$I$8),$I$8,"NG"))),"NG")</f>
        <v>#DIV/0!</v>
      </c>
      <c r="AI20" s="241" t="e">
        <f>IF($AB20&gt;=AI$8,IF($S20&gt;=$AE$1,IF($J20&gt;=$AE$1+COUNTIF($AE20:AH20,$J$8),$J$8,IF($D20&gt;=$AE$1+COUNTIF($AE20:AH20,$D$8),$D$8,IF($I20&gt;=$AE$1+COUNTIF($AE20:AH20,$I$8),$I$8,"NG"))),IF($J20&gt;=$AE$1+COUNTIF($AE20:AH20,$J$8),$J$8,IF($I20&gt;=$AE$1+COUNTIF($AE20:AH20,$I$8),$I$8,"NG"))),"NG")</f>
        <v>#DIV/0!</v>
      </c>
      <c r="AJ20" s="241" t="e">
        <f>IF($AB20&gt;=AJ$8,IF($S20&gt;=$AE$1,IF($J20&gt;=$AE$1+COUNTIF($AE20:AI20,$J$8),$J$8,IF($D20&gt;=$AE$1+COUNTIF($AE20:AI20,$D$8),$D$8,IF($I20&gt;=$AE$1+COUNTIF($AE20:AI20,$I$8),$I$8,"NG"))),IF($J20&gt;=$AE$1+COUNTIF($AE20:AI20,$J$8),$J$8,IF($I20&gt;=$AE$1+COUNTIF($AE20:AI20,$I$8),$I$8,"NG"))),"NG")</f>
        <v>#DIV/0!</v>
      </c>
      <c r="AK20" s="241" t="e">
        <f>IF($AB20&gt;=AK$8,IF($S20&gt;=$AE$1,IF($J20&gt;=$AE$1+COUNTIF($AE20:AJ20,$J$8),$J$8,IF($D20&gt;=$AE$1+COUNTIF($AE20:AJ20,$D$8),$D$8,IF($I20&gt;=$AE$1+COUNTIF($AE20:AJ20,$I$8),$I$8,"NG"))),IF($J20&gt;=$AE$1+COUNTIF($AE20:AJ20,$J$8),$J$8,IF($I20&gt;=$AE$1+COUNTIF($AE20:AJ20,$I$8),$I$8,"NG"))),"NG")</f>
        <v>#DIV/0!</v>
      </c>
      <c r="AL20" s="241" t="e">
        <f>IF($AB20&gt;=AL$8,IF($S20&gt;=$AE$1,IF($J20&gt;=$AE$1+COUNTIF($AE20:AK20,$J$8),$J$8,IF($D20&gt;=$AE$1+COUNTIF($AE20:AK20,$D$8),$D$8,IF($I20&gt;=$AE$1+COUNTIF($AE20:AK20,$I$8),$I$8,"NG"))),IF($J20&gt;=$AE$1+COUNTIF($AE20:AK20,$J$8),$J$8,IF($I20&gt;=$AE$1+COUNTIF($AE20:AK20,$I$8),$I$8,"NG"))),"NG")</f>
        <v>#DIV/0!</v>
      </c>
      <c r="AM20" s="241" t="e">
        <f>IF($AB20&gt;=AM$8,IF($S20&gt;=$AE$1,IF($J20&gt;=$AE$1+COUNTIF($AE20:AL20,$J$8),$J$8,IF($D20&gt;=$AE$1+COUNTIF($AE20:AL20,$D$8),$D$8,IF($I20&gt;=$AE$1+COUNTIF($AE20:AL20,$I$8),$I$8,"NG"))),IF($J20&gt;=$AE$1+COUNTIF($AE20:AL20,$J$8),$J$8,IF($I20&gt;=$AE$1+COUNTIF($AE20:AL20,$I$8),$I$8,"NG"))),"NG")</f>
        <v>#DIV/0!</v>
      </c>
      <c r="AN20" s="241" t="e">
        <f>IF($AB20&gt;=AN$8,IF($S20&gt;=$AE$1,IF($J20&gt;=$AE$1+COUNTIF($AE20:AM20,$J$8),$J$8,IF($D20&gt;=$AE$1+COUNTIF($AE20:AM20,$D$8),$D$8,IF($I20&gt;=$AE$1+COUNTIF($AE20:AM20,$I$8),$I$8,"NG"))),IF($J20&gt;=$AE$1+COUNTIF($AE20:AM20,$J$8),$J$8,IF($I20&gt;=$AE$1+COUNTIF($AE20:AM20,$I$8),$I$8,"NG"))),"NG")</f>
        <v>#DIV/0!</v>
      </c>
      <c r="AO20" s="241" t="e">
        <f>IF($AB20&gt;=AO$8,IF($S20&gt;=$AE$1,IF($J20&gt;=$AE$1+COUNTIF($AE20:AN20,$J$8),$J$8,IF($D20&gt;=$AE$1+COUNTIF($AE20:AN20,$D$8),$D$8,IF($I20&gt;=$AE$1+COUNTIF($AE20:AN20,$I$8),$I$8,"NG"))),IF($J20&gt;=$AE$1+COUNTIF($AE20:AN20,$J$8),$J$8,IF($I20&gt;=$AE$1+COUNTIF($AE20:AN20,$I$8),$I$8,"NG"))),"NG")</f>
        <v>#DIV/0!</v>
      </c>
      <c r="AP20" s="241" t="e">
        <f>IF($AB20&gt;=AP$8,IF($S20&gt;=$AE$1,IF($J20&gt;=$AE$1+COUNTIF($AE20:AO20,$J$8),$J$8,IF($D20&gt;=$AE$1+COUNTIF($AE20:AO20,$D$8),$D$8,IF($I20&gt;=$AE$1+COUNTIF($AE20:AO20,$I$8),$I$8,"NG"))),IF($J20&gt;=$AE$1+COUNTIF($AE20:AO20,$J$8),$J$8,IF($I20&gt;=$AE$1+COUNTIF($AE20:AO20,$I$8),$I$8,"NG"))),"NG")</f>
        <v>#DIV/0!</v>
      </c>
      <c r="AQ20" s="241" t="e">
        <f>IF($AB20&gt;=AQ$8,IF($S20&gt;=$AE$1,IF($J20&gt;=$AE$1+COUNTIF($AE20:AP20,$J$8),$J$8,IF($D20&gt;=$AE$1+COUNTIF($AE20:AP20,$D$8),$D$8,IF($I20&gt;=$AE$1+COUNTIF($AE20:AP20,$I$8),$I$8,"NG"))),IF($J20&gt;=$AE$1+COUNTIF($AE20:AP20,$J$8),$J$8,IF($I20&gt;=$AE$1+COUNTIF($AE20:AP20,$I$8),$I$8,"NG"))),"NG")</f>
        <v>#DIV/0!</v>
      </c>
      <c r="AR20" s="241" t="str">
        <f>IF($AC20&gt;=AR$8,IF($J20&gt;=$AE$1+COUNTIF($AE20:AQ20,$J$8),$J$8,IF($I20&gt;=$AE$1+COUNTIF($AE20:AQ20,$I$8),$I$8,"NG")),"NG")</f>
        <v>NG</v>
      </c>
      <c r="AS20" s="241" t="str">
        <f>IF($AC20&gt;=AS$8,IF($J20&gt;=$AE$1+COUNTIF($AE20:AR20,$J$8),$J$8,IF($I20&gt;=$AE$1+COUNTIF($AE20:AR20,$I$8),$I$8,"NG")),"NG")</f>
        <v>NG</v>
      </c>
      <c r="AT20" s="241" t="e">
        <f>IF(AND(W20="OK",AE20="NG"),IF($N20&gt;=$AE$1+COUNTIF($AE20:AS20,$N$8),$N$8,IF($M20&gt;=$AE$1+COUNTIF($AE20:AS20,$M$8),$M$8,IF($L20&gt;=$AE$1+COUNTIF($AE20:AS20,$L$8),$L$8,"NG"))),"NG")</f>
        <v>#DIV/0!</v>
      </c>
      <c r="AU20" s="241" t="e">
        <f>IF(Z20="OK",IF($C20&gt;=$AE$1+COUNTIF($AE20:AT20,$C$8),$C$8,IF($D20&gt;=$AE$1+COUNTIF($AE20:AT20,$D$8),$D$8,IF($N20&gt;=$AE$1+COUNTIF($AE20:AT20,$N$8),$N$8,IF($I20&gt;=$AE$1+COUNTIF($AE20:AT20,$I$8),$I$8,IF($M20&gt;=$AE$1+COUNTIF($AE20:AT20,$M$8),$M$8,IF($L20&gt;=$AE$1+COUNTIF($AE20:AT20,$L$8),$L$8,"NG")))))),"NG")</f>
        <v>#DIV/0!</v>
      </c>
      <c r="AV20" s="241" t="e">
        <f>IF(AA20="OK",IF(COUNTIF($AE20:AU20,$L$8)+COUNTIF($AE20:AU20,$M$8)+COUNTIF($AE20:AU20,$N$8)&gt;=2,"NG",IF($C20&gt;=$AE$1+COUNTIF($AE20:AU20,$C$8),$C$8,IF($D20&gt;=$AE$1+COUNTIF($AE20:AU20,$D$8),$D$8,IF($N20&gt;=$AE$1+COUNTIF($AE20:AU20,$N$8),$N$8,IF($M20&gt;=$AE$1+COUNTIF($AE20:AU20,$M$8),$M$8,IF($I20&gt;=$AE$1+COUNTIF($AE20:AU20,$I$8),$I$8,IF($L20&gt;=$AE$1+COUNTIF($AE20:AU20,$L$8),$L$8,"NG"))))))),"NG")</f>
        <v>#DIV/0!</v>
      </c>
      <c r="AX20" s="241" t="e">
        <f t="shared" si="30"/>
        <v>#DIV/0!</v>
      </c>
      <c r="AY20" s="241">
        <f t="shared" si="20"/>
        <v>0</v>
      </c>
      <c r="AZ20" s="241">
        <f t="shared" si="21"/>
        <v>0</v>
      </c>
    </row>
  </sheetData>
  <sheetProtection algorithmName="SHA-512" hashValue="kvElkp6oVlQv/bwkogWRn2FDfogEQKIDNZrNa3oYEeg1wcTRUAi/FTvbsaFCKeKYR8Abx3WZR9HdZrD2mvyjkA==" saltValue="Df4eAMaOGilKIY4xyZyzNw==" spinCount="100000" sheet="1" objects="1" scenarios="1" selectLockedCells="1" selectUnlockedCells="1"/>
  <phoneticPr fontId="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DE6A1-C57D-418C-842E-C00FB0A95993}">
  <sheetPr codeName="Sheet22">
    <tabColor theme="1"/>
  </sheetPr>
  <dimension ref="A1:AL41"/>
  <sheetViews>
    <sheetView zoomScale="70" zoomScaleNormal="70" workbookViewId="0">
      <selection activeCell="L20" sqref="L20"/>
    </sheetView>
  </sheetViews>
  <sheetFormatPr defaultColWidth="9" defaultRowHeight="15"/>
  <cols>
    <col min="1" max="9" width="9" style="374" customWidth="1"/>
    <col min="10" max="21" width="9" style="374"/>
    <col min="22" max="22" width="11.33203125" style="374" customWidth="1"/>
    <col min="23" max="30" width="9" style="374"/>
    <col min="31" max="38" width="9" style="557"/>
    <col min="39" max="16384" width="9" style="558"/>
  </cols>
  <sheetData>
    <row r="1" spans="1:38">
      <c r="A1" s="556"/>
    </row>
    <row r="3" spans="1:38">
      <c r="A3" s="374">
        <f t="shared" ref="A3:AC3" si="0">COUNTA(A6:A46)</f>
        <v>2</v>
      </c>
      <c r="B3" s="374">
        <f t="shared" si="0"/>
        <v>10</v>
      </c>
      <c r="C3" s="374">
        <f t="shared" si="0"/>
        <v>0</v>
      </c>
      <c r="D3" s="374">
        <f t="shared" si="0"/>
        <v>0</v>
      </c>
      <c r="F3" s="374">
        <f t="shared" si="0"/>
        <v>1</v>
      </c>
      <c r="G3" s="374">
        <f t="shared" si="0"/>
        <v>6</v>
      </c>
      <c r="H3" s="374">
        <f t="shared" si="0"/>
        <v>0</v>
      </c>
      <c r="I3" s="374">
        <f t="shared" si="0"/>
        <v>0</v>
      </c>
      <c r="K3" s="374">
        <f t="shared" si="0"/>
        <v>1</v>
      </c>
      <c r="L3" s="374">
        <f t="shared" si="0"/>
        <v>8</v>
      </c>
      <c r="M3" s="374">
        <f t="shared" si="0"/>
        <v>0</v>
      </c>
      <c r="N3" s="374">
        <f t="shared" si="0"/>
        <v>0</v>
      </c>
      <c r="P3" s="374">
        <f t="shared" si="0"/>
        <v>2</v>
      </c>
      <c r="Q3" s="374">
        <f t="shared" si="0"/>
        <v>4</v>
      </c>
      <c r="R3" s="374">
        <f t="shared" si="0"/>
        <v>0</v>
      </c>
      <c r="S3" s="374">
        <f t="shared" si="0"/>
        <v>0</v>
      </c>
      <c r="U3" s="374">
        <f t="shared" si="0"/>
        <v>4</v>
      </c>
      <c r="V3" s="374">
        <f t="shared" si="0"/>
        <v>5</v>
      </c>
      <c r="W3" s="374">
        <f t="shared" si="0"/>
        <v>1</v>
      </c>
      <c r="X3" s="374">
        <f t="shared" si="0"/>
        <v>1</v>
      </c>
      <c r="Z3" s="374">
        <f t="shared" si="0"/>
        <v>7</v>
      </c>
      <c r="AA3" s="374">
        <f t="shared" si="0"/>
        <v>7</v>
      </c>
      <c r="AB3" s="374">
        <f t="shared" si="0"/>
        <v>0</v>
      </c>
      <c r="AC3" s="374">
        <f t="shared" si="0"/>
        <v>0</v>
      </c>
    </row>
    <row r="4" spans="1:38">
      <c r="A4" s="647" t="s">
        <v>1606</v>
      </c>
      <c r="B4" s="647"/>
      <c r="C4" s="647"/>
      <c r="D4" s="647"/>
      <c r="F4" s="648" t="s">
        <v>1607</v>
      </c>
      <c r="G4" s="648"/>
      <c r="H4" s="648"/>
      <c r="I4" s="648"/>
      <c r="K4" s="649" t="s">
        <v>1608</v>
      </c>
      <c r="L4" s="649"/>
      <c r="M4" s="649"/>
      <c r="N4" s="649"/>
      <c r="P4" s="650" t="s">
        <v>1609</v>
      </c>
      <c r="Q4" s="650"/>
      <c r="R4" s="650"/>
      <c r="S4" s="650"/>
      <c r="U4" s="651" t="s">
        <v>1610</v>
      </c>
      <c r="V4" s="651"/>
      <c r="W4" s="651"/>
      <c r="X4" s="651"/>
      <c r="Z4" s="646" t="s">
        <v>1611</v>
      </c>
      <c r="AA4" s="646"/>
      <c r="AB4" s="646"/>
      <c r="AC4" s="646"/>
    </row>
    <row r="5" spans="1:38" s="561" customFormat="1" ht="45">
      <c r="A5" s="559" t="s">
        <v>1331</v>
      </c>
      <c r="B5" s="559" t="s">
        <v>368</v>
      </c>
      <c r="C5" s="559" t="s">
        <v>1332</v>
      </c>
      <c r="D5" s="559" t="s">
        <v>1333</v>
      </c>
      <c r="E5" s="559"/>
      <c r="F5" s="559" t="s">
        <v>1331</v>
      </c>
      <c r="G5" s="559" t="s">
        <v>368</v>
      </c>
      <c r="H5" s="559" t="s">
        <v>1332</v>
      </c>
      <c r="I5" s="559" t="s">
        <v>1333</v>
      </c>
      <c r="J5" s="559"/>
      <c r="K5" s="559" t="s">
        <v>1331</v>
      </c>
      <c r="L5" s="559" t="s">
        <v>368</v>
      </c>
      <c r="M5" s="559" t="s">
        <v>1332</v>
      </c>
      <c r="N5" s="559" t="s">
        <v>1333</v>
      </c>
      <c r="O5" s="559"/>
      <c r="P5" s="559" t="s">
        <v>1331</v>
      </c>
      <c r="Q5" s="559" t="s">
        <v>368</v>
      </c>
      <c r="R5" s="559" t="s">
        <v>1332</v>
      </c>
      <c r="S5" s="559" t="s">
        <v>1333</v>
      </c>
      <c r="T5" s="559"/>
      <c r="U5" s="559" t="s">
        <v>1331</v>
      </c>
      <c r="V5" s="559" t="s">
        <v>368</v>
      </c>
      <c r="W5" s="559" t="s">
        <v>1332</v>
      </c>
      <c r="X5" s="559" t="s">
        <v>1333</v>
      </c>
      <c r="Y5" s="559"/>
      <c r="Z5" s="559" t="s">
        <v>1331</v>
      </c>
      <c r="AA5" s="559" t="s">
        <v>368</v>
      </c>
      <c r="AB5" s="559" t="s">
        <v>1332</v>
      </c>
      <c r="AC5" s="559" t="s">
        <v>1333</v>
      </c>
      <c r="AD5" s="559"/>
      <c r="AE5" s="560"/>
      <c r="AF5" s="560"/>
      <c r="AG5" s="560"/>
      <c r="AH5" s="560"/>
      <c r="AI5" s="560"/>
      <c r="AJ5" s="560"/>
      <c r="AK5" s="560"/>
      <c r="AL5" s="560"/>
    </row>
    <row r="6" spans="1:38">
      <c r="A6" s="562" t="s">
        <v>370</v>
      </c>
      <c r="B6" s="562" t="s">
        <v>369</v>
      </c>
      <c r="F6" s="562" t="s">
        <v>1598</v>
      </c>
      <c r="G6" s="562" t="s">
        <v>371</v>
      </c>
      <c r="K6" s="562" t="s">
        <v>373</v>
      </c>
      <c r="L6" s="562" t="s">
        <v>372</v>
      </c>
      <c r="P6" s="562" t="s">
        <v>1601</v>
      </c>
      <c r="Q6" s="562" t="s">
        <v>374</v>
      </c>
      <c r="U6" s="562" t="s">
        <v>376</v>
      </c>
      <c r="V6" s="562" t="s">
        <v>375</v>
      </c>
      <c r="W6" s="562" t="s">
        <v>377</v>
      </c>
      <c r="X6" s="562" t="s">
        <v>1180</v>
      </c>
      <c r="Z6" s="562" t="s">
        <v>379</v>
      </c>
      <c r="AA6" s="562" t="s">
        <v>378</v>
      </c>
    </row>
    <row r="7" spans="1:38">
      <c r="A7" s="562" t="s">
        <v>381</v>
      </c>
      <c r="B7" s="562" t="s">
        <v>380</v>
      </c>
      <c r="G7" s="562" t="s">
        <v>382</v>
      </c>
      <c r="L7" s="562" t="s">
        <v>383</v>
      </c>
      <c r="P7" s="562" t="s">
        <v>1602</v>
      </c>
      <c r="Q7" s="562" t="s">
        <v>813</v>
      </c>
      <c r="U7" s="562" t="s">
        <v>385</v>
      </c>
      <c r="V7" s="562" t="s">
        <v>384</v>
      </c>
      <c r="Z7" s="562" t="s">
        <v>387</v>
      </c>
      <c r="AA7" s="562" t="s">
        <v>386</v>
      </c>
    </row>
    <row r="8" spans="1:38">
      <c r="B8" s="562" t="s">
        <v>388</v>
      </c>
      <c r="G8" s="562" t="s">
        <v>389</v>
      </c>
      <c r="L8" s="562" t="s">
        <v>390</v>
      </c>
      <c r="Q8" s="562" t="s">
        <v>814</v>
      </c>
      <c r="U8" s="562" t="s">
        <v>391</v>
      </c>
      <c r="V8" s="562" t="s">
        <v>1121</v>
      </c>
      <c r="Z8" s="562" t="s">
        <v>393</v>
      </c>
      <c r="AA8" s="562" t="s">
        <v>392</v>
      </c>
    </row>
    <row r="9" spans="1:38">
      <c r="B9" s="562" t="s">
        <v>394</v>
      </c>
      <c r="G9" s="562" t="s">
        <v>395</v>
      </c>
      <c r="L9" s="562" t="s">
        <v>396</v>
      </c>
      <c r="Q9" s="562" t="s">
        <v>1242</v>
      </c>
      <c r="U9" s="562" t="s">
        <v>1122</v>
      </c>
      <c r="V9" s="562" t="s">
        <v>1124</v>
      </c>
      <c r="Z9" s="562" t="s">
        <v>1246</v>
      </c>
      <c r="AA9" s="562" t="s">
        <v>397</v>
      </c>
    </row>
    <row r="10" spans="1:38">
      <c r="B10" s="562" t="s">
        <v>398</v>
      </c>
      <c r="G10" s="562" t="s">
        <v>1123</v>
      </c>
      <c r="L10" s="562" t="s">
        <v>1239</v>
      </c>
      <c r="V10" s="562" t="s">
        <v>1334</v>
      </c>
      <c r="Z10" s="562" t="s">
        <v>1603</v>
      </c>
      <c r="AA10" s="562" t="s">
        <v>399</v>
      </c>
    </row>
    <row r="11" spans="1:38">
      <c r="B11" s="562" t="s">
        <v>400</v>
      </c>
      <c r="G11" s="562" t="s">
        <v>1599</v>
      </c>
      <c r="L11" s="562" t="s">
        <v>1240</v>
      </c>
      <c r="Z11" s="562" t="s">
        <v>1243</v>
      </c>
      <c r="AA11" s="562" t="s">
        <v>1335</v>
      </c>
    </row>
    <row r="12" spans="1:38" ht="17" customHeight="1">
      <c r="B12" s="562" t="s">
        <v>401</v>
      </c>
      <c r="L12" s="562" t="s">
        <v>1241</v>
      </c>
      <c r="Z12" s="562" t="s">
        <v>1604</v>
      </c>
      <c r="AA12" s="562" t="s">
        <v>1605</v>
      </c>
    </row>
    <row r="13" spans="1:38">
      <c r="B13" s="562" t="s">
        <v>1125</v>
      </c>
      <c r="L13" s="562" t="s">
        <v>1600</v>
      </c>
    </row>
    <row r="14" spans="1:38">
      <c r="B14" s="562" t="s">
        <v>1237</v>
      </c>
    </row>
    <row r="15" spans="1:38">
      <c r="B15" s="562" t="s">
        <v>1238</v>
      </c>
    </row>
    <row r="41" spans="7:29">
      <c r="G41" s="563"/>
      <c r="H41" s="563"/>
      <c r="I41" s="563"/>
      <c r="J41" s="563"/>
      <c r="K41" s="563"/>
      <c r="L41" s="563"/>
      <c r="M41" s="563"/>
      <c r="N41" s="563"/>
      <c r="O41" s="563"/>
      <c r="P41" s="563"/>
      <c r="Q41" s="563"/>
      <c r="R41" s="563"/>
      <c r="S41" s="563"/>
      <c r="T41" s="563"/>
      <c r="U41" s="563"/>
      <c r="V41" s="563"/>
      <c r="W41" s="563"/>
      <c r="X41" s="563"/>
      <c r="Y41" s="563"/>
      <c r="Z41" s="563"/>
      <c r="AA41" s="563"/>
      <c r="AB41" s="563"/>
      <c r="AC41" s="563"/>
    </row>
  </sheetData>
  <sheetProtection selectLockedCells="1" selectUnlockedCells="1"/>
  <mergeCells count="6">
    <mergeCell ref="Z4:AC4"/>
    <mergeCell ref="A4:D4"/>
    <mergeCell ref="F4:I4"/>
    <mergeCell ref="K4:N4"/>
    <mergeCell ref="P4:S4"/>
    <mergeCell ref="U4:X4"/>
  </mergeCells>
  <phoneticPr fontId="1"/>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31360-83D8-4B8F-95B4-95F045E9176B}">
  <sheetPr>
    <tabColor rgb="FF00B050"/>
  </sheetPr>
  <dimension ref="A1:AB42"/>
  <sheetViews>
    <sheetView showGridLines="0" view="pageBreakPreview" zoomScaleNormal="100" zoomScaleSheetLayoutView="100" workbookViewId="0">
      <selection activeCell="D6" sqref="D6"/>
    </sheetView>
  </sheetViews>
  <sheetFormatPr defaultRowHeight="15"/>
  <cols>
    <col min="1" max="1" width="8.75" style="336" bestFit="1" customWidth="1"/>
    <col min="2" max="2" width="6.5" style="336" bestFit="1" customWidth="1"/>
    <col min="3" max="3" width="8.25" style="336" customWidth="1"/>
    <col min="4" max="4" width="28.33203125" style="336" customWidth="1"/>
    <col min="5" max="9" width="11.25" style="336" customWidth="1"/>
    <col min="10" max="10" width="15" style="336" customWidth="1"/>
    <col min="11" max="20" width="8.6640625" style="336" hidden="1" customWidth="1"/>
    <col min="21" max="25" width="8.6640625" style="336"/>
    <col min="26" max="26" width="12.75" style="336" bestFit="1" customWidth="1"/>
    <col min="27" max="27" width="11.08203125" style="336" customWidth="1"/>
    <col min="28" max="28" width="18.9140625" style="336" bestFit="1" customWidth="1"/>
    <col min="29" max="16384" width="8.6640625" style="336"/>
  </cols>
  <sheetData>
    <row r="1" spans="1:28" s="481" customFormat="1" ht="25" customHeight="1">
      <c r="A1" s="852" t="s">
        <v>234</v>
      </c>
      <c r="B1" s="852"/>
      <c r="C1" s="852"/>
      <c r="D1" s="852"/>
      <c r="E1" s="852"/>
      <c r="F1" s="852"/>
      <c r="G1" s="852"/>
      <c r="H1" s="852"/>
      <c r="I1" s="852"/>
      <c r="J1" s="852"/>
      <c r="K1" s="480"/>
      <c r="L1" s="480"/>
      <c r="M1" s="480"/>
      <c r="N1" s="480"/>
      <c r="O1" s="480"/>
    </row>
    <row r="2" spans="1:28" s="481" customFormat="1" ht="25" customHeight="1">
      <c r="E2" s="853" t="s">
        <v>91</v>
      </c>
      <c r="F2" s="853"/>
      <c r="G2" s="854">
        <f>①基本情報!D6</f>
        <v>0</v>
      </c>
      <c r="H2" s="854"/>
      <c r="I2" s="854"/>
      <c r="J2" s="854"/>
      <c r="L2" s="481" t="s">
        <v>118</v>
      </c>
    </row>
    <row r="3" spans="1:28">
      <c r="V3" s="336" t="s">
        <v>1510</v>
      </c>
    </row>
    <row r="4" spans="1:28" ht="15" customHeight="1">
      <c r="A4" s="482" t="s">
        <v>235</v>
      </c>
      <c r="B4" s="336" t="s">
        <v>727</v>
      </c>
      <c r="V4" s="455" t="str">
        <f>IF(COUNTIF(V6:V28,"×")&gt;0,"×","〇")</f>
        <v>〇</v>
      </c>
      <c r="W4" s="455" t="str">
        <f>IF(COUNTIF(W6:W29,"×")&gt;0,"×","〇")</f>
        <v>〇</v>
      </c>
      <c r="X4" s="455"/>
    </row>
    <row r="5" spans="1:28" ht="39.75" customHeight="1">
      <c r="B5" s="483" t="s">
        <v>558</v>
      </c>
      <c r="C5" s="483" t="s">
        <v>581</v>
      </c>
      <c r="D5" s="454" t="s">
        <v>236</v>
      </c>
      <c r="E5" s="454" t="s">
        <v>237</v>
      </c>
      <c r="F5" s="454" t="s">
        <v>238</v>
      </c>
      <c r="G5" s="454" t="s">
        <v>239</v>
      </c>
      <c r="H5" s="454" t="s">
        <v>240</v>
      </c>
      <c r="I5" s="454" t="s">
        <v>241</v>
      </c>
      <c r="J5" s="454" t="s">
        <v>242</v>
      </c>
      <c r="L5" s="341" t="s">
        <v>243</v>
      </c>
      <c r="M5" s="850" t="s">
        <v>186</v>
      </c>
      <c r="N5" s="851"/>
      <c r="O5" s="850" t="s">
        <v>187</v>
      </c>
      <c r="P5" s="851"/>
      <c r="Q5" s="850" t="s">
        <v>244</v>
      </c>
      <c r="R5" s="851"/>
      <c r="S5" s="850" t="s">
        <v>245</v>
      </c>
      <c r="T5" s="851"/>
      <c r="V5" s="336" t="s">
        <v>236</v>
      </c>
      <c r="W5" s="455" t="s">
        <v>1511</v>
      </c>
      <c r="X5" s="336" t="s">
        <v>1574</v>
      </c>
    </row>
    <row r="6" spans="1:28" ht="15" customHeight="1" thickBot="1">
      <c r="A6" s="844">
        <v>4</v>
      </c>
      <c r="B6" s="846" t="e">
        <f>加算判定!C4</f>
        <v>#N/A</v>
      </c>
      <c r="C6" s="848" t="e">
        <f>加算判定!D4</f>
        <v>#N/A</v>
      </c>
      <c r="D6" s="546"/>
      <c r="E6" s="486" t="str">
        <f t="shared" ref="E6:E29" si="0">IF(D6="","",IF(N6="○",M$5,IF(P6="○",O$5,IF(R6="○",Q$5,IF(T6="○",S$5,"ERROR")))))</f>
        <v/>
      </c>
      <c r="F6" s="487" t="str">
        <f t="shared" ref="F6:F29" si="1">IF(D6="","",IF(N6="○",M6,IF(P6="○",O6,IF(R6="○",Q6,IF(T6="○",S6,"ERROR")))))</f>
        <v/>
      </c>
      <c r="G6" s="545" t="e">
        <f>IF($C6="-","",IF(D6="","",IF($E6="正規職員","-","賃金単価を記載")))</f>
        <v>#N/A</v>
      </c>
      <c r="H6" s="487" t="e">
        <f>IF($C6="-","",IF(D6="","",IF($E6="正規職員",$AA$7,F6*G6)))</f>
        <v>#N/A</v>
      </c>
      <c r="I6" s="840">
        <f>AB15</f>
        <v>233166.66666667</v>
      </c>
      <c r="J6" s="842" t="e">
        <f>IF(AND(X6="配置",OR(C6="調理師等",C6="栄養士")),MIN(N(H6)+N(H7),I6)-$AB$7,MIN(N(H6)+N(H7),I6))</f>
        <v>#N/A</v>
      </c>
      <c r="K6" s="488" t="str">
        <f>IF(D6="","",IF(COUNTIFS(D6,"*Ｃ6*")=1,"○","エラー"))</f>
        <v/>
      </c>
      <c r="L6" s="343">
        <v>3</v>
      </c>
      <c r="M6" s="343" t="e">
        <f>VLOOKUP($D6&amp;M$5,'②-2勤務時間数入力'!$D$7:$Q$106,$L6,FALSE)</f>
        <v>#N/A</v>
      </c>
      <c r="N6" s="343" t="str">
        <f>IF(ISERROR(M6),"×",IF(M6="-","×","○"))</f>
        <v>×</v>
      </c>
      <c r="O6" s="343" t="e">
        <f>VLOOKUP($D6&amp;O$5,'②-2勤務時間数入力'!$D$7:$Q$106,$L6,FALSE)</f>
        <v>#N/A</v>
      </c>
      <c r="P6" s="343" t="str">
        <f t="shared" ref="P6:P29" si="2">IF(ISERROR(O6),"×",IF(O6="-","×","○"))</f>
        <v>×</v>
      </c>
      <c r="Q6" s="343" t="e">
        <f>VLOOKUP($D6&amp;Q$5,'②-2勤務時間数入力'!$D$7:$Q$106,$L6,FALSE)</f>
        <v>#N/A</v>
      </c>
      <c r="R6" s="343" t="str">
        <f t="shared" ref="R6:R29" si="3">IF(ISERROR(Q6),"×",IF(Q6="-","×","○"))</f>
        <v>×</v>
      </c>
      <c r="S6" s="343" t="e">
        <f>VLOOKUP($D6&amp;S$5,'②-2勤務時間数入力'!$D$7:$Q$106,$L6,FALSE)</f>
        <v>#N/A</v>
      </c>
      <c r="T6" s="343" t="str">
        <f t="shared" ref="T6:T29" si="4">IF(ISERROR(S6),"×",IF(S6="-","×","○"))</f>
        <v>×</v>
      </c>
      <c r="V6" s="455" t="str">
        <f>IFERROR(IF(AND(B6=1,D6="",D7=""),"×","〇"),"〇")</f>
        <v>〇</v>
      </c>
      <c r="W6" s="455" t="str">
        <f>IFERROR(IF(G6="賃金単価を記載","×","〇"),"〇")</f>
        <v>〇</v>
      </c>
      <c r="X6" s="455" t="str">
        <f>IF(①基本情報!F37="有",①基本情報!F38,"無")</f>
        <v>無</v>
      </c>
      <c r="Z6" s="336" t="s">
        <v>1560</v>
      </c>
      <c r="AB6" s="455" t="s">
        <v>1561</v>
      </c>
    </row>
    <row r="7" spans="1:28" ht="15" customHeight="1" thickTop="1" thickBot="1">
      <c r="A7" s="845"/>
      <c r="B7" s="847"/>
      <c r="C7" s="849"/>
      <c r="D7" s="546"/>
      <c r="E7" s="486" t="str">
        <f t="shared" si="0"/>
        <v/>
      </c>
      <c r="F7" s="487" t="str">
        <f t="shared" si="1"/>
        <v/>
      </c>
      <c r="G7" s="545" t="e">
        <f>IF($C6="-","",IF(D7="","",IF($E7="正規職員","-","賃金単価を記載")))</f>
        <v>#N/A</v>
      </c>
      <c r="H7" s="487" t="e">
        <f>IF($C6="-","",IF(D7="","",IF($E7="正規職員",$AA$7,F7*G7)))</f>
        <v>#N/A</v>
      </c>
      <c r="I7" s="841"/>
      <c r="J7" s="843"/>
      <c r="K7" s="488" t="str">
        <f>IF(D7="","",IF(COUNTIFS(D7,"*保育士*")=1,"○","エラー"))</f>
        <v/>
      </c>
      <c r="L7" s="343">
        <f>L6</f>
        <v>3</v>
      </c>
      <c r="M7" s="343" t="e">
        <f>VLOOKUP($D7&amp;M$5,'②-2勤務時間数入力'!$D$7:$Q$106,$L7,FALSE)</f>
        <v>#N/A</v>
      </c>
      <c r="N7" s="343" t="str">
        <f t="shared" ref="N7:N29" si="5">IF(ISERROR(M7),"×",IF(M7="-","×","○"))</f>
        <v>×</v>
      </c>
      <c r="O7" s="343" t="e">
        <f>VLOOKUP($D7&amp;O$5,'②-2勤務時間数入力'!$D$7:$Q$106,$L7,FALSE)</f>
        <v>#N/A</v>
      </c>
      <c r="P7" s="343" t="str">
        <f t="shared" si="2"/>
        <v>×</v>
      </c>
      <c r="Q7" s="343" t="e">
        <f>VLOOKUP($D7&amp;Q$5,'②-2勤務時間数入力'!$D$7:$Q$106,$L7,FALSE)</f>
        <v>#N/A</v>
      </c>
      <c r="R7" s="343" t="str">
        <f t="shared" si="3"/>
        <v>×</v>
      </c>
      <c r="S7" s="343" t="e">
        <f>VLOOKUP($D7&amp;S$5,'②-2勤務時間数入力'!$D$7:$Q$106,$L7,FALSE)</f>
        <v>#N/A</v>
      </c>
      <c r="T7" s="343" t="str">
        <f t="shared" si="4"/>
        <v>×</v>
      </c>
      <c r="V7" s="455"/>
      <c r="W7" s="455" t="str">
        <f t="shared" ref="W7:W29" si="6">IFERROR(IF(G7="賃金単価を記載","×","〇"),"〇")</f>
        <v>〇</v>
      </c>
      <c r="Z7" s="336" t="s">
        <v>1562</v>
      </c>
      <c r="AA7" s="522">
        <f>AB15</f>
        <v>233166.66666667</v>
      </c>
      <c r="AB7" s="523">
        <f>個別データ!HO3-10000</f>
        <v>69950</v>
      </c>
    </row>
    <row r="8" spans="1:28" ht="15" customHeight="1" thickTop="1" thickBot="1">
      <c r="A8" s="844">
        <v>5</v>
      </c>
      <c r="B8" s="846" t="e">
        <f>加算判定!C5</f>
        <v>#N/A</v>
      </c>
      <c r="C8" s="848" t="e">
        <f>加算判定!D5</f>
        <v>#N/A</v>
      </c>
      <c r="D8" s="546" t="str">
        <f>IF(D6="","",D6)</f>
        <v/>
      </c>
      <c r="E8" s="486" t="str">
        <f t="shared" si="0"/>
        <v/>
      </c>
      <c r="F8" s="487" t="str">
        <f t="shared" si="1"/>
        <v/>
      </c>
      <c r="G8" s="545" t="e">
        <f>IF($C8="-","",IF($E8="正規職員","-",IF(AND(EXACT(C6,C8),EXACT(D6,D8),EXACT(E6,E8)),G6,"賃金単価を記載")))</f>
        <v>#N/A</v>
      </c>
      <c r="H8" s="487" t="e">
        <f>IF($C8="-","",IF(D8="","",IF($E8="正規職員",$AA$7,F8*G8)))</f>
        <v>#N/A</v>
      </c>
      <c r="I8" s="840">
        <f>$I$6</f>
        <v>233166.66666667</v>
      </c>
      <c r="J8" s="842" t="e">
        <f>IF(AND(X8="配置",OR(C8="調理師等",C8="栄養士")),MIN(N(H8)+N(H9),I8)-$AB$7,MIN(N(H8)+N(H9),I8))</f>
        <v>#N/A</v>
      </c>
      <c r="K8" s="488" t="str">
        <f t="shared" ref="K8:K29" si="7">IF(D8="","",IF(COUNTIFS(D8,"*Ｃ6*")=1,"○","エラー"))</f>
        <v/>
      </c>
      <c r="L8" s="343">
        <f>L6+1</f>
        <v>4</v>
      </c>
      <c r="M8" s="343" t="e">
        <f>VLOOKUP($D8&amp;M$5,'②-2勤務時間数入力'!$D$7:$Q$106,$L8,FALSE)</f>
        <v>#N/A</v>
      </c>
      <c r="N8" s="343" t="str">
        <f t="shared" si="5"/>
        <v>×</v>
      </c>
      <c r="O8" s="343" t="e">
        <f>VLOOKUP($D8&amp;O$5,'②-2勤務時間数入力'!$D$7:$Q$106,$L8,FALSE)</f>
        <v>#N/A</v>
      </c>
      <c r="P8" s="343" t="str">
        <f t="shared" si="2"/>
        <v>×</v>
      </c>
      <c r="Q8" s="343" t="e">
        <f>VLOOKUP($D8&amp;Q$5,'②-2勤務時間数入力'!$D$7:$Q$106,$L8,FALSE)</f>
        <v>#N/A</v>
      </c>
      <c r="R8" s="343" t="str">
        <f t="shared" si="3"/>
        <v>×</v>
      </c>
      <c r="S8" s="343" t="e">
        <f>VLOOKUP($D8&amp;S$5,'②-2勤務時間数入力'!$D$7:$Q$106,$L8,FALSE)</f>
        <v>#N/A</v>
      </c>
      <c r="T8" s="343" t="str">
        <f t="shared" si="4"/>
        <v>×</v>
      </c>
      <c r="V8" s="455" t="str">
        <f>IFERROR(IF(AND(B8=1,D8="",D9=""),"×","〇"),"〇")</f>
        <v>〇</v>
      </c>
      <c r="W8" s="455" t="str">
        <f t="shared" si="6"/>
        <v>〇</v>
      </c>
      <c r="X8" s="455" t="str">
        <f>IF(①基本情報!G37="有",①基本情報!G38,"無")</f>
        <v>無</v>
      </c>
      <c r="Z8" s="336" t="s">
        <v>1563</v>
      </c>
      <c r="AA8" s="524">
        <f>AA7-AB7</f>
        <v>163216.66666667</v>
      </c>
    </row>
    <row r="9" spans="1:28" ht="15" customHeight="1" thickTop="1">
      <c r="A9" s="845"/>
      <c r="B9" s="847"/>
      <c r="C9" s="849"/>
      <c r="D9" s="546" t="str">
        <f t="shared" ref="D9:D29" si="8">IF(D7="","",D7)</f>
        <v/>
      </c>
      <c r="E9" s="486" t="str">
        <f t="shared" si="0"/>
        <v/>
      </c>
      <c r="F9" s="487" t="str">
        <f t="shared" si="1"/>
        <v/>
      </c>
      <c r="G9" s="545" t="e">
        <f>IF($C8="-","",IF(D9="","",IF($E9="正規職員","-",IF(AND(EXACT(C6,C8),EXACT(D7,D9),EXACT(E7,E9)),G7,"賃金単価を記載"))))</f>
        <v>#N/A</v>
      </c>
      <c r="H9" s="487" t="e">
        <f>IF($C8="-","",IF(D9="","",IF($E9="正規職員",$AA$7,F9*G9)))</f>
        <v>#N/A</v>
      </c>
      <c r="I9" s="841"/>
      <c r="J9" s="843"/>
      <c r="K9" s="488" t="str">
        <f t="shared" si="7"/>
        <v/>
      </c>
      <c r="L9" s="343">
        <f>L8</f>
        <v>4</v>
      </c>
      <c r="M9" s="343" t="e">
        <f>VLOOKUP($D9&amp;M$5,'②-2勤務時間数入力'!$D$7:$Q$106,$L9,FALSE)</f>
        <v>#N/A</v>
      </c>
      <c r="N9" s="343" t="str">
        <f t="shared" si="5"/>
        <v>×</v>
      </c>
      <c r="O9" s="343" t="e">
        <f>VLOOKUP($D9&amp;O$5,'②-2勤務時間数入力'!$D$7:$Q$106,$L9,FALSE)</f>
        <v>#N/A</v>
      </c>
      <c r="P9" s="343" t="str">
        <f t="shared" si="2"/>
        <v>×</v>
      </c>
      <c r="Q9" s="343" t="e">
        <f>VLOOKUP($D9&amp;Q$5,'②-2勤務時間数入力'!$D$7:$Q$106,$L9,FALSE)</f>
        <v>#N/A</v>
      </c>
      <c r="R9" s="343" t="str">
        <f t="shared" si="3"/>
        <v>×</v>
      </c>
      <c r="S9" s="343" t="e">
        <f>VLOOKUP($D9&amp;S$5,'②-2勤務時間数入力'!$D$7:$Q$106,$L9,FALSE)</f>
        <v>#N/A</v>
      </c>
      <c r="T9" s="343" t="str">
        <f t="shared" si="4"/>
        <v>×</v>
      </c>
      <c r="V9" s="455"/>
      <c r="W9" s="455" t="str">
        <f t="shared" si="6"/>
        <v>〇</v>
      </c>
      <c r="X9" s="455"/>
    </row>
    <row r="10" spans="1:28" ht="15" customHeight="1">
      <c r="A10" s="844">
        <v>6</v>
      </c>
      <c r="B10" s="846" t="e">
        <f>加算判定!C6</f>
        <v>#N/A</v>
      </c>
      <c r="C10" s="848" t="e">
        <f>加算判定!D6</f>
        <v>#N/A</v>
      </c>
      <c r="D10" s="546" t="str">
        <f t="shared" si="8"/>
        <v/>
      </c>
      <c r="E10" s="486" t="str">
        <f t="shared" si="0"/>
        <v/>
      </c>
      <c r="F10" s="487" t="str">
        <f t="shared" si="1"/>
        <v/>
      </c>
      <c r="G10" s="545" t="e">
        <f>IF($C10="-","",IF($E10="正規職員","-",IF(AND(EXACT(C8,C10),EXACT(D8,D10),EXACT(E8,E10)),G8,"賃金単価を記載")))</f>
        <v>#N/A</v>
      </c>
      <c r="H10" s="487" t="e">
        <f>IF($C10="-","",IF(D10="","",IF($E10="正規職員",$AA$7,F10*G10)))</f>
        <v>#N/A</v>
      </c>
      <c r="I10" s="840">
        <f>$I$6</f>
        <v>233166.66666667</v>
      </c>
      <c r="J10" s="842" t="e">
        <f>IF(AND(X10="配置",OR(C10="調理師等",C10="栄養士")),MIN(N(H10)+N(H11),I10)-$AB$7,MIN(N(H10)+N(H11),I10))</f>
        <v>#N/A</v>
      </c>
      <c r="K10" s="488" t="str">
        <f t="shared" si="7"/>
        <v/>
      </c>
      <c r="L10" s="343">
        <f t="shared" ref="L10" si="9">L8+1</f>
        <v>5</v>
      </c>
      <c r="M10" s="343" t="e">
        <f>VLOOKUP($D10&amp;M$5,'②-2勤務時間数入力'!$D$7:$Q$106,$L10,FALSE)</f>
        <v>#N/A</v>
      </c>
      <c r="N10" s="343" t="str">
        <f t="shared" si="5"/>
        <v>×</v>
      </c>
      <c r="O10" s="343" t="e">
        <f>VLOOKUP($D10&amp;O$5,'②-2勤務時間数入力'!$D$7:$Q$106,$L10,FALSE)</f>
        <v>#N/A</v>
      </c>
      <c r="P10" s="343" t="str">
        <f t="shared" si="2"/>
        <v>×</v>
      </c>
      <c r="Q10" s="343" t="e">
        <f>VLOOKUP($D10&amp;Q$5,'②-2勤務時間数入力'!$D$7:$Q$106,$L10,FALSE)</f>
        <v>#N/A</v>
      </c>
      <c r="R10" s="343" t="str">
        <f t="shared" si="3"/>
        <v>×</v>
      </c>
      <c r="S10" s="343" t="e">
        <f>VLOOKUP($D10&amp;S$5,'②-2勤務時間数入力'!$D$7:$Q$106,$L10,FALSE)</f>
        <v>#N/A</v>
      </c>
      <c r="T10" s="343" t="str">
        <f t="shared" si="4"/>
        <v>×</v>
      </c>
      <c r="V10" s="455" t="str">
        <f>IFERROR(IF(AND(B10=1,D10="",D11=""),"×","〇"),"〇")</f>
        <v>〇</v>
      </c>
      <c r="W10" s="455" t="str">
        <f t="shared" si="6"/>
        <v>〇</v>
      </c>
      <c r="X10" s="455" t="str">
        <f>IF(①基本情報!H37="有",①基本情報!H38,"無")</f>
        <v>無</v>
      </c>
    </row>
    <row r="11" spans="1:28" ht="15" customHeight="1">
      <c r="A11" s="845"/>
      <c r="B11" s="847"/>
      <c r="C11" s="849"/>
      <c r="D11" s="546" t="str">
        <f t="shared" si="8"/>
        <v/>
      </c>
      <c r="E11" s="486" t="str">
        <f t="shared" si="0"/>
        <v/>
      </c>
      <c r="F11" s="487" t="str">
        <f t="shared" si="1"/>
        <v/>
      </c>
      <c r="G11" s="545" t="e">
        <f>IF($C10="-","",IF(D11="","",IF($E11="正規職員","-",IF(AND(EXACT(C8,C10),EXACT(D9,D11),EXACT(E9,E11)),G9,"賃金単価を記載"))))</f>
        <v>#N/A</v>
      </c>
      <c r="H11" s="487" t="e">
        <f>IF($C10="-","",IF(D11="","",IF($E11="正規職員",$AA$7,F11*G11)))</f>
        <v>#N/A</v>
      </c>
      <c r="I11" s="841"/>
      <c r="J11" s="843"/>
      <c r="K11" s="488" t="str">
        <f t="shared" si="7"/>
        <v/>
      </c>
      <c r="L11" s="343">
        <f t="shared" ref="L11" si="10">L10</f>
        <v>5</v>
      </c>
      <c r="M11" s="343" t="e">
        <f>VLOOKUP($D11&amp;M$5,'②-2勤務時間数入力'!$D$7:$Q$106,$L11,FALSE)</f>
        <v>#N/A</v>
      </c>
      <c r="N11" s="343" t="str">
        <f t="shared" si="5"/>
        <v>×</v>
      </c>
      <c r="O11" s="343" t="e">
        <f>VLOOKUP($D11&amp;O$5,'②-2勤務時間数入力'!$D$7:$Q$106,$L11,FALSE)</f>
        <v>#N/A</v>
      </c>
      <c r="P11" s="343" t="str">
        <f t="shared" si="2"/>
        <v>×</v>
      </c>
      <c r="Q11" s="343" t="e">
        <f>VLOOKUP($D11&amp;Q$5,'②-2勤務時間数入力'!$D$7:$Q$106,$L11,FALSE)</f>
        <v>#N/A</v>
      </c>
      <c r="R11" s="343" t="str">
        <f t="shared" si="3"/>
        <v>×</v>
      </c>
      <c r="S11" s="343" t="e">
        <f>VLOOKUP($D11&amp;S$5,'②-2勤務時間数入力'!$D$7:$Q$106,$L11,FALSE)</f>
        <v>#N/A</v>
      </c>
      <c r="T11" s="343" t="str">
        <f t="shared" si="4"/>
        <v>×</v>
      </c>
      <c r="V11" s="455"/>
      <c r="W11" s="455" t="str">
        <f t="shared" si="6"/>
        <v>〇</v>
      </c>
      <c r="X11" s="455"/>
    </row>
    <row r="12" spans="1:28" ht="15" customHeight="1">
      <c r="A12" s="844">
        <v>7</v>
      </c>
      <c r="B12" s="846" t="e">
        <f>加算判定!C7</f>
        <v>#N/A</v>
      </c>
      <c r="C12" s="848" t="e">
        <f>加算判定!D7</f>
        <v>#N/A</v>
      </c>
      <c r="D12" s="546" t="str">
        <f t="shared" si="8"/>
        <v/>
      </c>
      <c r="E12" s="486" t="str">
        <f t="shared" si="0"/>
        <v/>
      </c>
      <c r="F12" s="487" t="str">
        <f t="shared" si="1"/>
        <v/>
      </c>
      <c r="G12" s="545" t="e">
        <f>IF($C12="-","",IF($E12="正規職員","-",IF(AND(EXACT(C10,C12),EXACT(D10,D12),EXACT(E10,E12)),G10,"賃金単価を記載")))</f>
        <v>#N/A</v>
      </c>
      <c r="H12" s="487" t="e">
        <f>IF($C12="-","",IF(D12="","",IF($E12="正規職員",$AA$7,F12*G12)))</f>
        <v>#N/A</v>
      </c>
      <c r="I12" s="840">
        <f>$I$6</f>
        <v>233166.66666667</v>
      </c>
      <c r="J12" s="842" t="e">
        <f>IF(AND(X12="配置",OR(C12="調理師等",C12="栄養士")),MIN(N(H12)+N(H13),I12)-$AB$7,MIN(N(H12)+N(H13),I12))</f>
        <v>#N/A</v>
      </c>
      <c r="K12" s="488" t="str">
        <f t="shared" si="7"/>
        <v/>
      </c>
      <c r="L12" s="343">
        <f t="shared" ref="L12" si="11">L10+1</f>
        <v>6</v>
      </c>
      <c r="M12" s="343" t="e">
        <f>VLOOKUP($D12&amp;M$5,'②-2勤務時間数入力'!$D$7:$Q$106,$L12,FALSE)</f>
        <v>#N/A</v>
      </c>
      <c r="N12" s="343" t="str">
        <f t="shared" si="5"/>
        <v>×</v>
      </c>
      <c r="O12" s="343" t="e">
        <f>VLOOKUP($D12&amp;O$5,'②-2勤務時間数入力'!$D$7:$Q$106,$L12,FALSE)</f>
        <v>#N/A</v>
      </c>
      <c r="P12" s="343" t="str">
        <f t="shared" si="2"/>
        <v>×</v>
      </c>
      <c r="Q12" s="343" t="e">
        <f>VLOOKUP($D12&amp;Q$5,'②-2勤務時間数入力'!$D$7:$Q$106,$L12,FALSE)</f>
        <v>#N/A</v>
      </c>
      <c r="R12" s="343" t="str">
        <f t="shared" si="3"/>
        <v>×</v>
      </c>
      <c r="S12" s="343" t="e">
        <f>VLOOKUP($D12&amp;S$5,'②-2勤務時間数入力'!$D$7:$Q$106,$L12,FALSE)</f>
        <v>#N/A</v>
      </c>
      <c r="T12" s="343" t="str">
        <f t="shared" si="4"/>
        <v>×</v>
      </c>
      <c r="V12" s="455" t="str">
        <f>IFERROR(IF(AND(B12=1,D12="",D13=""),"×","〇"),"〇")</f>
        <v>〇</v>
      </c>
      <c r="W12" s="455" t="str">
        <f t="shared" si="6"/>
        <v>〇</v>
      </c>
      <c r="X12" s="455" t="str">
        <f>IF(①基本情報!I37="有",①基本情報!I38,"無")</f>
        <v>無</v>
      </c>
    </row>
    <row r="13" spans="1:28" ht="15" customHeight="1">
      <c r="A13" s="845"/>
      <c r="B13" s="847"/>
      <c r="C13" s="849"/>
      <c r="D13" s="546" t="str">
        <f t="shared" si="8"/>
        <v/>
      </c>
      <c r="E13" s="486" t="str">
        <f t="shared" si="0"/>
        <v/>
      </c>
      <c r="F13" s="487" t="str">
        <f t="shared" si="1"/>
        <v/>
      </c>
      <c r="G13" s="545" t="e">
        <f>IF($C12="-","",IF(D13="","",IF($E13="正規職員","-",IF(AND(EXACT(C10,C12),EXACT(D11,D13),EXACT(E11,E13)),G11,"賃金単価を記載"))))</f>
        <v>#N/A</v>
      </c>
      <c r="H13" s="487" t="e">
        <f>IF($C12="-","",IF(D13="","",IF($E13="正規職員",$AA$7,F13*G13)))</f>
        <v>#N/A</v>
      </c>
      <c r="I13" s="841"/>
      <c r="J13" s="843"/>
      <c r="K13" s="488" t="str">
        <f t="shared" si="7"/>
        <v/>
      </c>
      <c r="L13" s="343">
        <f t="shared" ref="L13" si="12">L12</f>
        <v>6</v>
      </c>
      <c r="M13" s="343" t="e">
        <f>VLOOKUP($D13&amp;M$5,'②-2勤務時間数入力'!$D$7:$Q$106,$L13,FALSE)</f>
        <v>#N/A</v>
      </c>
      <c r="N13" s="343" t="str">
        <f t="shared" si="5"/>
        <v>×</v>
      </c>
      <c r="O13" s="343" t="e">
        <f>VLOOKUP($D13&amp;O$5,'②-2勤務時間数入力'!$D$7:$Q$106,$L13,FALSE)</f>
        <v>#N/A</v>
      </c>
      <c r="P13" s="343" t="str">
        <f t="shared" si="2"/>
        <v>×</v>
      </c>
      <c r="Q13" s="343" t="e">
        <f>VLOOKUP($D13&amp;Q$5,'②-2勤務時間数入力'!$D$7:$Q$106,$L13,FALSE)</f>
        <v>#N/A</v>
      </c>
      <c r="R13" s="343" t="str">
        <f t="shared" si="3"/>
        <v>×</v>
      </c>
      <c r="S13" s="343" t="e">
        <f>VLOOKUP($D13&amp;S$5,'②-2勤務時間数入力'!$D$7:$Q$106,$L13,FALSE)</f>
        <v>#N/A</v>
      </c>
      <c r="T13" s="343" t="str">
        <f t="shared" si="4"/>
        <v>×</v>
      </c>
      <c r="V13" s="455"/>
      <c r="W13" s="455" t="str">
        <f t="shared" si="6"/>
        <v>〇</v>
      </c>
      <c r="X13" s="455"/>
    </row>
    <row r="14" spans="1:28" ht="15" customHeight="1">
      <c r="A14" s="844">
        <v>8</v>
      </c>
      <c r="B14" s="846" t="e">
        <f>加算判定!C8</f>
        <v>#N/A</v>
      </c>
      <c r="C14" s="848" t="e">
        <f>加算判定!D8</f>
        <v>#N/A</v>
      </c>
      <c r="D14" s="546" t="str">
        <f t="shared" si="8"/>
        <v/>
      </c>
      <c r="E14" s="486" t="str">
        <f t="shared" si="0"/>
        <v/>
      </c>
      <c r="F14" s="487" t="str">
        <f t="shared" si="1"/>
        <v/>
      </c>
      <c r="G14" s="545" t="e">
        <f>IF($C14="-","",IF($E14="正規職員","-",IF(AND(EXACT(C12,C14),EXACT(D12,D14),EXACT(E12,E14)),G12,"賃金単価を記載")))</f>
        <v>#N/A</v>
      </c>
      <c r="H14" s="487" t="e">
        <f>IF($C14="-","",IF(D14="","",IF($E14="正規職員",$AA$7,F14*G14)))</f>
        <v>#N/A</v>
      </c>
      <c r="I14" s="840">
        <f>$I$6</f>
        <v>233166.66666667</v>
      </c>
      <c r="J14" s="842" t="e">
        <f>IF(AND(X14="配置",OR(C14="調理師等",C14="栄養士")),MIN(N(H14)+N(H15),I14)-$AB$7,MIN(N(H14)+N(H15),I14))</f>
        <v>#N/A</v>
      </c>
      <c r="K14" s="488" t="str">
        <f t="shared" si="7"/>
        <v/>
      </c>
      <c r="L14" s="343">
        <f t="shared" ref="L14" si="13">L12+1</f>
        <v>7</v>
      </c>
      <c r="M14" s="343" t="e">
        <f>VLOOKUP($D14&amp;M$5,'②-2勤務時間数入力'!$D$7:$Q$106,$L14,FALSE)</f>
        <v>#N/A</v>
      </c>
      <c r="N14" s="343" t="str">
        <f t="shared" si="5"/>
        <v>×</v>
      </c>
      <c r="O14" s="343" t="e">
        <f>VLOOKUP($D14&amp;O$5,'②-2勤務時間数入力'!$D$7:$Q$106,$L14,FALSE)</f>
        <v>#N/A</v>
      </c>
      <c r="P14" s="343" t="str">
        <f t="shared" si="2"/>
        <v>×</v>
      </c>
      <c r="Q14" s="343" t="e">
        <f>VLOOKUP($D14&amp;Q$5,'②-2勤務時間数入力'!$D$7:$Q$106,$L14,FALSE)</f>
        <v>#N/A</v>
      </c>
      <c r="R14" s="343" t="str">
        <f t="shared" si="3"/>
        <v>×</v>
      </c>
      <c r="S14" s="343" t="e">
        <f>VLOOKUP($D14&amp;S$5,'②-2勤務時間数入力'!$D$7:$Q$106,$L14,FALSE)</f>
        <v>#N/A</v>
      </c>
      <c r="T14" s="343" t="str">
        <f t="shared" si="4"/>
        <v>×</v>
      </c>
      <c r="V14" s="455" t="str">
        <f>IFERROR(IF(AND(B14=1,D14="",D15=""),"×","〇"),"〇")</f>
        <v>〇</v>
      </c>
      <c r="W14" s="455" t="str">
        <f t="shared" si="6"/>
        <v>〇</v>
      </c>
      <c r="X14" s="455" t="str">
        <f>IF(①基本情報!J37="有",①基本情報!J38,"無")</f>
        <v>無</v>
      </c>
      <c r="Z14" s="454" t="s">
        <v>1560</v>
      </c>
      <c r="AA14" s="525" t="s">
        <v>1564</v>
      </c>
      <c r="AB14" s="525" t="s">
        <v>1565</v>
      </c>
    </row>
    <row r="15" spans="1:28" ht="15" customHeight="1">
      <c r="A15" s="845"/>
      <c r="B15" s="847"/>
      <c r="C15" s="849"/>
      <c r="D15" s="546" t="str">
        <f t="shared" si="8"/>
        <v/>
      </c>
      <c r="E15" s="486" t="str">
        <f t="shared" si="0"/>
        <v/>
      </c>
      <c r="F15" s="487" t="str">
        <f t="shared" si="1"/>
        <v/>
      </c>
      <c r="G15" s="545" t="e">
        <f>IF($C14="-","",IF(D15="","",IF($E15="正規職員","-",IF(AND(EXACT(C12,C14),EXACT(D13,D15),EXACT(E13,E15)),G13,"賃金単価を記載"))))</f>
        <v>#N/A</v>
      </c>
      <c r="H15" s="487" t="e">
        <f>IF($C14="-","",IF(D15="","",IF($E15="正規職員",$AA$7,F15*G15)))</f>
        <v>#N/A</v>
      </c>
      <c r="I15" s="841"/>
      <c r="J15" s="843"/>
      <c r="K15" s="488" t="str">
        <f t="shared" si="7"/>
        <v/>
      </c>
      <c r="L15" s="343">
        <f t="shared" ref="L15" si="14">L14</f>
        <v>7</v>
      </c>
      <c r="M15" s="343" t="e">
        <f>VLOOKUP($D15&amp;M$5,'②-2勤務時間数入力'!$D$7:$Q$106,$L15,FALSE)</f>
        <v>#N/A</v>
      </c>
      <c r="N15" s="343" t="str">
        <f t="shared" si="5"/>
        <v>×</v>
      </c>
      <c r="O15" s="343" t="e">
        <f>VLOOKUP($D15&amp;O$5,'②-2勤務時間数入力'!$D$7:$Q$106,$L15,FALSE)</f>
        <v>#N/A</v>
      </c>
      <c r="P15" s="343" t="str">
        <f t="shared" si="2"/>
        <v>×</v>
      </c>
      <c r="Q15" s="343" t="e">
        <f>VLOOKUP($D15&amp;Q$5,'②-2勤務時間数入力'!$D$7:$Q$106,$L15,FALSE)</f>
        <v>#N/A</v>
      </c>
      <c r="R15" s="343" t="str">
        <f t="shared" si="3"/>
        <v>×</v>
      </c>
      <c r="S15" s="343" t="e">
        <f>VLOOKUP($D15&amp;S$5,'②-2勤務時間数入力'!$D$7:$Q$106,$L15,FALSE)</f>
        <v>#N/A</v>
      </c>
      <c r="T15" s="343" t="str">
        <f t="shared" si="4"/>
        <v>×</v>
      </c>
      <c r="V15" s="455"/>
      <c r="W15" s="455" t="str">
        <f t="shared" si="6"/>
        <v>〇</v>
      </c>
      <c r="X15" s="455"/>
      <c r="Z15" s="454" t="s">
        <v>1566</v>
      </c>
      <c r="AA15" s="526">
        <v>2798000</v>
      </c>
      <c r="AB15" s="527">
        <f>ROUNDUP(AA15/12,8)</f>
        <v>233166.66666667</v>
      </c>
    </row>
    <row r="16" spans="1:28" ht="15" customHeight="1">
      <c r="A16" s="844">
        <v>9</v>
      </c>
      <c r="B16" s="846" t="e">
        <f>加算判定!C9</f>
        <v>#N/A</v>
      </c>
      <c r="C16" s="848" t="e">
        <f>加算判定!D9</f>
        <v>#N/A</v>
      </c>
      <c r="D16" s="546" t="str">
        <f t="shared" si="8"/>
        <v/>
      </c>
      <c r="E16" s="486" t="str">
        <f t="shared" si="0"/>
        <v/>
      </c>
      <c r="F16" s="487" t="str">
        <f t="shared" si="1"/>
        <v/>
      </c>
      <c r="G16" s="545" t="e">
        <f>IF($C16="-","",IF($E16="正規職員","-",IF(AND(EXACT(C14,C16),EXACT(D14,D16),EXACT(E14,E16)),G14,"賃金単価を記載")))</f>
        <v>#N/A</v>
      </c>
      <c r="H16" s="487" t="e">
        <f>IF($C16="-","",IF(D16="","",IF($E16="正規職員",$AA$7,F16*G16)))</f>
        <v>#N/A</v>
      </c>
      <c r="I16" s="840">
        <f>$I$6</f>
        <v>233166.66666667</v>
      </c>
      <c r="J16" s="842" t="e">
        <f>IF(AND(X16="配置",OR(C16="調理師等",C16="栄養士")),MIN(N(H16)+N(H17),I16)-$AB$7,MIN(N(H16)+N(H17),I16))</f>
        <v>#N/A</v>
      </c>
      <c r="K16" s="488" t="str">
        <f t="shared" si="7"/>
        <v/>
      </c>
      <c r="L16" s="343">
        <f t="shared" ref="L16" si="15">L14+1</f>
        <v>8</v>
      </c>
      <c r="M16" s="343" t="e">
        <f>VLOOKUP($D16&amp;M$5,'②-2勤務時間数入力'!$D$7:$Q$106,$L16,FALSE)</f>
        <v>#N/A</v>
      </c>
      <c r="N16" s="343" t="str">
        <f t="shared" si="5"/>
        <v>×</v>
      </c>
      <c r="O16" s="343" t="e">
        <f>VLOOKUP($D16&amp;O$5,'②-2勤務時間数入力'!$D$7:$Q$106,$L16,FALSE)</f>
        <v>#N/A</v>
      </c>
      <c r="P16" s="343" t="str">
        <f t="shared" si="2"/>
        <v>×</v>
      </c>
      <c r="Q16" s="343" t="e">
        <f>VLOOKUP($D16&amp;Q$5,'②-2勤務時間数入力'!$D$7:$Q$106,$L16,FALSE)</f>
        <v>#N/A</v>
      </c>
      <c r="R16" s="343" t="str">
        <f t="shared" si="3"/>
        <v>×</v>
      </c>
      <c r="S16" s="343" t="e">
        <f>VLOOKUP($D16&amp;S$5,'②-2勤務時間数入力'!$D$7:$Q$106,$L16,FALSE)</f>
        <v>#N/A</v>
      </c>
      <c r="T16" s="343" t="str">
        <f t="shared" si="4"/>
        <v>×</v>
      </c>
      <c r="V16" s="455" t="str">
        <f>IFERROR(IF(AND(B16=1,D16="",D17=""),"×","〇"),"〇")</f>
        <v>〇</v>
      </c>
      <c r="W16" s="455" t="str">
        <f t="shared" si="6"/>
        <v>〇</v>
      </c>
      <c r="X16" s="455" t="str">
        <f>IF(①基本情報!K37="有",①基本情報!K38,"無")</f>
        <v>無</v>
      </c>
      <c r="Z16" s="454" t="s">
        <v>1567</v>
      </c>
      <c r="AA16" s="526">
        <v>4142000</v>
      </c>
      <c r="AB16" s="527">
        <f t="shared" ref="AB16:AB22" si="16">ROUNDUP(AA16/12,8)</f>
        <v>345166.66666667</v>
      </c>
    </row>
    <row r="17" spans="1:28" ht="15" customHeight="1">
      <c r="A17" s="845"/>
      <c r="B17" s="847"/>
      <c r="C17" s="849"/>
      <c r="D17" s="546" t="str">
        <f t="shared" si="8"/>
        <v/>
      </c>
      <c r="E17" s="486" t="str">
        <f t="shared" si="0"/>
        <v/>
      </c>
      <c r="F17" s="487" t="str">
        <f t="shared" si="1"/>
        <v/>
      </c>
      <c r="G17" s="545" t="e">
        <f>IF($C16="-","",IF(D17="","",IF($E17="正規職員","-",IF(AND(EXACT(C14,C16),EXACT(D15,D17),EXACT(E15,E17)),G15,"賃金単価を記載"))))</f>
        <v>#N/A</v>
      </c>
      <c r="H17" s="487" t="e">
        <f>IF($C16="-","",IF(D17="","",IF($E17="正規職員",$AA$7,F17*G17)))</f>
        <v>#N/A</v>
      </c>
      <c r="I17" s="841"/>
      <c r="J17" s="843"/>
      <c r="K17" s="488" t="str">
        <f t="shared" si="7"/>
        <v/>
      </c>
      <c r="L17" s="343">
        <f t="shared" ref="L17" si="17">L16</f>
        <v>8</v>
      </c>
      <c r="M17" s="343" t="e">
        <f>VLOOKUP($D17&amp;M$5,'②-2勤務時間数入力'!$D$7:$Q$106,$L17,FALSE)</f>
        <v>#N/A</v>
      </c>
      <c r="N17" s="343" t="str">
        <f t="shared" si="5"/>
        <v>×</v>
      </c>
      <c r="O17" s="343" t="e">
        <f>VLOOKUP($D17&amp;O$5,'②-2勤務時間数入力'!$D$7:$Q$106,$L17,FALSE)</f>
        <v>#N/A</v>
      </c>
      <c r="P17" s="343" t="str">
        <f t="shared" si="2"/>
        <v>×</v>
      </c>
      <c r="Q17" s="343" t="e">
        <f>VLOOKUP($D17&amp;Q$5,'②-2勤務時間数入力'!$D$7:$Q$106,$L17,FALSE)</f>
        <v>#N/A</v>
      </c>
      <c r="R17" s="343" t="str">
        <f t="shared" si="3"/>
        <v>×</v>
      </c>
      <c r="S17" s="343" t="e">
        <f>VLOOKUP($D17&amp;S$5,'②-2勤務時間数入力'!$D$7:$Q$106,$L17,FALSE)</f>
        <v>#N/A</v>
      </c>
      <c r="T17" s="343" t="str">
        <f t="shared" si="4"/>
        <v>×</v>
      </c>
      <c r="V17" s="455"/>
      <c r="W17" s="455" t="str">
        <f t="shared" si="6"/>
        <v>〇</v>
      </c>
      <c r="X17" s="455"/>
      <c r="Z17" s="454" t="s">
        <v>1568</v>
      </c>
      <c r="AA17" s="526">
        <v>4142000</v>
      </c>
      <c r="AB17" s="527">
        <f t="shared" si="16"/>
        <v>345166.66666667</v>
      </c>
    </row>
    <row r="18" spans="1:28" ht="15" customHeight="1">
      <c r="A18" s="844">
        <v>10</v>
      </c>
      <c r="B18" s="846" t="e">
        <f>加算判定!C10</f>
        <v>#N/A</v>
      </c>
      <c r="C18" s="848" t="e">
        <f>加算判定!D10</f>
        <v>#N/A</v>
      </c>
      <c r="D18" s="546" t="str">
        <f t="shared" si="8"/>
        <v/>
      </c>
      <c r="E18" s="486" t="str">
        <f t="shared" si="0"/>
        <v/>
      </c>
      <c r="F18" s="487" t="str">
        <f t="shared" si="1"/>
        <v/>
      </c>
      <c r="G18" s="545" t="e">
        <f>IF($C18="-","",IF($E18="正規職員","-",IF(AND(EXACT(C16,C18),EXACT(D16,D18),EXACT(E16,E18)),G16,"賃金単価を記載")))</f>
        <v>#N/A</v>
      </c>
      <c r="H18" s="487" t="e">
        <f>IF($C18="-","",IF(D18="","",IF($E18="正規職員",$AA$7,F18*G18)))</f>
        <v>#N/A</v>
      </c>
      <c r="I18" s="840">
        <f>$I$6</f>
        <v>233166.66666667</v>
      </c>
      <c r="J18" s="842" t="e">
        <f>IF(AND(X18="配置",OR(C18="調理師等",C18="栄養士")),MIN(N(H18)+N(H19),I18)-$AB$7,MIN(N(H18)+N(H19),I18))</f>
        <v>#N/A</v>
      </c>
      <c r="K18" s="488" t="str">
        <f t="shared" si="7"/>
        <v/>
      </c>
      <c r="L18" s="343">
        <f t="shared" ref="L18" si="18">L16+1</f>
        <v>9</v>
      </c>
      <c r="M18" s="343" t="e">
        <f>VLOOKUP($D18&amp;M$5,'②-2勤務時間数入力'!$D$7:$Q$106,$L18,FALSE)</f>
        <v>#N/A</v>
      </c>
      <c r="N18" s="343" t="str">
        <f t="shared" si="5"/>
        <v>×</v>
      </c>
      <c r="O18" s="343" t="e">
        <f>VLOOKUP($D18&amp;O$5,'②-2勤務時間数入力'!$D$7:$Q$106,$L18,FALSE)</f>
        <v>#N/A</v>
      </c>
      <c r="P18" s="343" t="str">
        <f t="shared" si="2"/>
        <v>×</v>
      </c>
      <c r="Q18" s="343" t="e">
        <f>VLOOKUP($D18&amp;Q$5,'②-2勤務時間数入力'!$D$7:$Q$106,$L18,FALSE)</f>
        <v>#N/A</v>
      </c>
      <c r="R18" s="343" t="str">
        <f t="shared" si="3"/>
        <v>×</v>
      </c>
      <c r="S18" s="343" t="e">
        <f>VLOOKUP($D18&amp;S$5,'②-2勤務時間数入力'!$D$7:$Q$106,$L18,FALSE)</f>
        <v>#N/A</v>
      </c>
      <c r="T18" s="343" t="str">
        <f t="shared" si="4"/>
        <v>×</v>
      </c>
      <c r="V18" s="455" t="str">
        <f>IFERROR(IF(AND(B18=1,D18="",D19=""),"×","〇"),"〇")</f>
        <v>〇</v>
      </c>
      <c r="W18" s="455" t="str">
        <f t="shared" si="6"/>
        <v>〇</v>
      </c>
      <c r="X18" s="455" t="str">
        <f>IF(①基本情報!L37="有",①基本情報!L38,"無")</f>
        <v>無</v>
      </c>
      <c r="Z18" s="454" t="s">
        <v>1569</v>
      </c>
      <c r="AA18" s="526">
        <v>2834000</v>
      </c>
      <c r="AB18" s="527">
        <f t="shared" si="16"/>
        <v>236166.66666667</v>
      </c>
    </row>
    <row r="19" spans="1:28" ht="15" customHeight="1">
      <c r="A19" s="845"/>
      <c r="B19" s="847"/>
      <c r="C19" s="849"/>
      <c r="D19" s="546" t="str">
        <f t="shared" si="8"/>
        <v/>
      </c>
      <c r="E19" s="486" t="str">
        <f t="shared" si="0"/>
        <v/>
      </c>
      <c r="F19" s="487" t="str">
        <f t="shared" si="1"/>
        <v/>
      </c>
      <c r="G19" s="545" t="e">
        <f>IF($C18="-","",IF(D19="","",IF($E19="正規職員","-",IF(AND(EXACT(C16,C18),EXACT(D17,D19),EXACT(E17,E19)),G17,"賃金単価を記載"))))</f>
        <v>#N/A</v>
      </c>
      <c r="H19" s="487" t="e">
        <f>IF($C18="-","",IF(D19="","",IF($E19="正規職員",$AA$7,F19*G19)))</f>
        <v>#N/A</v>
      </c>
      <c r="I19" s="841"/>
      <c r="J19" s="843"/>
      <c r="K19" s="488" t="str">
        <f t="shared" si="7"/>
        <v/>
      </c>
      <c r="L19" s="343">
        <f t="shared" ref="L19" si="19">L18</f>
        <v>9</v>
      </c>
      <c r="M19" s="343" t="e">
        <f>VLOOKUP($D19&amp;M$5,'②-2勤務時間数入力'!$D$7:$Q$106,$L19,FALSE)</f>
        <v>#N/A</v>
      </c>
      <c r="N19" s="343" t="str">
        <f t="shared" si="5"/>
        <v>×</v>
      </c>
      <c r="O19" s="343" t="e">
        <f>VLOOKUP($D19&amp;O$5,'②-2勤務時間数入力'!$D$7:$Q$106,$L19,FALSE)</f>
        <v>#N/A</v>
      </c>
      <c r="P19" s="343" t="str">
        <f t="shared" si="2"/>
        <v>×</v>
      </c>
      <c r="Q19" s="343" t="e">
        <f>VLOOKUP($D19&amp;Q$5,'②-2勤務時間数入力'!$D$7:$Q$106,$L19,FALSE)</f>
        <v>#N/A</v>
      </c>
      <c r="R19" s="343" t="str">
        <f t="shared" si="3"/>
        <v>×</v>
      </c>
      <c r="S19" s="343" t="e">
        <f>VLOOKUP($D19&amp;S$5,'②-2勤務時間数入力'!$D$7:$Q$106,$L19,FALSE)</f>
        <v>#N/A</v>
      </c>
      <c r="T19" s="343" t="str">
        <f t="shared" si="4"/>
        <v>×</v>
      </c>
      <c r="V19" s="455"/>
      <c r="W19" s="455" t="str">
        <f t="shared" si="6"/>
        <v>〇</v>
      </c>
      <c r="X19" s="455"/>
      <c r="Z19" s="454" t="s">
        <v>1570</v>
      </c>
      <c r="AA19" s="526">
        <v>2834000</v>
      </c>
      <c r="AB19" s="527">
        <f t="shared" si="16"/>
        <v>236166.66666667</v>
      </c>
    </row>
    <row r="20" spans="1:28" ht="15" customHeight="1">
      <c r="A20" s="844">
        <v>11</v>
      </c>
      <c r="B20" s="846" t="e">
        <f>加算判定!C11</f>
        <v>#N/A</v>
      </c>
      <c r="C20" s="848" t="e">
        <f>加算判定!D11</f>
        <v>#N/A</v>
      </c>
      <c r="D20" s="546" t="str">
        <f t="shared" si="8"/>
        <v/>
      </c>
      <c r="E20" s="486" t="str">
        <f t="shared" si="0"/>
        <v/>
      </c>
      <c r="F20" s="487" t="str">
        <f t="shared" si="1"/>
        <v/>
      </c>
      <c r="G20" s="545" t="e">
        <f>IF($C20="-","",IF($E20="正規職員","-",IF(AND(EXACT(C18,C20),EXACT(D18,D20),EXACT(E18,E20)),G18,"賃金単価を記載")))</f>
        <v>#N/A</v>
      </c>
      <c r="H20" s="487" t="e">
        <f>IF($C20="-","",IF(D20="","",IF($E20="正規職員",$AA$7,F20*G20)))</f>
        <v>#N/A</v>
      </c>
      <c r="I20" s="840">
        <f>$I$6</f>
        <v>233166.66666667</v>
      </c>
      <c r="J20" s="842" t="e">
        <f>IF(AND(X20="配置",OR(C20="調理師等",C20="栄養士")),MIN(N(H20)+N(H21),I20)-$AB$7,MIN(N(H20)+N(H21),I20))</f>
        <v>#N/A</v>
      </c>
      <c r="K20" s="488" t="str">
        <f t="shared" si="7"/>
        <v/>
      </c>
      <c r="L20" s="343">
        <f t="shared" ref="L20" si="20">L18+1</f>
        <v>10</v>
      </c>
      <c r="M20" s="343" t="e">
        <f>VLOOKUP($D20&amp;M$5,'②-2勤務時間数入力'!$D$7:$Q$106,$L20,FALSE)</f>
        <v>#N/A</v>
      </c>
      <c r="N20" s="343" t="str">
        <f t="shared" si="5"/>
        <v>×</v>
      </c>
      <c r="O20" s="343" t="e">
        <f>VLOOKUP($D20&amp;O$5,'②-2勤務時間数入力'!$D$7:$Q$106,$L20,FALSE)</f>
        <v>#N/A</v>
      </c>
      <c r="P20" s="343" t="str">
        <f t="shared" si="2"/>
        <v>×</v>
      </c>
      <c r="Q20" s="343" t="e">
        <f>VLOOKUP($D20&amp;Q$5,'②-2勤務時間数入力'!$D$7:$Q$106,$L20,FALSE)</f>
        <v>#N/A</v>
      </c>
      <c r="R20" s="343" t="str">
        <f t="shared" si="3"/>
        <v>×</v>
      </c>
      <c r="S20" s="343" t="e">
        <f>VLOOKUP($D20&amp;S$5,'②-2勤務時間数入力'!$D$7:$Q$106,$L20,FALSE)</f>
        <v>#N/A</v>
      </c>
      <c r="T20" s="343" t="str">
        <f t="shared" si="4"/>
        <v>×</v>
      </c>
      <c r="V20" s="455" t="str">
        <f>IFERROR(IF(AND(B20=1,D20="",D21=""),"×","〇"),"〇")</f>
        <v>〇</v>
      </c>
      <c r="W20" s="455" t="str">
        <f t="shared" si="6"/>
        <v>〇</v>
      </c>
      <c r="X20" s="455" t="str">
        <f>IF(①基本情報!M37="有",①基本情報!M38,"無")</f>
        <v>無</v>
      </c>
      <c r="Z20" s="454" t="s">
        <v>1571</v>
      </c>
      <c r="AA20" s="526">
        <v>3464000</v>
      </c>
      <c r="AB20" s="527">
        <f t="shared" si="16"/>
        <v>288666.66666667</v>
      </c>
    </row>
    <row r="21" spans="1:28" ht="15" customHeight="1">
      <c r="A21" s="845"/>
      <c r="B21" s="847"/>
      <c r="C21" s="849"/>
      <c r="D21" s="546" t="str">
        <f t="shared" si="8"/>
        <v/>
      </c>
      <c r="E21" s="486" t="str">
        <f t="shared" si="0"/>
        <v/>
      </c>
      <c r="F21" s="487" t="str">
        <f t="shared" si="1"/>
        <v/>
      </c>
      <c r="G21" s="545" t="e">
        <f>IF($C20="-","",IF(D21="","",IF($E21="正規職員","-",IF(AND(EXACT(C18,C20),EXACT(D19,D21),EXACT(E19,E21)),G19,"賃金単価を記載"))))</f>
        <v>#N/A</v>
      </c>
      <c r="H21" s="487" t="e">
        <f>IF($C20="-","",IF(D21="","",IF($E21="正規職員",$AA$7,F21*G21)))</f>
        <v>#N/A</v>
      </c>
      <c r="I21" s="841"/>
      <c r="J21" s="843"/>
      <c r="K21" s="488" t="str">
        <f t="shared" si="7"/>
        <v/>
      </c>
      <c r="L21" s="343">
        <f t="shared" ref="L21" si="21">L20</f>
        <v>10</v>
      </c>
      <c r="M21" s="343" t="e">
        <f>VLOOKUP($D21&amp;M$5,'②-2勤務時間数入力'!$D$7:$Q$106,$L21,FALSE)</f>
        <v>#N/A</v>
      </c>
      <c r="N21" s="343" t="str">
        <f t="shared" si="5"/>
        <v>×</v>
      </c>
      <c r="O21" s="343" t="e">
        <f>VLOOKUP($D21&amp;O$5,'②-2勤務時間数入力'!$D$7:$Q$106,$L21,FALSE)</f>
        <v>#N/A</v>
      </c>
      <c r="P21" s="343" t="str">
        <f t="shared" si="2"/>
        <v>×</v>
      </c>
      <c r="Q21" s="343" t="e">
        <f>VLOOKUP($D21&amp;Q$5,'②-2勤務時間数入力'!$D$7:$Q$106,$L21,FALSE)</f>
        <v>#N/A</v>
      </c>
      <c r="R21" s="343" t="str">
        <f t="shared" si="3"/>
        <v>×</v>
      </c>
      <c r="S21" s="343" t="e">
        <f>VLOOKUP($D21&amp;S$5,'②-2勤務時間数入力'!$D$7:$Q$106,$L21,FALSE)</f>
        <v>#N/A</v>
      </c>
      <c r="T21" s="343" t="str">
        <f t="shared" si="4"/>
        <v>×</v>
      </c>
      <c r="V21" s="455"/>
      <c r="W21" s="455" t="str">
        <f t="shared" si="6"/>
        <v>〇</v>
      </c>
      <c r="X21" s="455"/>
      <c r="Z21" s="454" t="s">
        <v>1572</v>
      </c>
      <c r="AA21" s="526">
        <v>3464000</v>
      </c>
      <c r="AB21" s="527">
        <f t="shared" si="16"/>
        <v>288666.66666667</v>
      </c>
    </row>
    <row r="22" spans="1:28" ht="15" customHeight="1">
      <c r="A22" s="844">
        <v>12</v>
      </c>
      <c r="B22" s="846" t="e">
        <f>加算判定!C12</f>
        <v>#N/A</v>
      </c>
      <c r="C22" s="848" t="e">
        <f>加算判定!D12</f>
        <v>#N/A</v>
      </c>
      <c r="D22" s="546" t="str">
        <f t="shared" si="8"/>
        <v/>
      </c>
      <c r="E22" s="486" t="str">
        <f t="shared" si="0"/>
        <v/>
      </c>
      <c r="F22" s="487" t="str">
        <f t="shared" si="1"/>
        <v/>
      </c>
      <c r="G22" s="545" t="e">
        <f>IF($C22="-","",IF($E22="正規職員","-",IF(AND(EXACT(C20,C22),EXACT(D20,D22),EXACT(E20,E22)),G20,"賃金単価を記載")))</f>
        <v>#N/A</v>
      </c>
      <c r="H22" s="487" t="e">
        <f>IF($C22="-","",IF(D22="","",IF($E22="正規職員",$AA$7,F22*G22)))</f>
        <v>#N/A</v>
      </c>
      <c r="I22" s="840">
        <f>$I$6</f>
        <v>233166.66666667</v>
      </c>
      <c r="J22" s="842" t="e">
        <f>IF(AND(X22="配置",OR(C22="調理師等",C22="栄養士")),MIN(N(H22)+N(H23),I22)-$AB$7,MIN(N(H22)+N(H23),I22))</f>
        <v>#N/A</v>
      </c>
      <c r="K22" s="488" t="str">
        <f t="shared" si="7"/>
        <v/>
      </c>
      <c r="L22" s="343">
        <f t="shared" ref="L22" si="22">L20+1</f>
        <v>11</v>
      </c>
      <c r="M22" s="343" t="e">
        <f>VLOOKUP($D22&amp;M$5,'②-2勤務時間数入力'!$D$7:$Q$106,$L22,FALSE)</f>
        <v>#N/A</v>
      </c>
      <c r="N22" s="343" t="str">
        <f t="shared" si="5"/>
        <v>×</v>
      </c>
      <c r="O22" s="343" t="e">
        <f>VLOOKUP($D22&amp;O$5,'②-2勤務時間数入力'!$D$7:$Q$106,$L22,FALSE)</f>
        <v>#N/A</v>
      </c>
      <c r="P22" s="343" t="str">
        <f t="shared" si="2"/>
        <v>×</v>
      </c>
      <c r="Q22" s="343" t="e">
        <f>VLOOKUP($D22&amp;Q$5,'②-2勤務時間数入力'!$D$7:$Q$106,$L22,FALSE)</f>
        <v>#N/A</v>
      </c>
      <c r="R22" s="343" t="str">
        <f t="shared" si="3"/>
        <v>×</v>
      </c>
      <c r="S22" s="343" t="e">
        <f>VLOOKUP($D22&amp;S$5,'②-2勤務時間数入力'!$D$7:$Q$106,$L22,FALSE)</f>
        <v>#N/A</v>
      </c>
      <c r="T22" s="343" t="str">
        <f t="shared" si="4"/>
        <v>×</v>
      </c>
      <c r="V22" s="455" t="str">
        <f>IFERROR(IF(AND(B22=1,D22="",D23=""),"×","〇"),"〇")</f>
        <v>〇</v>
      </c>
      <c r="W22" s="455" t="str">
        <f t="shared" si="6"/>
        <v>〇</v>
      </c>
      <c r="X22" s="455" t="str">
        <f>IF(①基本情報!N37="有",①基本情報!N38,"無")</f>
        <v>無</v>
      </c>
      <c r="Z22" s="525" t="s">
        <v>1573</v>
      </c>
      <c r="AA22" s="526">
        <v>4297000</v>
      </c>
      <c r="AB22" s="527">
        <f t="shared" si="16"/>
        <v>358083.33333334001</v>
      </c>
    </row>
    <row r="23" spans="1:28" ht="15" customHeight="1">
      <c r="A23" s="845"/>
      <c r="B23" s="847"/>
      <c r="C23" s="849"/>
      <c r="D23" s="546" t="str">
        <f t="shared" si="8"/>
        <v/>
      </c>
      <c r="E23" s="486" t="str">
        <f t="shared" si="0"/>
        <v/>
      </c>
      <c r="F23" s="487" t="str">
        <f t="shared" si="1"/>
        <v/>
      </c>
      <c r="G23" s="545" t="e">
        <f>IF($C22="-","",IF(D23="","",IF($E23="正規職員","-",IF(AND(EXACT(C20,C22),EXACT(D21,D23),EXACT(E21,E23)),G21,"賃金単価を記載"))))</f>
        <v>#N/A</v>
      </c>
      <c r="H23" s="487" t="e">
        <f>IF($C22="-","",IF(D23="","",IF($E23="正規職員",$AA$7,F23*G23)))</f>
        <v>#N/A</v>
      </c>
      <c r="I23" s="841"/>
      <c r="J23" s="843"/>
      <c r="K23" s="488" t="str">
        <f t="shared" si="7"/>
        <v/>
      </c>
      <c r="L23" s="343">
        <f t="shared" ref="L23" si="23">L22</f>
        <v>11</v>
      </c>
      <c r="M23" s="343" t="e">
        <f>VLOOKUP($D23&amp;M$5,'②-2勤務時間数入力'!$D$7:$Q$106,$L23,FALSE)</f>
        <v>#N/A</v>
      </c>
      <c r="N23" s="343" t="str">
        <f t="shared" si="5"/>
        <v>×</v>
      </c>
      <c r="O23" s="343" t="e">
        <f>VLOOKUP($D23&amp;O$5,'②-2勤務時間数入力'!$D$7:$Q$106,$L23,FALSE)</f>
        <v>#N/A</v>
      </c>
      <c r="P23" s="343" t="str">
        <f t="shared" si="2"/>
        <v>×</v>
      </c>
      <c r="Q23" s="343" t="e">
        <f>VLOOKUP($D23&amp;Q$5,'②-2勤務時間数入力'!$D$7:$Q$106,$L23,FALSE)</f>
        <v>#N/A</v>
      </c>
      <c r="R23" s="343" t="str">
        <f t="shared" si="3"/>
        <v>×</v>
      </c>
      <c r="S23" s="343" t="e">
        <f>VLOOKUP($D23&amp;S$5,'②-2勤務時間数入力'!$D$7:$Q$106,$L23,FALSE)</f>
        <v>#N/A</v>
      </c>
      <c r="T23" s="343" t="str">
        <f t="shared" si="4"/>
        <v>×</v>
      </c>
      <c r="V23" s="455"/>
      <c r="W23" s="455" t="str">
        <f t="shared" si="6"/>
        <v>〇</v>
      </c>
      <c r="X23" s="455"/>
    </row>
    <row r="24" spans="1:28" ht="15" customHeight="1">
      <c r="A24" s="844">
        <v>1</v>
      </c>
      <c r="B24" s="846" t="e">
        <f>加算判定!C13</f>
        <v>#N/A</v>
      </c>
      <c r="C24" s="848" t="e">
        <f>加算判定!D13</f>
        <v>#N/A</v>
      </c>
      <c r="D24" s="546" t="str">
        <f t="shared" si="8"/>
        <v/>
      </c>
      <c r="E24" s="486" t="str">
        <f t="shared" si="0"/>
        <v/>
      </c>
      <c r="F24" s="487" t="str">
        <f t="shared" si="1"/>
        <v/>
      </c>
      <c r="G24" s="545" t="e">
        <f>IF($C24="-","",IF($E24="正規職員","-",IF(AND(EXACT(C22,C24),EXACT(D22,D24),EXACT(E22,E24)),G22,"賃金単価を記載")))</f>
        <v>#N/A</v>
      </c>
      <c r="H24" s="487" t="e">
        <f>IF($C24="-","",IF(D24="","",IF($E24="正規職員",$AA$7,F24*G24)))</f>
        <v>#N/A</v>
      </c>
      <c r="I24" s="840">
        <f>$I$6</f>
        <v>233166.66666667</v>
      </c>
      <c r="J24" s="842" t="e">
        <f>IF(AND(X24="配置",OR(C24="調理師等",C24="栄養士")),MIN(N(H24)+N(H25),I24)-$AB$7,MIN(N(H24)+N(H25),I24))</f>
        <v>#N/A</v>
      </c>
      <c r="K24" s="488" t="str">
        <f t="shared" si="7"/>
        <v/>
      </c>
      <c r="L24" s="343">
        <f t="shared" ref="L24" si="24">L22+1</f>
        <v>12</v>
      </c>
      <c r="M24" s="343" t="e">
        <f>VLOOKUP($D24&amp;M$5,'②-2勤務時間数入力'!$D$7:$Q$106,$L24,FALSE)</f>
        <v>#N/A</v>
      </c>
      <c r="N24" s="343" t="str">
        <f t="shared" si="5"/>
        <v>×</v>
      </c>
      <c r="O24" s="343" t="e">
        <f>VLOOKUP($D24&amp;O$5,'②-2勤務時間数入力'!$D$7:$Q$106,$L24,FALSE)</f>
        <v>#N/A</v>
      </c>
      <c r="P24" s="343" t="str">
        <f t="shared" si="2"/>
        <v>×</v>
      </c>
      <c r="Q24" s="343" t="e">
        <f>VLOOKUP($D24&amp;Q$5,'②-2勤務時間数入力'!$D$7:$Q$106,$L24,FALSE)</f>
        <v>#N/A</v>
      </c>
      <c r="R24" s="343" t="str">
        <f t="shared" si="3"/>
        <v>×</v>
      </c>
      <c r="S24" s="343" t="e">
        <f>VLOOKUP($D24&amp;S$5,'②-2勤務時間数入力'!$D$7:$Q$106,$L24,FALSE)</f>
        <v>#N/A</v>
      </c>
      <c r="T24" s="343" t="str">
        <f t="shared" si="4"/>
        <v>×</v>
      </c>
      <c r="V24" s="455" t="str">
        <f>IFERROR(IF(AND(B24=1,D24="",D25=""),"×","〇"),"〇")</f>
        <v>〇</v>
      </c>
      <c r="W24" s="455" t="str">
        <f t="shared" si="6"/>
        <v>〇</v>
      </c>
      <c r="X24" s="455" t="str">
        <f>IF(①基本情報!O37="有",①基本情報!O38,"無")</f>
        <v>無</v>
      </c>
    </row>
    <row r="25" spans="1:28" ht="15" customHeight="1">
      <c r="A25" s="845"/>
      <c r="B25" s="847"/>
      <c r="C25" s="849"/>
      <c r="D25" s="546" t="str">
        <f t="shared" si="8"/>
        <v/>
      </c>
      <c r="E25" s="486" t="str">
        <f t="shared" si="0"/>
        <v/>
      </c>
      <c r="F25" s="487" t="str">
        <f t="shared" si="1"/>
        <v/>
      </c>
      <c r="G25" s="545" t="e">
        <f>IF($C24="-","",IF(D25="","",IF($E25="正規職員","-",IF(AND(EXACT(C22,C24),EXACT(D23,D25),EXACT(E23,E25)),G23,"賃金単価を記載"))))</f>
        <v>#N/A</v>
      </c>
      <c r="H25" s="487" t="e">
        <f>IF($C24="-","",IF(D25="","",IF($E25="正規職員",$AA$7,F25*G25)))</f>
        <v>#N/A</v>
      </c>
      <c r="I25" s="841"/>
      <c r="J25" s="843"/>
      <c r="K25" s="488" t="str">
        <f t="shared" si="7"/>
        <v/>
      </c>
      <c r="L25" s="343">
        <f t="shared" ref="L25" si="25">L24</f>
        <v>12</v>
      </c>
      <c r="M25" s="343" t="e">
        <f>VLOOKUP($D25&amp;M$5,'②-2勤務時間数入力'!$D$7:$Q$106,$L25,FALSE)</f>
        <v>#N/A</v>
      </c>
      <c r="N25" s="343" t="str">
        <f t="shared" si="5"/>
        <v>×</v>
      </c>
      <c r="O25" s="343" t="e">
        <f>VLOOKUP($D25&amp;O$5,'②-2勤務時間数入力'!$D$7:$Q$106,$L25,FALSE)</f>
        <v>#N/A</v>
      </c>
      <c r="P25" s="343" t="str">
        <f t="shared" si="2"/>
        <v>×</v>
      </c>
      <c r="Q25" s="343" t="e">
        <f>VLOOKUP($D25&amp;Q$5,'②-2勤務時間数入力'!$D$7:$Q$106,$L25,FALSE)</f>
        <v>#N/A</v>
      </c>
      <c r="R25" s="343" t="str">
        <f t="shared" si="3"/>
        <v>×</v>
      </c>
      <c r="S25" s="343" t="e">
        <f>VLOOKUP($D25&amp;S$5,'②-2勤務時間数入力'!$D$7:$Q$106,$L25,FALSE)</f>
        <v>#N/A</v>
      </c>
      <c r="T25" s="343" t="str">
        <f t="shared" si="4"/>
        <v>×</v>
      </c>
      <c r="V25" s="455"/>
      <c r="W25" s="455" t="str">
        <f t="shared" si="6"/>
        <v>〇</v>
      </c>
      <c r="X25" s="455"/>
    </row>
    <row r="26" spans="1:28" ht="15" customHeight="1">
      <c r="A26" s="844">
        <v>2</v>
      </c>
      <c r="B26" s="846" t="e">
        <f>加算判定!C14</f>
        <v>#N/A</v>
      </c>
      <c r="C26" s="848" t="e">
        <f>加算判定!D14</f>
        <v>#N/A</v>
      </c>
      <c r="D26" s="546" t="str">
        <f t="shared" si="8"/>
        <v/>
      </c>
      <c r="E26" s="486" t="str">
        <f t="shared" si="0"/>
        <v/>
      </c>
      <c r="F26" s="487" t="str">
        <f t="shared" si="1"/>
        <v/>
      </c>
      <c r="G26" s="545" t="e">
        <f>IF($C26="-","",IF($E26="正規職員","-",IF(AND(EXACT(C24,C26),EXACT(D24,D26),EXACT(E24,E26)),G24,"賃金単価を記載")))</f>
        <v>#N/A</v>
      </c>
      <c r="H26" s="487" t="e">
        <f>IF($C26="-","",IF(D26="","",IF($E26="正規職員",$AA$7,F26*G26)))</f>
        <v>#N/A</v>
      </c>
      <c r="I26" s="840">
        <f>$I$6</f>
        <v>233166.66666667</v>
      </c>
      <c r="J26" s="842" t="e">
        <f>IF(AND(X26="配置",OR(C26="調理師等",C26="栄養士")),MIN(N(H26)+N(H27),I26)-$AB$7,MIN(N(H26)+N(H27),I26))</f>
        <v>#N/A</v>
      </c>
      <c r="K26" s="488" t="str">
        <f t="shared" si="7"/>
        <v/>
      </c>
      <c r="L26" s="343">
        <f t="shared" ref="L26" si="26">L24+1</f>
        <v>13</v>
      </c>
      <c r="M26" s="343" t="e">
        <f>VLOOKUP($D26&amp;M$5,'②-2勤務時間数入力'!$D$7:$Q$106,$L26,FALSE)</f>
        <v>#N/A</v>
      </c>
      <c r="N26" s="343" t="str">
        <f t="shared" si="5"/>
        <v>×</v>
      </c>
      <c r="O26" s="343" t="e">
        <f>VLOOKUP($D26&amp;O$5,'②-2勤務時間数入力'!$D$7:$Q$106,$L26,FALSE)</f>
        <v>#N/A</v>
      </c>
      <c r="P26" s="343" t="str">
        <f t="shared" si="2"/>
        <v>×</v>
      </c>
      <c r="Q26" s="343" t="e">
        <f>VLOOKUP($D26&amp;Q$5,'②-2勤務時間数入力'!$D$7:$Q$106,$L26,FALSE)</f>
        <v>#N/A</v>
      </c>
      <c r="R26" s="343" t="str">
        <f t="shared" si="3"/>
        <v>×</v>
      </c>
      <c r="S26" s="343" t="e">
        <f>VLOOKUP($D26&amp;S$5,'②-2勤務時間数入力'!$D$7:$Q$106,$L26,FALSE)</f>
        <v>#N/A</v>
      </c>
      <c r="T26" s="343" t="str">
        <f t="shared" si="4"/>
        <v>×</v>
      </c>
      <c r="V26" s="455" t="str">
        <f>IFERROR(IF(AND(B26=1,D26="",D27=""),"×","〇"),"〇")</f>
        <v>〇</v>
      </c>
      <c r="W26" s="455" t="str">
        <f t="shared" si="6"/>
        <v>〇</v>
      </c>
      <c r="X26" s="455" t="str">
        <f>IF(①基本情報!P37="有",①基本情報!P38,"無")</f>
        <v>無</v>
      </c>
    </row>
    <row r="27" spans="1:28" ht="15" customHeight="1">
      <c r="A27" s="845"/>
      <c r="B27" s="847"/>
      <c r="C27" s="849"/>
      <c r="D27" s="546" t="str">
        <f t="shared" si="8"/>
        <v/>
      </c>
      <c r="E27" s="486" t="str">
        <f t="shared" si="0"/>
        <v/>
      </c>
      <c r="F27" s="487" t="str">
        <f t="shared" si="1"/>
        <v/>
      </c>
      <c r="G27" s="545" t="e">
        <f>IF($C26="-","",IF(D27="","",IF($E27="正規職員","-",IF(AND(EXACT(C24,C26),EXACT(D25,D27),EXACT(E25,E27)),G25,"賃金単価を記載"))))</f>
        <v>#N/A</v>
      </c>
      <c r="H27" s="487" t="e">
        <f>IF($C26="-","",IF(D27="","",IF($E27="正規職員",$AA$7,F27*G27)))</f>
        <v>#N/A</v>
      </c>
      <c r="I27" s="841"/>
      <c r="J27" s="843"/>
      <c r="K27" s="488" t="str">
        <f t="shared" si="7"/>
        <v/>
      </c>
      <c r="L27" s="343">
        <f t="shared" ref="L27" si="27">L26</f>
        <v>13</v>
      </c>
      <c r="M27" s="343" t="e">
        <f>VLOOKUP($D27&amp;M$5,'②-2勤務時間数入力'!$D$7:$Q$106,$L27,FALSE)</f>
        <v>#N/A</v>
      </c>
      <c r="N27" s="343" t="str">
        <f t="shared" si="5"/>
        <v>×</v>
      </c>
      <c r="O27" s="343" t="e">
        <f>VLOOKUP($D27&amp;O$5,'②-2勤務時間数入力'!$D$7:$Q$106,$L27,FALSE)</f>
        <v>#N/A</v>
      </c>
      <c r="P27" s="343" t="str">
        <f t="shared" si="2"/>
        <v>×</v>
      </c>
      <c r="Q27" s="343" t="e">
        <f>VLOOKUP($D27&amp;Q$5,'②-2勤務時間数入力'!$D$7:$Q$106,$L27,FALSE)</f>
        <v>#N/A</v>
      </c>
      <c r="R27" s="343" t="str">
        <f t="shared" si="3"/>
        <v>×</v>
      </c>
      <c r="S27" s="343" t="e">
        <f>VLOOKUP($D27&amp;S$5,'②-2勤務時間数入力'!$D$7:$Q$106,$L27,FALSE)</f>
        <v>#N/A</v>
      </c>
      <c r="T27" s="343" t="str">
        <f t="shared" si="4"/>
        <v>×</v>
      </c>
      <c r="V27" s="455"/>
      <c r="W27" s="455" t="str">
        <f t="shared" si="6"/>
        <v>〇</v>
      </c>
      <c r="X27" s="455"/>
    </row>
    <row r="28" spans="1:28" ht="15" customHeight="1">
      <c r="A28" s="844">
        <v>3</v>
      </c>
      <c r="B28" s="846" t="e">
        <f>加算判定!C15</f>
        <v>#N/A</v>
      </c>
      <c r="C28" s="848" t="e">
        <f>加算判定!D15</f>
        <v>#N/A</v>
      </c>
      <c r="D28" s="546" t="str">
        <f t="shared" si="8"/>
        <v/>
      </c>
      <c r="E28" s="486" t="str">
        <f t="shared" si="0"/>
        <v/>
      </c>
      <c r="F28" s="487" t="str">
        <f t="shared" si="1"/>
        <v/>
      </c>
      <c r="G28" s="545" t="e">
        <f>IF($C28="-","",IF($E28="正規職員","-",IF(AND(EXACT(C26,C28),EXACT(D26,D28),EXACT(E26,E28)),G26,"賃金単価を記載")))</f>
        <v>#N/A</v>
      </c>
      <c r="H28" s="487" t="e">
        <f>IF($C28="-","",IF(D28="","",IF($E28="正規職員",$AA$7,F28*G28)))</f>
        <v>#N/A</v>
      </c>
      <c r="I28" s="840">
        <f>$I$6</f>
        <v>233166.66666667</v>
      </c>
      <c r="J28" s="842" t="e">
        <f>IF(AND(X28="配置",OR(C28="調理師等",C28="栄養士")),MIN(N(H28)+N(H29),I28)-$AB$7,MIN(N(H28)+N(H29),I28))</f>
        <v>#N/A</v>
      </c>
      <c r="K28" s="488" t="str">
        <f t="shared" si="7"/>
        <v/>
      </c>
      <c r="L28" s="343">
        <f t="shared" ref="L28" si="28">L26+1</f>
        <v>14</v>
      </c>
      <c r="M28" s="343" t="e">
        <f>VLOOKUP($D28&amp;M$5,'②-2勤務時間数入力'!$D$7:$Q$106,$L28,FALSE)</f>
        <v>#N/A</v>
      </c>
      <c r="N28" s="343" t="str">
        <f t="shared" si="5"/>
        <v>×</v>
      </c>
      <c r="O28" s="343" t="e">
        <f>VLOOKUP($D28&amp;O$5,'②-2勤務時間数入力'!$D$7:$Q$106,$L28,FALSE)</f>
        <v>#N/A</v>
      </c>
      <c r="P28" s="343" t="str">
        <f t="shared" si="2"/>
        <v>×</v>
      </c>
      <c r="Q28" s="343" t="e">
        <f>VLOOKUP($D28&amp;Q$5,'②-2勤務時間数入力'!$D$7:$Q$106,$L28,FALSE)</f>
        <v>#N/A</v>
      </c>
      <c r="R28" s="343" t="str">
        <f t="shared" si="3"/>
        <v>×</v>
      </c>
      <c r="S28" s="343" t="e">
        <f>VLOOKUP($D28&amp;S$5,'②-2勤務時間数入力'!$D$7:$Q$106,$L28,FALSE)</f>
        <v>#N/A</v>
      </c>
      <c r="T28" s="343" t="str">
        <f t="shared" si="4"/>
        <v>×</v>
      </c>
      <c r="V28" s="455" t="str">
        <f>IFERROR(IF(AND(B28=1,D28="",D29=""),"×","〇"),"〇")</f>
        <v>〇</v>
      </c>
      <c r="W28" s="455" t="str">
        <f t="shared" si="6"/>
        <v>〇</v>
      </c>
      <c r="X28" s="455" t="str">
        <f>IF(①基本情報!Q37="有",①基本情報!Q38,"無")</f>
        <v>無</v>
      </c>
    </row>
    <row r="29" spans="1:28" ht="15" customHeight="1">
      <c r="A29" s="845"/>
      <c r="B29" s="847"/>
      <c r="C29" s="849"/>
      <c r="D29" s="546" t="str">
        <f t="shared" si="8"/>
        <v/>
      </c>
      <c r="E29" s="486" t="str">
        <f t="shared" si="0"/>
        <v/>
      </c>
      <c r="F29" s="487" t="str">
        <f t="shared" si="1"/>
        <v/>
      </c>
      <c r="G29" s="545" t="e">
        <f>IF($C28="-","",IF(D29="","",IF($E29="正規職員","-",IF(AND(EXACT(C26,C28),EXACT(D27,D29),EXACT(E27,E29)),G27,"賃金単価を記載"))))</f>
        <v>#N/A</v>
      </c>
      <c r="H29" s="487" t="e">
        <f>IF($C28="-","",IF(D29="","",IF($E29="正規職員",$AA$7,F29*G29)))</f>
        <v>#N/A</v>
      </c>
      <c r="I29" s="841"/>
      <c r="J29" s="843"/>
      <c r="K29" s="488" t="str">
        <f t="shared" si="7"/>
        <v/>
      </c>
      <c r="L29" s="343">
        <f t="shared" ref="L29" si="29">L28</f>
        <v>14</v>
      </c>
      <c r="M29" s="343" t="e">
        <f>VLOOKUP($D29&amp;M$5,'②-2勤務時間数入力'!$D$7:$Q$106,$L29,FALSE)</f>
        <v>#N/A</v>
      </c>
      <c r="N29" s="343" t="str">
        <f t="shared" si="5"/>
        <v>×</v>
      </c>
      <c r="O29" s="343" t="e">
        <f>VLOOKUP($D29&amp;O$5,'②-2勤務時間数入力'!$D$7:$Q$106,$L29,FALSE)</f>
        <v>#N/A</v>
      </c>
      <c r="P29" s="343" t="str">
        <f t="shared" si="2"/>
        <v>×</v>
      </c>
      <c r="Q29" s="343" t="e">
        <f>VLOOKUP($D29&amp;Q$5,'②-2勤務時間数入力'!$D$7:$Q$106,$L29,FALSE)</f>
        <v>#N/A</v>
      </c>
      <c r="R29" s="343" t="str">
        <f t="shared" si="3"/>
        <v>×</v>
      </c>
      <c r="S29" s="343" t="e">
        <f>VLOOKUP($D29&amp;S$5,'②-2勤務時間数入力'!$D$7:$Q$106,$L29,FALSE)</f>
        <v>#N/A</v>
      </c>
      <c r="T29" s="343" t="str">
        <f t="shared" si="4"/>
        <v>×</v>
      </c>
      <c r="W29" s="455" t="str">
        <f t="shared" si="6"/>
        <v>〇</v>
      </c>
      <c r="X29" s="455"/>
    </row>
    <row r="30" spans="1:28" ht="15" customHeight="1">
      <c r="A30" s="489" t="s">
        <v>246</v>
      </c>
      <c r="B30" s="487"/>
      <c r="C30" s="487"/>
      <c r="D30" s="342"/>
      <c r="E30" s="487"/>
      <c r="F30" s="487"/>
      <c r="G30" s="487"/>
      <c r="H30" s="487"/>
      <c r="I30" s="487"/>
      <c r="J30" s="553" t="e">
        <f>ROUNDDOWN(SUM(J6,J8,J10,J12,J14,J16,J18,J20,J22,J24,J26,J28),-3)+ROUNDDOWN(SUM(J7,J9,J11,J13,J15,J17,J19,J21,J23,J25,J27,J29),-3)</f>
        <v>#N/A</v>
      </c>
    </row>
    <row r="31" spans="1:28" ht="15" customHeight="1">
      <c r="B31" s="488"/>
      <c r="C31" s="488"/>
      <c r="D31" s="488"/>
      <c r="E31" s="488"/>
      <c r="F31" s="488"/>
      <c r="G31" s="488"/>
      <c r="H31" s="488"/>
      <c r="I31" s="488"/>
      <c r="J31" s="488"/>
    </row>
    <row r="33" spans="2:9">
      <c r="B33" s="337"/>
      <c r="D33" s="337"/>
      <c r="E33" s="337"/>
      <c r="F33" s="337"/>
      <c r="G33" s="337"/>
    </row>
    <row r="36" spans="2:9" hidden="1">
      <c r="I36" s="336" t="s">
        <v>551</v>
      </c>
    </row>
    <row r="37" spans="2:9" hidden="1">
      <c r="H37" s="336" t="s">
        <v>547</v>
      </c>
      <c r="I37" s="336" t="str">
        <f>'②-1職員名簿'!C144</f>
        <v>保育教諭等</v>
      </c>
    </row>
    <row r="38" spans="2:9" hidden="1">
      <c r="H38" s="336" t="s">
        <v>548</v>
      </c>
      <c r="I38" s="336" t="str">
        <f>'②-1職員名簿'!C145</f>
        <v>要件緩和</v>
      </c>
    </row>
    <row r="39" spans="2:9" hidden="1">
      <c r="H39" s="336" t="s">
        <v>549</v>
      </c>
      <c r="I39" s="336" t="str">
        <f>'②-1職員名簿'!C146</f>
        <v>看護師等</v>
      </c>
    </row>
    <row r="40" spans="2:9" hidden="1">
      <c r="H40" s="336" t="s">
        <v>550</v>
      </c>
      <c r="I40" s="336" t="str">
        <f>'②-1職員名簿'!C147</f>
        <v>栄養士</v>
      </c>
    </row>
    <row r="41" spans="2:9" hidden="1">
      <c r="H41" s="336" t="s">
        <v>554</v>
      </c>
      <c r="I41" s="336" t="str">
        <f>'②-1職員名簿'!C148</f>
        <v>調理師等</v>
      </c>
    </row>
    <row r="42" spans="2:9" hidden="1">
      <c r="H42" s="336" t="s">
        <v>555</v>
      </c>
      <c r="I42" s="336" t="str">
        <f>'②-1職員名簿'!C149</f>
        <v>教育・保育支援者</v>
      </c>
    </row>
  </sheetData>
  <sheetProtection algorithmName="SHA-512" hashValue="6a0smdJDx1kKeJI6l5NHWkKHkT5GTvT8X6IAb7HliR56XtjeVSs1CQi9z8bH/nQAcVFl5Lo5uG9IBnJKeGNWjw==" saltValue="Xoi8vguBa+izbJ/2nTnI+w==" spinCount="100000" sheet="1" selectLockedCells="1"/>
  <mergeCells count="67">
    <mergeCell ref="A16:A17"/>
    <mergeCell ref="C16:C17"/>
    <mergeCell ref="B12:B13"/>
    <mergeCell ref="B14:B15"/>
    <mergeCell ref="B16:B17"/>
    <mergeCell ref="A10:A11"/>
    <mergeCell ref="C10:C11"/>
    <mergeCell ref="A14:A15"/>
    <mergeCell ref="C14:C15"/>
    <mergeCell ref="A1:J1"/>
    <mergeCell ref="E2:F2"/>
    <mergeCell ref="G2:J2"/>
    <mergeCell ref="B10:B11"/>
    <mergeCell ref="A12:A13"/>
    <mergeCell ref="C12:C13"/>
    <mergeCell ref="I6:I7"/>
    <mergeCell ref="I8:I9"/>
    <mergeCell ref="I10:I11"/>
    <mergeCell ref="I12:I13"/>
    <mergeCell ref="S5:T5"/>
    <mergeCell ref="A6:A7"/>
    <mergeCell ref="C6:C7"/>
    <mergeCell ref="A8:A9"/>
    <mergeCell ref="C8:C9"/>
    <mergeCell ref="M5:N5"/>
    <mergeCell ref="O5:P5"/>
    <mergeCell ref="Q5:R5"/>
    <mergeCell ref="B6:B7"/>
    <mergeCell ref="B8:B9"/>
    <mergeCell ref="A24:A25"/>
    <mergeCell ref="C24:C25"/>
    <mergeCell ref="A26:A27"/>
    <mergeCell ref="C26:C27"/>
    <mergeCell ref="C28:C29"/>
    <mergeCell ref="B28:B29"/>
    <mergeCell ref="I16:I17"/>
    <mergeCell ref="I18:I19"/>
    <mergeCell ref="I20:I21"/>
    <mergeCell ref="I22:I23"/>
    <mergeCell ref="A28:A29"/>
    <mergeCell ref="B24:B25"/>
    <mergeCell ref="B26:B27"/>
    <mergeCell ref="A18:A19"/>
    <mergeCell ref="C18:C19"/>
    <mergeCell ref="A20:A21"/>
    <mergeCell ref="C20:C21"/>
    <mergeCell ref="A22:A23"/>
    <mergeCell ref="C22:C23"/>
    <mergeCell ref="B18:B19"/>
    <mergeCell ref="B20:B21"/>
    <mergeCell ref="B22:B23"/>
    <mergeCell ref="I24:I25"/>
    <mergeCell ref="I26:I27"/>
    <mergeCell ref="I28:I29"/>
    <mergeCell ref="J6:J7"/>
    <mergeCell ref="J8:J9"/>
    <mergeCell ref="J10:J11"/>
    <mergeCell ref="J12:J13"/>
    <mergeCell ref="J14:J15"/>
    <mergeCell ref="J16:J17"/>
    <mergeCell ref="J18:J19"/>
    <mergeCell ref="J20:J21"/>
    <mergeCell ref="J22:J23"/>
    <mergeCell ref="J24:J25"/>
    <mergeCell ref="J26:J27"/>
    <mergeCell ref="J28:J29"/>
    <mergeCell ref="I14:I15"/>
  </mergeCells>
  <phoneticPr fontId="1"/>
  <conditionalFormatting sqref="D6:D29">
    <cfRule type="containsBlanks" dxfId="65" priority="1">
      <formula>LEN(TRIM(D6))=0</formula>
    </cfRule>
  </conditionalFormatting>
  <conditionalFormatting sqref="G6:G29">
    <cfRule type="containsText" dxfId="64" priority="2" operator="containsText" text="賃金単価を記載">
      <formula>NOT(ISERROR(SEARCH("賃金単価を記載",G6)))</formula>
    </cfRule>
  </conditionalFormatting>
  <pageMargins left="0.70866141732283472" right="0.70866141732283472" top="0.74803149606299213" bottom="0.74803149606299213" header="0.31496062992125984" footer="0.31496062992125984"/>
  <pageSetup paperSize="9" scale="83"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86D304C-714F-4CB0-BAD4-051EA77509B3}">
          <x14:formula1>
            <xm:f>'②-1職員名簿'!Y$7:Y$107</xm:f>
          </x14:formula1>
          <xm:sqref>D6:D29</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8A585-BAE8-4414-A6C7-57D3A625958E}">
  <sheetPr>
    <tabColor rgb="FF00B050"/>
  </sheetPr>
  <dimension ref="A1:X43"/>
  <sheetViews>
    <sheetView showGridLines="0" view="pageBreakPreview" zoomScaleNormal="100" zoomScaleSheetLayoutView="100" workbookViewId="0">
      <selection activeCell="D8" sqref="D8"/>
    </sheetView>
  </sheetViews>
  <sheetFormatPr defaultRowHeight="15"/>
  <cols>
    <col min="1" max="1" width="8.75" style="336" bestFit="1" customWidth="1"/>
    <col min="2" max="2" width="6.75" style="336" bestFit="1" customWidth="1"/>
    <col min="3" max="3" width="8.25" style="336" customWidth="1"/>
    <col min="4" max="4" width="28.33203125" style="336" customWidth="1"/>
    <col min="5" max="9" width="11.25" style="336" customWidth="1"/>
    <col min="10" max="10" width="15" style="336" customWidth="1"/>
    <col min="11" max="20" width="0" style="336" hidden="1" customWidth="1"/>
    <col min="21" max="16384" width="8.6640625" style="336"/>
  </cols>
  <sheetData>
    <row r="1" spans="1:24" s="481" customFormat="1" ht="25" customHeight="1">
      <c r="A1" s="852" t="s">
        <v>248</v>
      </c>
      <c r="B1" s="852"/>
      <c r="C1" s="852"/>
      <c r="D1" s="852"/>
      <c r="E1" s="852"/>
      <c r="F1" s="852"/>
      <c r="G1" s="852"/>
      <c r="H1" s="852"/>
      <c r="I1" s="852"/>
      <c r="J1" s="852"/>
      <c r="K1" s="480"/>
      <c r="L1" s="480"/>
      <c r="M1" s="480"/>
      <c r="N1" s="480"/>
      <c r="O1" s="480"/>
    </row>
    <row r="2" spans="1:24" s="481" customFormat="1" ht="25" customHeight="1">
      <c r="E2" s="853" t="s">
        <v>91</v>
      </c>
      <c r="F2" s="853"/>
      <c r="G2" s="854">
        <f>①基本情報!D6</f>
        <v>0</v>
      </c>
      <c r="H2" s="854"/>
      <c r="I2" s="854"/>
      <c r="J2" s="854"/>
      <c r="L2" s="481" t="s">
        <v>118</v>
      </c>
    </row>
    <row r="3" spans="1:24">
      <c r="W3" s="336" t="s">
        <v>1510</v>
      </c>
    </row>
    <row r="4" spans="1:24" ht="15" customHeight="1">
      <c r="A4" s="482" t="s">
        <v>247</v>
      </c>
      <c r="B4" s="336" t="s">
        <v>728</v>
      </c>
      <c r="W4" s="455" t="str">
        <f>IF(COUNTIF(W6:W28,"×")&gt;0,"×","〇")</f>
        <v>〇</v>
      </c>
      <c r="X4" s="455" t="str">
        <f>IF(COUNTIF(X6:X29,"×")&gt;0,"×","〇")</f>
        <v>〇</v>
      </c>
    </row>
    <row r="5" spans="1:24" ht="32.25" customHeight="1">
      <c r="B5" s="483" t="s">
        <v>558</v>
      </c>
      <c r="C5" s="483" t="s">
        <v>581</v>
      </c>
      <c r="D5" s="454" t="s">
        <v>236</v>
      </c>
      <c r="E5" s="454" t="s">
        <v>237</v>
      </c>
      <c r="F5" s="454" t="s">
        <v>238</v>
      </c>
      <c r="G5" s="454" t="s">
        <v>239</v>
      </c>
      <c r="H5" s="454" t="s">
        <v>240</v>
      </c>
      <c r="I5" s="454" t="s">
        <v>241</v>
      </c>
      <c r="J5" s="454" t="s">
        <v>242</v>
      </c>
      <c r="L5" s="341" t="s">
        <v>243</v>
      </c>
      <c r="M5" s="850" t="s">
        <v>186</v>
      </c>
      <c r="N5" s="851"/>
      <c r="O5" s="850" t="s">
        <v>187</v>
      </c>
      <c r="P5" s="851"/>
      <c r="Q5" s="850" t="s">
        <v>244</v>
      </c>
      <c r="R5" s="851"/>
      <c r="S5" s="850" t="s">
        <v>245</v>
      </c>
      <c r="T5" s="851"/>
      <c r="W5" s="336" t="s">
        <v>236</v>
      </c>
      <c r="X5" s="455" t="s">
        <v>1511</v>
      </c>
    </row>
    <row r="6" spans="1:24" ht="15" customHeight="1">
      <c r="A6" s="844">
        <v>4</v>
      </c>
      <c r="B6" s="846" t="e">
        <f>加算判定!E4</f>
        <v>#N/A</v>
      </c>
      <c r="C6" s="848" t="e">
        <f>加算判定!F4</f>
        <v>#N/A</v>
      </c>
      <c r="D6" s="546"/>
      <c r="E6" s="486" t="str">
        <f>IF(D6="","",IF(N6="○",M$5,IF(P6="○",O$5,IF(R6="○",Q$5,IF(T6="○",S$5,"ERROR")))))</f>
        <v/>
      </c>
      <c r="F6" s="487" t="str">
        <f>IF(D6="","",IF(N6="○",M6,IF(P6="○",O6,IF(R6="○",Q6,IF(T6="○",S6,"ERROR")))))</f>
        <v/>
      </c>
      <c r="G6" s="545" t="e">
        <f>IF($C6="-","",IF(D6="","",IF($E6="正規職員","-","賃金単価を記載")))</f>
        <v>#N/A</v>
      </c>
      <c r="H6" s="487" t="e">
        <f>IF($C6="","",IF(D6="","",IF($E6="正規職員","-",F6*G6)))</f>
        <v>#N/A</v>
      </c>
      <c r="I6" s="487">
        <f>⑤基本加算１!AB16</f>
        <v>345166.66666667</v>
      </c>
      <c r="J6" s="487">
        <f>IFERROR(IF($C6="-","",IF(D6="",0,IF(E6="正規職員",I6,MIN(H6:I6)))),0)</f>
        <v>0</v>
      </c>
      <c r="K6" s="488" t="str">
        <f>IF(D6="","",IF(COUNTIFS(D6,"*Ｃ6*")=1,"○","エラー"))</f>
        <v/>
      </c>
      <c r="L6" s="343">
        <v>3</v>
      </c>
      <c r="M6" s="343" t="e">
        <f>VLOOKUP($D6&amp;M$5,'②-2勤務時間数入力'!$D$7:$Q$106,$L6,FALSE)</f>
        <v>#N/A</v>
      </c>
      <c r="N6" s="343" t="str">
        <f>IF(ISERROR(M6),"×",IF(M6="-","×","○"))</f>
        <v>×</v>
      </c>
      <c r="O6" s="343" t="e">
        <f>VLOOKUP($D6&amp;O$5,'②-2勤務時間数入力'!$D$7:$Q$106,$L6,FALSE)</f>
        <v>#N/A</v>
      </c>
      <c r="P6" s="343" t="str">
        <f t="shared" ref="P6:P29" si="0">IF(ISERROR(O6),"×",IF(O6="-","×","○"))</f>
        <v>×</v>
      </c>
      <c r="Q6" s="343" t="e">
        <f>VLOOKUP($D6&amp;Q$5,'②-2勤務時間数入力'!$D$7:$Q$106,$L6,FALSE)</f>
        <v>#N/A</v>
      </c>
      <c r="R6" s="343" t="str">
        <f t="shared" ref="R6:R29" si="1">IF(ISERROR(Q6),"×",IF(Q6="-","×","○"))</f>
        <v>×</v>
      </c>
      <c r="S6" s="343" t="e">
        <f>VLOOKUP($D6&amp;S$5,'②-2勤務時間数入力'!$D$7:$Q$106,$L6,FALSE)</f>
        <v>#N/A</v>
      </c>
      <c r="T6" s="343" t="str">
        <f t="shared" ref="T6:T29" si="2">IF(ISERROR(S6),"×",IF(S6="-","×","○"))</f>
        <v>×</v>
      </c>
      <c r="W6" s="455" t="str">
        <f>IFERROR(IF(AND(B6=1,D6="",D7=""),"×","〇"),"〇")</f>
        <v>〇</v>
      </c>
      <c r="X6" s="455" t="str">
        <f>IFERROR(IF(G6="賃金単価を記載","×","〇"),"〇")</f>
        <v>〇</v>
      </c>
    </row>
    <row r="7" spans="1:24" ht="15" customHeight="1">
      <c r="A7" s="845"/>
      <c r="B7" s="847"/>
      <c r="C7" s="849"/>
      <c r="D7" s="546"/>
      <c r="E7" s="486" t="str">
        <f>IF(D7="","",IF(N7="○",M$5,IF(P7="○",O$5,IF(R7="○",Q$5,IF(T7="○",S$5,"ERROR")))))</f>
        <v/>
      </c>
      <c r="F7" s="487" t="str">
        <f t="shared" ref="F7:F29" si="3">IF(D7="","",IF(N7="○",M7,IF(P7="○",O7,IF(R7="○",Q7,IF(T7="○",S7,"ERROR")))))</f>
        <v/>
      </c>
      <c r="G7" s="545" t="e">
        <f>IF($C6="-","",IF(D7="","",IF($E7="正規職員","-","賃金単価を記載")))</f>
        <v>#N/A</v>
      </c>
      <c r="H7" s="487" t="e">
        <f>IF($C6="","",IF(D7="","",IF($E7="正規職員","-",F7*G7)))</f>
        <v>#N/A</v>
      </c>
      <c r="I7" s="487">
        <f>$I$6</f>
        <v>345166.66666667</v>
      </c>
      <c r="J7" s="487">
        <f>IFERROR(IF($C6="-","",IF(D7="","",IF(E7="正規職員",I7-J6,MIN(MIN(H7:I7),I6-J6)))),0)</f>
        <v>0</v>
      </c>
      <c r="K7" s="488" t="str">
        <f>IF(D7="","",IF(COUNTIFS(D7,"*保育士*")=1,"○","エラー"))</f>
        <v/>
      </c>
      <c r="L7" s="343">
        <f>L6</f>
        <v>3</v>
      </c>
      <c r="M7" s="343" t="e">
        <f>VLOOKUP($D7&amp;M$5,'②-2勤務時間数入力'!$D$7:$Q$106,$L7,FALSE)</f>
        <v>#N/A</v>
      </c>
      <c r="N7" s="343" t="str">
        <f t="shared" ref="N7:N29" si="4">IF(ISERROR(M7),"×",IF(M7="-","×","○"))</f>
        <v>×</v>
      </c>
      <c r="O7" s="343" t="e">
        <f>VLOOKUP($D7&amp;O$5,'②-2勤務時間数入力'!$D$7:$Q$106,$L7,FALSE)</f>
        <v>#N/A</v>
      </c>
      <c r="P7" s="343" t="str">
        <f t="shared" si="0"/>
        <v>×</v>
      </c>
      <c r="Q7" s="343" t="e">
        <f>VLOOKUP($D7&amp;Q$5,'②-2勤務時間数入力'!$D$7:$Q$106,$L7,FALSE)</f>
        <v>#N/A</v>
      </c>
      <c r="R7" s="343" t="str">
        <f t="shared" si="1"/>
        <v>×</v>
      </c>
      <c r="S7" s="343" t="e">
        <f>VLOOKUP($D7&amp;S$5,'②-2勤務時間数入力'!$D$7:$Q$106,$L7,FALSE)</f>
        <v>#N/A</v>
      </c>
      <c r="T7" s="343" t="str">
        <f t="shared" si="2"/>
        <v>×</v>
      </c>
      <c r="X7" s="455" t="str">
        <f t="shared" ref="X7:X29" si="5">IFERROR(IF(G7="賃金単価を記載","×","〇"),"〇")</f>
        <v>〇</v>
      </c>
    </row>
    <row r="8" spans="1:24" ht="15" customHeight="1">
      <c r="A8" s="844">
        <v>5</v>
      </c>
      <c r="B8" s="846" t="e">
        <f>加算判定!E5</f>
        <v>#N/A</v>
      </c>
      <c r="C8" s="848" t="e">
        <f>加算判定!F5</f>
        <v>#N/A</v>
      </c>
      <c r="D8" s="546" t="str">
        <f>IF(D6="","",D6)</f>
        <v/>
      </c>
      <c r="E8" s="486" t="str">
        <f t="shared" ref="E8:E29" si="6">IF(D8="","",IF(N8="○",M$5,IF(P8="○",O$5,IF(R8="○",Q$5,IF(T8="○",S$5,"ERROR")))))</f>
        <v/>
      </c>
      <c r="F8" s="487" t="str">
        <f t="shared" si="3"/>
        <v/>
      </c>
      <c r="G8" s="545" t="e">
        <f>IF($C8="-","",IF($E8="正規職員","-",IF(AND(EXACT(C6,C8),EXACT(D6,D8),EXACT(E6,E8)),G6,"賃金単価を記載")))</f>
        <v>#N/A</v>
      </c>
      <c r="H8" s="487" t="e">
        <f>IF($C8="","",IF($E8="正規職員","-",F8*G8))</f>
        <v>#N/A</v>
      </c>
      <c r="I8" s="487">
        <f t="shared" ref="I8:I29" si="7">$I$6</f>
        <v>345166.66666667</v>
      </c>
      <c r="J8" s="487">
        <f t="shared" ref="J8" si="8">IFERROR(IF($C8="-","",IF(D8="",0,IF(E8="正規職員",I8,MIN(H8:I8)))),0)</f>
        <v>0</v>
      </c>
      <c r="K8" s="488" t="str">
        <f t="shared" ref="K8:K29" si="9">IF(D8="","",IF(COUNTIFS(D8,"*Ｃ6*")=1,"○","エラー"))</f>
        <v/>
      </c>
      <c r="L8" s="343">
        <f>L6+1</f>
        <v>4</v>
      </c>
      <c r="M8" s="343" t="e">
        <f>VLOOKUP($D8&amp;M$5,'②-2勤務時間数入力'!$D$7:$Q$106,$L8,FALSE)</f>
        <v>#N/A</v>
      </c>
      <c r="N8" s="343" t="str">
        <f t="shared" si="4"/>
        <v>×</v>
      </c>
      <c r="O8" s="343" t="e">
        <f>VLOOKUP($D8&amp;O$5,'②-2勤務時間数入力'!$D$7:$Q$106,$L8,FALSE)</f>
        <v>#N/A</v>
      </c>
      <c r="P8" s="343" t="str">
        <f t="shared" si="0"/>
        <v>×</v>
      </c>
      <c r="Q8" s="343" t="e">
        <f>VLOOKUP($D8&amp;Q$5,'②-2勤務時間数入力'!$D$7:$Q$106,$L8,FALSE)</f>
        <v>#N/A</v>
      </c>
      <c r="R8" s="343" t="str">
        <f t="shared" si="1"/>
        <v>×</v>
      </c>
      <c r="S8" s="343" t="e">
        <f>VLOOKUP($D8&amp;S$5,'②-2勤務時間数入力'!$D$7:$Q$106,$L8,FALSE)</f>
        <v>#N/A</v>
      </c>
      <c r="T8" s="343" t="str">
        <f t="shared" si="2"/>
        <v>×</v>
      </c>
      <c r="W8" s="455" t="str">
        <f>IFERROR(IF(AND(B8=1,D8="",D9=""),"×","〇"),"〇")</f>
        <v>〇</v>
      </c>
      <c r="X8" s="455" t="str">
        <f t="shared" si="5"/>
        <v>〇</v>
      </c>
    </row>
    <row r="9" spans="1:24" ht="15" customHeight="1">
      <c r="A9" s="845"/>
      <c r="B9" s="847"/>
      <c r="C9" s="849"/>
      <c r="D9" s="546" t="str">
        <f>IF(D7="","",D7)</f>
        <v/>
      </c>
      <c r="E9" s="486" t="str">
        <f t="shared" si="6"/>
        <v/>
      </c>
      <c r="F9" s="487" t="str">
        <f t="shared" si="3"/>
        <v/>
      </c>
      <c r="G9" s="545" t="e">
        <f>IF($C8="-","",IF(D9="","",IF($E9="正規職員","-",IF(AND(EXACT(C6,C8),EXACT(D7,D9),EXACT(E7,E9)),G7,"賃金単価を記載"))))</f>
        <v>#N/A</v>
      </c>
      <c r="H9" s="487" t="e">
        <f>IF($C8="","",IF(D9="","",IF($E9="正規職員","-",F9*G9)))</f>
        <v>#N/A</v>
      </c>
      <c r="I9" s="487">
        <f t="shared" si="7"/>
        <v>345166.66666667</v>
      </c>
      <c r="J9" s="487">
        <f t="shared" ref="J9" si="10">IFERROR(IF($C8="-","",IF(D9="","",IF(E9="正規職員",I9-J8,MIN(MIN(H9:I9),I8-J8)))),0)</f>
        <v>0</v>
      </c>
      <c r="K9" s="488" t="str">
        <f t="shared" si="9"/>
        <v/>
      </c>
      <c r="L9" s="343">
        <f>L8</f>
        <v>4</v>
      </c>
      <c r="M9" s="343" t="e">
        <f>VLOOKUP($D9&amp;M$5,'②-2勤務時間数入力'!$D$7:$Q$106,$L9,FALSE)</f>
        <v>#N/A</v>
      </c>
      <c r="N9" s="343" t="str">
        <f t="shared" si="4"/>
        <v>×</v>
      </c>
      <c r="O9" s="343" t="e">
        <f>VLOOKUP($D9&amp;O$5,'②-2勤務時間数入力'!$D$7:$Q$106,$L9,FALSE)</f>
        <v>#N/A</v>
      </c>
      <c r="P9" s="343" t="str">
        <f t="shared" si="0"/>
        <v>×</v>
      </c>
      <c r="Q9" s="343" t="e">
        <f>VLOOKUP($D9&amp;Q$5,'②-2勤務時間数入力'!$D$7:$Q$106,$L9,FALSE)</f>
        <v>#N/A</v>
      </c>
      <c r="R9" s="343" t="str">
        <f t="shared" si="1"/>
        <v>×</v>
      </c>
      <c r="S9" s="343" t="e">
        <f>VLOOKUP($D9&amp;S$5,'②-2勤務時間数入力'!$D$7:$Q$106,$L9,FALSE)</f>
        <v>#N/A</v>
      </c>
      <c r="T9" s="343" t="str">
        <f t="shared" si="2"/>
        <v>×</v>
      </c>
      <c r="X9" s="455" t="str">
        <f t="shared" si="5"/>
        <v>〇</v>
      </c>
    </row>
    <row r="10" spans="1:24" ht="15" customHeight="1">
      <c r="A10" s="844">
        <v>6</v>
      </c>
      <c r="B10" s="846" t="e">
        <f>加算判定!E6</f>
        <v>#N/A</v>
      </c>
      <c r="C10" s="848" t="e">
        <f>加算判定!F6</f>
        <v>#N/A</v>
      </c>
      <c r="D10" s="546" t="str">
        <f t="shared" ref="D10:D28" si="11">IF(D8="","",D8)</f>
        <v/>
      </c>
      <c r="E10" s="486" t="str">
        <f t="shared" si="6"/>
        <v/>
      </c>
      <c r="F10" s="487" t="str">
        <f t="shared" si="3"/>
        <v/>
      </c>
      <c r="G10" s="545" t="e">
        <f>IF($C10="-","",IF($E10="正規職員","-",IF(AND(EXACT(C8,C10),EXACT(D8,D10),EXACT(E8,E10)),G8,"賃金単価を記載")))</f>
        <v>#N/A</v>
      </c>
      <c r="H10" s="487" t="e">
        <f>IF($C10="","",IF($E10="正規職員","-",F10*G10))</f>
        <v>#N/A</v>
      </c>
      <c r="I10" s="487">
        <f t="shared" si="7"/>
        <v>345166.66666667</v>
      </c>
      <c r="J10" s="487">
        <f t="shared" ref="J10" si="12">IFERROR(IF($C10="-","",IF(D10="",0,IF(E10="正規職員",I10,MIN(H10:I10)))),0)</f>
        <v>0</v>
      </c>
      <c r="K10" s="488" t="str">
        <f t="shared" si="9"/>
        <v/>
      </c>
      <c r="L10" s="343">
        <f t="shared" ref="L10" si="13">L8+1</f>
        <v>5</v>
      </c>
      <c r="M10" s="343" t="e">
        <f>VLOOKUP($D10&amp;M$5,'②-2勤務時間数入力'!$D$7:$Q$106,$L10,FALSE)</f>
        <v>#N/A</v>
      </c>
      <c r="N10" s="343" t="str">
        <f t="shared" si="4"/>
        <v>×</v>
      </c>
      <c r="O10" s="343" t="e">
        <f>VLOOKUP($D10&amp;O$5,'②-2勤務時間数入力'!$D$7:$Q$106,$L10,FALSE)</f>
        <v>#N/A</v>
      </c>
      <c r="P10" s="343" t="str">
        <f t="shared" si="0"/>
        <v>×</v>
      </c>
      <c r="Q10" s="343" t="e">
        <f>VLOOKUP($D10&amp;Q$5,'②-2勤務時間数入力'!$D$7:$Q$106,$L10,FALSE)</f>
        <v>#N/A</v>
      </c>
      <c r="R10" s="343" t="str">
        <f t="shared" si="1"/>
        <v>×</v>
      </c>
      <c r="S10" s="343" t="e">
        <f>VLOOKUP($D10&amp;S$5,'②-2勤務時間数入力'!$D$7:$Q$106,$L10,FALSE)</f>
        <v>#N/A</v>
      </c>
      <c r="T10" s="343" t="str">
        <f t="shared" si="2"/>
        <v>×</v>
      </c>
      <c r="W10" s="455" t="str">
        <f>IFERROR(IF(AND(B10=1,D10="",D11=""),"×","〇"),"〇")</f>
        <v>〇</v>
      </c>
      <c r="X10" s="455" t="str">
        <f t="shared" si="5"/>
        <v>〇</v>
      </c>
    </row>
    <row r="11" spans="1:24" ht="15" customHeight="1">
      <c r="A11" s="845"/>
      <c r="B11" s="847"/>
      <c r="C11" s="849"/>
      <c r="D11" s="546" t="str">
        <f t="shared" si="11"/>
        <v/>
      </c>
      <c r="E11" s="486" t="str">
        <f t="shared" si="6"/>
        <v/>
      </c>
      <c r="F11" s="487" t="str">
        <f t="shared" si="3"/>
        <v/>
      </c>
      <c r="G11" s="545" t="e">
        <f>IF($C10="-","",IF(D11="","",IF($E11="正規職員","-",IF(AND(EXACT(C8,C10),EXACT(D9,D11),EXACT(E9,E11)),G9,"賃金単価を記載"))))</f>
        <v>#N/A</v>
      </c>
      <c r="H11" s="487" t="e">
        <f>IF($C10="","",IF(D11="","",IF($E11="正規職員","-",F11*G11)))</f>
        <v>#N/A</v>
      </c>
      <c r="I11" s="487">
        <f t="shared" si="7"/>
        <v>345166.66666667</v>
      </c>
      <c r="J11" s="487">
        <f t="shared" ref="J11" si="14">IFERROR(IF($C10="-","",IF(D11="","",IF(E11="正規職員",I11-J10,MIN(MIN(H11:I11),I10-J10)))),0)</f>
        <v>0</v>
      </c>
      <c r="K11" s="488" t="str">
        <f t="shared" si="9"/>
        <v/>
      </c>
      <c r="L11" s="343">
        <f t="shared" ref="L11" si="15">L10</f>
        <v>5</v>
      </c>
      <c r="M11" s="343" t="e">
        <f>VLOOKUP($D11&amp;M$5,'②-2勤務時間数入力'!$D$7:$Q$106,$L11,FALSE)</f>
        <v>#N/A</v>
      </c>
      <c r="N11" s="343" t="str">
        <f t="shared" si="4"/>
        <v>×</v>
      </c>
      <c r="O11" s="343" t="e">
        <f>VLOOKUP($D11&amp;O$5,'②-2勤務時間数入力'!$D$7:$Q$106,$L11,FALSE)</f>
        <v>#N/A</v>
      </c>
      <c r="P11" s="343" t="str">
        <f t="shared" si="0"/>
        <v>×</v>
      </c>
      <c r="Q11" s="343" t="e">
        <f>VLOOKUP($D11&amp;Q$5,'②-2勤務時間数入力'!$D$7:$Q$106,$L11,FALSE)</f>
        <v>#N/A</v>
      </c>
      <c r="R11" s="343" t="str">
        <f t="shared" si="1"/>
        <v>×</v>
      </c>
      <c r="S11" s="343" t="e">
        <f>VLOOKUP($D11&amp;S$5,'②-2勤務時間数入力'!$D$7:$Q$106,$L11,FALSE)</f>
        <v>#N/A</v>
      </c>
      <c r="T11" s="343" t="str">
        <f t="shared" si="2"/>
        <v>×</v>
      </c>
      <c r="X11" s="455" t="str">
        <f t="shared" si="5"/>
        <v>〇</v>
      </c>
    </row>
    <row r="12" spans="1:24" ht="15" customHeight="1">
      <c r="A12" s="844">
        <v>7</v>
      </c>
      <c r="B12" s="846" t="e">
        <f>加算判定!E7</f>
        <v>#N/A</v>
      </c>
      <c r="C12" s="848" t="e">
        <f>加算判定!F7</f>
        <v>#N/A</v>
      </c>
      <c r="D12" s="546" t="str">
        <f t="shared" si="11"/>
        <v/>
      </c>
      <c r="E12" s="486" t="str">
        <f t="shared" si="6"/>
        <v/>
      </c>
      <c r="F12" s="487" t="str">
        <f t="shared" si="3"/>
        <v/>
      </c>
      <c r="G12" s="545" t="e">
        <f>IF($C12="-","",IF($E12="正規職員","-",IF(AND(EXACT(C10,C12),EXACT(D10,D12),EXACT(E10,E12)),G10,"賃金単価を記載")))</f>
        <v>#N/A</v>
      </c>
      <c r="H12" s="487" t="e">
        <f>IF($C12="","",IF($E12="正規職員","-",F12*G12))</f>
        <v>#N/A</v>
      </c>
      <c r="I12" s="487">
        <f t="shared" si="7"/>
        <v>345166.66666667</v>
      </c>
      <c r="J12" s="487">
        <f t="shared" ref="J12" si="16">IFERROR(IF($C12="-","",IF(D12="",0,IF(E12="正規職員",I12,MIN(H12:I12)))),0)</f>
        <v>0</v>
      </c>
      <c r="K12" s="488" t="str">
        <f t="shared" si="9"/>
        <v/>
      </c>
      <c r="L12" s="343">
        <f t="shared" ref="L12" si="17">L10+1</f>
        <v>6</v>
      </c>
      <c r="M12" s="343" t="e">
        <f>VLOOKUP($D12&amp;M$5,'②-2勤務時間数入力'!$D$7:$Q$106,$L12,FALSE)</f>
        <v>#N/A</v>
      </c>
      <c r="N12" s="343" t="str">
        <f t="shared" si="4"/>
        <v>×</v>
      </c>
      <c r="O12" s="343" t="e">
        <f>VLOOKUP($D12&amp;O$5,'②-2勤務時間数入力'!$D$7:$Q$106,$L12,FALSE)</f>
        <v>#N/A</v>
      </c>
      <c r="P12" s="343" t="str">
        <f t="shared" si="0"/>
        <v>×</v>
      </c>
      <c r="Q12" s="343" t="e">
        <f>VLOOKUP($D12&amp;Q$5,'②-2勤務時間数入力'!$D$7:$Q$106,$L12,FALSE)</f>
        <v>#N/A</v>
      </c>
      <c r="R12" s="343" t="str">
        <f t="shared" si="1"/>
        <v>×</v>
      </c>
      <c r="S12" s="343" t="e">
        <f>VLOOKUP($D12&amp;S$5,'②-2勤務時間数入力'!$D$7:$Q$106,$L12,FALSE)</f>
        <v>#N/A</v>
      </c>
      <c r="T12" s="343" t="str">
        <f t="shared" si="2"/>
        <v>×</v>
      </c>
      <c r="W12" s="455" t="str">
        <f>IFERROR(IF(AND(B12=1,D12="",D13=""),"×","〇"),"〇")</f>
        <v>〇</v>
      </c>
      <c r="X12" s="455" t="str">
        <f t="shared" si="5"/>
        <v>〇</v>
      </c>
    </row>
    <row r="13" spans="1:24" ht="15" customHeight="1">
      <c r="A13" s="845"/>
      <c r="B13" s="847"/>
      <c r="C13" s="849"/>
      <c r="D13" s="546" t="str">
        <f t="shared" si="11"/>
        <v/>
      </c>
      <c r="E13" s="486" t="str">
        <f t="shared" si="6"/>
        <v/>
      </c>
      <c r="F13" s="487" t="str">
        <f t="shared" si="3"/>
        <v/>
      </c>
      <c r="G13" s="545" t="e">
        <f>IF($C12="-","",IF(D13="","",IF($E13="正規職員","-",IF(AND(EXACT(C10,C12),EXACT(D11,D13),EXACT(E11,E13)),G11,"賃金単価を記載"))))</f>
        <v>#N/A</v>
      </c>
      <c r="H13" s="487" t="e">
        <f>IF($C12="","",IF(D13="","",IF($E13="正規職員","-",F13*G13)))</f>
        <v>#N/A</v>
      </c>
      <c r="I13" s="487">
        <f t="shared" si="7"/>
        <v>345166.66666667</v>
      </c>
      <c r="J13" s="487">
        <f t="shared" ref="J13" si="18">IFERROR(IF($C12="-","",IF(D13="","",IF(E13="正規職員",I13-J12,MIN(MIN(H13:I13),I12-J12)))),0)</f>
        <v>0</v>
      </c>
      <c r="K13" s="488" t="str">
        <f t="shared" si="9"/>
        <v/>
      </c>
      <c r="L13" s="343">
        <f t="shared" ref="L13" si="19">L12</f>
        <v>6</v>
      </c>
      <c r="M13" s="343" t="e">
        <f>VLOOKUP($D13&amp;M$5,'②-2勤務時間数入力'!$D$7:$Q$106,$L13,FALSE)</f>
        <v>#N/A</v>
      </c>
      <c r="N13" s="343" t="str">
        <f t="shared" si="4"/>
        <v>×</v>
      </c>
      <c r="O13" s="343" t="e">
        <f>VLOOKUP($D13&amp;O$5,'②-2勤務時間数入力'!$D$7:$Q$106,$L13,FALSE)</f>
        <v>#N/A</v>
      </c>
      <c r="P13" s="343" t="str">
        <f t="shared" si="0"/>
        <v>×</v>
      </c>
      <c r="Q13" s="343" t="e">
        <f>VLOOKUP($D13&amp;Q$5,'②-2勤務時間数入力'!$D$7:$Q$106,$L13,FALSE)</f>
        <v>#N/A</v>
      </c>
      <c r="R13" s="343" t="str">
        <f t="shared" si="1"/>
        <v>×</v>
      </c>
      <c r="S13" s="343" t="e">
        <f>VLOOKUP($D13&amp;S$5,'②-2勤務時間数入力'!$D$7:$Q$106,$L13,FALSE)</f>
        <v>#N/A</v>
      </c>
      <c r="T13" s="343" t="str">
        <f t="shared" si="2"/>
        <v>×</v>
      </c>
      <c r="X13" s="455" t="str">
        <f t="shared" si="5"/>
        <v>〇</v>
      </c>
    </row>
    <row r="14" spans="1:24" ht="15" customHeight="1">
      <c r="A14" s="844">
        <v>8</v>
      </c>
      <c r="B14" s="846" t="e">
        <f>加算判定!E8</f>
        <v>#N/A</v>
      </c>
      <c r="C14" s="848" t="e">
        <f>加算判定!F8</f>
        <v>#N/A</v>
      </c>
      <c r="D14" s="546" t="str">
        <f t="shared" si="11"/>
        <v/>
      </c>
      <c r="E14" s="486" t="str">
        <f t="shared" si="6"/>
        <v/>
      </c>
      <c r="F14" s="487" t="str">
        <f t="shared" si="3"/>
        <v/>
      </c>
      <c r="G14" s="545" t="e">
        <f>IF($C14="-","",IF($E14="正規職員","-",IF(AND(EXACT(C12,C14),EXACT(D12,D14),EXACT(E12,E14)),G12,"賃金単価を記載")))</f>
        <v>#N/A</v>
      </c>
      <c r="H14" s="487" t="e">
        <f>IF($C14="","",IF($E14="正規職員","-",F14*G14))</f>
        <v>#N/A</v>
      </c>
      <c r="I14" s="487">
        <f t="shared" si="7"/>
        <v>345166.66666667</v>
      </c>
      <c r="J14" s="487">
        <f t="shared" ref="J14" si="20">IFERROR(IF($C14="-","",IF(D14="",0,IF(E14="正規職員",I14,MIN(H14:I14)))),0)</f>
        <v>0</v>
      </c>
      <c r="K14" s="488" t="str">
        <f t="shared" si="9"/>
        <v/>
      </c>
      <c r="L14" s="343">
        <f t="shared" ref="L14" si="21">L12+1</f>
        <v>7</v>
      </c>
      <c r="M14" s="343" t="e">
        <f>VLOOKUP($D14&amp;M$5,'②-2勤務時間数入力'!$D$7:$Q$106,$L14,FALSE)</f>
        <v>#N/A</v>
      </c>
      <c r="N14" s="343" t="str">
        <f t="shared" si="4"/>
        <v>×</v>
      </c>
      <c r="O14" s="343" t="e">
        <f>VLOOKUP($D14&amp;O$5,'②-2勤務時間数入力'!$D$7:$Q$106,$L14,FALSE)</f>
        <v>#N/A</v>
      </c>
      <c r="P14" s="343" t="str">
        <f t="shared" si="0"/>
        <v>×</v>
      </c>
      <c r="Q14" s="343" t="e">
        <f>VLOOKUP($D14&amp;Q$5,'②-2勤務時間数入力'!$D$7:$Q$106,$L14,FALSE)</f>
        <v>#N/A</v>
      </c>
      <c r="R14" s="343" t="str">
        <f t="shared" si="1"/>
        <v>×</v>
      </c>
      <c r="S14" s="343" t="e">
        <f>VLOOKUP($D14&amp;S$5,'②-2勤務時間数入力'!$D$7:$Q$106,$L14,FALSE)</f>
        <v>#N/A</v>
      </c>
      <c r="T14" s="343" t="str">
        <f t="shared" si="2"/>
        <v>×</v>
      </c>
      <c r="W14" s="455" t="str">
        <f>IFERROR(IF(AND(B14=1,D14="",D15=""),"×","〇"),"〇")</f>
        <v>〇</v>
      </c>
      <c r="X14" s="455" t="str">
        <f t="shared" si="5"/>
        <v>〇</v>
      </c>
    </row>
    <row r="15" spans="1:24" ht="15" customHeight="1">
      <c r="A15" s="845"/>
      <c r="B15" s="847"/>
      <c r="C15" s="849"/>
      <c r="D15" s="546" t="str">
        <f t="shared" si="11"/>
        <v/>
      </c>
      <c r="E15" s="486" t="str">
        <f t="shared" si="6"/>
        <v/>
      </c>
      <c r="F15" s="487" t="str">
        <f t="shared" si="3"/>
        <v/>
      </c>
      <c r="G15" s="545" t="e">
        <f>IF($C14="-","",IF(D15="","",IF($E15="正規職員","-",IF(AND(EXACT(C12,C14),EXACT(D13,D15),EXACT(E13,E15)),G13,"賃金単価を記載"))))</f>
        <v>#N/A</v>
      </c>
      <c r="H15" s="487" t="e">
        <f>IF($C14="","",IF(D15="","",IF($E15="正規職員","-",F15*G15)))</f>
        <v>#N/A</v>
      </c>
      <c r="I15" s="487">
        <f t="shared" si="7"/>
        <v>345166.66666667</v>
      </c>
      <c r="J15" s="487">
        <f t="shared" ref="J15" si="22">IFERROR(IF($C14="-","",IF(D15="","",IF(E15="正規職員",I15-J14,MIN(MIN(H15:I15),I14-J14)))),0)</f>
        <v>0</v>
      </c>
      <c r="K15" s="488" t="str">
        <f t="shared" si="9"/>
        <v/>
      </c>
      <c r="L15" s="343">
        <f t="shared" ref="L15" si="23">L14</f>
        <v>7</v>
      </c>
      <c r="M15" s="343" t="e">
        <f>VLOOKUP($D15&amp;M$5,'②-2勤務時間数入力'!$D$7:$Q$106,$L15,FALSE)</f>
        <v>#N/A</v>
      </c>
      <c r="N15" s="343" t="str">
        <f t="shared" si="4"/>
        <v>×</v>
      </c>
      <c r="O15" s="343" t="e">
        <f>VLOOKUP($D15&amp;O$5,'②-2勤務時間数入力'!$D$7:$Q$106,$L15,FALSE)</f>
        <v>#N/A</v>
      </c>
      <c r="P15" s="343" t="str">
        <f t="shared" si="0"/>
        <v>×</v>
      </c>
      <c r="Q15" s="343" t="e">
        <f>VLOOKUP($D15&amp;Q$5,'②-2勤務時間数入力'!$D$7:$Q$106,$L15,FALSE)</f>
        <v>#N/A</v>
      </c>
      <c r="R15" s="343" t="str">
        <f t="shared" si="1"/>
        <v>×</v>
      </c>
      <c r="S15" s="343" t="e">
        <f>VLOOKUP($D15&amp;S$5,'②-2勤務時間数入力'!$D$7:$Q$106,$L15,FALSE)</f>
        <v>#N/A</v>
      </c>
      <c r="T15" s="343" t="str">
        <f t="shared" si="2"/>
        <v>×</v>
      </c>
      <c r="X15" s="455" t="str">
        <f t="shared" si="5"/>
        <v>〇</v>
      </c>
    </row>
    <row r="16" spans="1:24" ht="15" customHeight="1">
      <c r="A16" s="844">
        <v>9</v>
      </c>
      <c r="B16" s="846" t="e">
        <f>加算判定!E9</f>
        <v>#N/A</v>
      </c>
      <c r="C16" s="848" t="e">
        <f>加算判定!F9</f>
        <v>#N/A</v>
      </c>
      <c r="D16" s="546" t="str">
        <f t="shared" si="11"/>
        <v/>
      </c>
      <c r="E16" s="486" t="str">
        <f t="shared" si="6"/>
        <v/>
      </c>
      <c r="F16" s="487" t="str">
        <f t="shared" si="3"/>
        <v/>
      </c>
      <c r="G16" s="545" t="e">
        <f>IF($C16="-","",IF($E16="正規職員","-",IF(AND(EXACT(C14,C16),EXACT(D14,D16),EXACT(E14,E16)),G14,"賃金単価を記載")))</f>
        <v>#N/A</v>
      </c>
      <c r="H16" s="487" t="e">
        <f>IF($C16="","",IF($E16="正規職員","-",F16*G16))</f>
        <v>#N/A</v>
      </c>
      <c r="I16" s="487">
        <f t="shared" si="7"/>
        <v>345166.66666667</v>
      </c>
      <c r="J16" s="487">
        <f t="shared" ref="J16" si="24">IFERROR(IF($C16="-","",IF(D16="",0,IF(E16="正規職員",I16,MIN(H16:I16)))),0)</f>
        <v>0</v>
      </c>
      <c r="K16" s="488" t="str">
        <f t="shared" si="9"/>
        <v/>
      </c>
      <c r="L16" s="343">
        <f t="shared" ref="L16" si="25">L14+1</f>
        <v>8</v>
      </c>
      <c r="M16" s="343" t="e">
        <f>VLOOKUP($D16&amp;M$5,'②-2勤務時間数入力'!$D$7:$Q$106,$L16,FALSE)</f>
        <v>#N/A</v>
      </c>
      <c r="N16" s="343" t="str">
        <f t="shared" si="4"/>
        <v>×</v>
      </c>
      <c r="O16" s="343" t="e">
        <f>VLOOKUP($D16&amp;O$5,'②-2勤務時間数入力'!$D$7:$Q$106,$L16,FALSE)</f>
        <v>#N/A</v>
      </c>
      <c r="P16" s="343" t="str">
        <f t="shared" si="0"/>
        <v>×</v>
      </c>
      <c r="Q16" s="343" t="e">
        <f>VLOOKUP($D16&amp;Q$5,'②-2勤務時間数入力'!$D$7:$Q$106,$L16,FALSE)</f>
        <v>#N/A</v>
      </c>
      <c r="R16" s="343" t="str">
        <f t="shared" si="1"/>
        <v>×</v>
      </c>
      <c r="S16" s="343" t="e">
        <f>VLOOKUP($D16&amp;S$5,'②-2勤務時間数入力'!$D$7:$Q$106,$L16,FALSE)</f>
        <v>#N/A</v>
      </c>
      <c r="T16" s="343" t="str">
        <f t="shared" si="2"/>
        <v>×</v>
      </c>
      <c r="W16" s="455" t="str">
        <f>IFERROR(IF(AND(B16=1,D16="",D17=""),"×","〇"),"〇")</f>
        <v>〇</v>
      </c>
      <c r="X16" s="455" t="str">
        <f t="shared" si="5"/>
        <v>〇</v>
      </c>
    </row>
    <row r="17" spans="1:24" ht="15" customHeight="1">
      <c r="A17" s="845"/>
      <c r="B17" s="847"/>
      <c r="C17" s="849"/>
      <c r="D17" s="546" t="str">
        <f t="shared" si="11"/>
        <v/>
      </c>
      <c r="E17" s="486" t="str">
        <f t="shared" si="6"/>
        <v/>
      </c>
      <c r="F17" s="487" t="str">
        <f t="shared" si="3"/>
        <v/>
      </c>
      <c r="G17" s="545" t="e">
        <f>IF($C16="-","",IF(D17="","",IF($E17="正規職員","-",IF(AND(EXACT(C14,C16),EXACT(D15,D17),EXACT(E15,E17)),G15,"賃金単価を記載"))))</f>
        <v>#N/A</v>
      </c>
      <c r="H17" s="487" t="e">
        <f>IF($C16="","",IF(D17="","",IF($E17="正規職員","-",F17*G17)))</f>
        <v>#N/A</v>
      </c>
      <c r="I17" s="487">
        <f t="shared" si="7"/>
        <v>345166.66666667</v>
      </c>
      <c r="J17" s="487">
        <f t="shared" ref="J17" si="26">IFERROR(IF($C16="-","",IF(D17="","",IF(E17="正規職員",I17-J16,MIN(MIN(H17:I17),I16-J16)))),0)</f>
        <v>0</v>
      </c>
      <c r="K17" s="488" t="str">
        <f t="shared" si="9"/>
        <v/>
      </c>
      <c r="L17" s="343">
        <f t="shared" ref="L17" si="27">L16</f>
        <v>8</v>
      </c>
      <c r="M17" s="343" t="e">
        <f>VLOOKUP($D17&amp;M$5,'②-2勤務時間数入力'!$D$7:$Q$106,$L17,FALSE)</f>
        <v>#N/A</v>
      </c>
      <c r="N17" s="343" t="str">
        <f t="shared" si="4"/>
        <v>×</v>
      </c>
      <c r="O17" s="343" t="e">
        <f>VLOOKUP($D17&amp;O$5,'②-2勤務時間数入力'!$D$7:$Q$106,$L17,FALSE)</f>
        <v>#N/A</v>
      </c>
      <c r="P17" s="343" t="str">
        <f t="shared" si="0"/>
        <v>×</v>
      </c>
      <c r="Q17" s="343" t="e">
        <f>VLOOKUP($D17&amp;Q$5,'②-2勤務時間数入力'!$D$7:$Q$106,$L17,FALSE)</f>
        <v>#N/A</v>
      </c>
      <c r="R17" s="343" t="str">
        <f t="shared" si="1"/>
        <v>×</v>
      </c>
      <c r="S17" s="343" t="e">
        <f>VLOOKUP($D17&amp;S$5,'②-2勤務時間数入力'!$D$7:$Q$106,$L17,FALSE)</f>
        <v>#N/A</v>
      </c>
      <c r="T17" s="343" t="str">
        <f t="shared" si="2"/>
        <v>×</v>
      </c>
      <c r="X17" s="455" t="str">
        <f t="shared" si="5"/>
        <v>〇</v>
      </c>
    </row>
    <row r="18" spans="1:24" ht="15" customHeight="1">
      <c r="A18" s="844">
        <v>10</v>
      </c>
      <c r="B18" s="846" t="e">
        <f>加算判定!E10</f>
        <v>#N/A</v>
      </c>
      <c r="C18" s="848" t="e">
        <f>加算判定!F10</f>
        <v>#N/A</v>
      </c>
      <c r="D18" s="546" t="str">
        <f t="shared" si="11"/>
        <v/>
      </c>
      <c r="E18" s="486" t="str">
        <f t="shared" si="6"/>
        <v/>
      </c>
      <c r="F18" s="487" t="str">
        <f t="shared" si="3"/>
        <v/>
      </c>
      <c r="G18" s="545" t="e">
        <f>IF($C18="-","",IF($E18="正規職員","-",IF(AND(EXACT(C16,C18),EXACT(D16,D18),EXACT(E16,E18)),G16,"賃金単価を記載")))</f>
        <v>#N/A</v>
      </c>
      <c r="H18" s="487" t="e">
        <f>IF($C18="","",IF($E18="正規職員","-",F18*G18))</f>
        <v>#N/A</v>
      </c>
      <c r="I18" s="487">
        <f t="shared" si="7"/>
        <v>345166.66666667</v>
      </c>
      <c r="J18" s="487">
        <f t="shared" ref="J18" si="28">IFERROR(IF($C18="-","",IF(D18="",0,IF(E18="正規職員",I18,MIN(H18:I18)))),0)</f>
        <v>0</v>
      </c>
      <c r="K18" s="488" t="str">
        <f t="shared" si="9"/>
        <v/>
      </c>
      <c r="L18" s="343">
        <f t="shared" ref="L18" si="29">L16+1</f>
        <v>9</v>
      </c>
      <c r="M18" s="343" t="e">
        <f>VLOOKUP($D18&amp;M$5,'②-2勤務時間数入力'!$D$7:$Q$106,$L18,FALSE)</f>
        <v>#N/A</v>
      </c>
      <c r="N18" s="343" t="str">
        <f t="shared" si="4"/>
        <v>×</v>
      </c>
      <c r="O18" s="343" t="e">
        <f>VLOOKUP($D18&amp;O$5,'②-2勤務時間数入力'!$D$7:$Q$106,$L18,FALSE)</f>
        <v>#N/A</v>
      </c>
      <c r="P18" s="343" t="str">
        <f t="shared" si="0"/>
        <v>×</v>
      </c>
      <c r="Q18" s="343" t="e">
        <f>VLOOKUP($D18&amp;Q$5,'②-2勤務時間数入力'!$D$7:$Q$106,$L18,FALSE)</f>
        <v>#N/A</v>
      </c>
      <c r="R18" s="343" t="str">
        <f t="shared" si="1"/>
        <v>×</v>
      </c>
      <c r="S18" s="343" t="e">
        <f>VLOOKUP($D18&amp;S$5,'②-2勤務時間数入力'!$D$7:$Q$106,$L18,FALSE)</f>
        <v>#N/A</v>
      </c>
      <c r="T18" s="343" t="str">
        <f t="shared" si="2"/>
        <v>×</v>
      </c>
      <c r="W18" s="455" t="str">
        <f>IFERROR(IF(AND(B18=1,D18="",D19=""),"×","〇"),"〇")</f>
        <v>〇</v>
      </c>
      <c r="X18" s="455" t="str">
        <f t="shared" si="5"/>
        <v>〇</v>
      </c>
    </row>
    <row r="19" spans="1:24" ht="15" customHeight="1">
      <c r="A19" s="845"/>
      <c r="B19" s="847"/>
      <c r="C19" s="849"/>
      <c r="D19" s="546" t="str">
        <f t="shared" si="11"/>
        <v/>
      </c>
      <c r="E19" s="486" t="str">
        <f t="shared" si="6"/>
        <v/>
      </c>
      <c r="F19" s="487" t="str">
        <f t="shared" si="3"/>
        <v/>
      </c>
      <c r="G19" s="545" t="e">
        <f>IF($C18="-","",IF(D19="","",IF($E19="正規職員","-",IF(AND(EXACT(C16,C18),EXACT(D17,D19),EXACT(E17,E19)),G17,"賃金単価を記載"))))</f>
        <v>#N/A</v>
      </c>
      <c r="H19" s="487" t="e">
        <f>IF($C18="","",IF(D19="","",IF($E19="正規職員","-",F19*G19)))</f>
        <v>#N/A</v>
      </c>
      <c r="I19" s="487">
        <f t="shared" si="7"/>
        <v>345166.66666667</v>
      </c>
      <c r="J19" s="487">
        <f t="shared" ref="J19" si="30">IFERROR(IF($C18="-","",IF(D19="","",IF(E19="正規職員",I19-J18,MIN(MIN(H19:I19),I18-J18)))),0)</f>
        <v>0</v>
      </c>
      <c r="K19" s="488" t="str">
        <f t="shared" si="9"/>
        <v/>
      </c>
      <c r="L19" s="343">
        <f t="shared" ref="L19" si="31">L18</f>
        <v>9</v>
      </c>
      <c r="M19" s="343" t="e">
        <f>VLOOKUP($D19&amp;M$5,'②-2勤務時間数入力'!$D$7:$Q$106,$L19,FALSE)</f>
        <v>#N/A</v>
      </c>
      <c r="N19" s="343" t="str">
        <f t="shared" si="4"/>
        <v>×</v>
      </c>
      <c r="O19" s="343" t="e">
        <f>VLOOKUP($D19&amp;O$5,'②-2勤務時間数入力'!$D$7:$Q$106,$L19,FALSE)</f>
        <v>#N/A</v>
      </c>
      <c r="P19" s="343" t="str">
        <f t="shared" si="0"/>
        <v>×</v>
      </c>
      <c r="Q19" s="343" t="e">
        <f>VLOOKUP($D19&amp;Q$5,'②-2勤務時間数入力'!$D$7:$Q$106,$L19,FALSE)</f>
        <v>#N/A</v>
      </c>
      <c r="R19" s="343" t="str">
        <f t="shared" si="1"/>
        <v>×</v>
      </c>
      <c r="S19" s="343" t="e">
        <f>VLOOKUP($D19&amp;S$5,'②-2勤務時間数入力'!$D$7:$Q$106,$L19,FALSE)</f>
        <v>#N/A</v>
      </c>
      <c r="T19" s="343" t="str">
        <f t="shared" si="2"/>
        <v>×</v>
      </c>
      <c r="X19" s="455" t="str">
        <f t="shared" si="5"/>
        <v>〇</v>
      </c>
    </row>
    <row r="20" spans="1:24" ht="15" customHeight="1">
      <c r="A20" s="844">
        <v>11</v>
      </c>
      <c r="B20" s="846" t="e">
        <f>加算判定!E11</f>
        <v>#N/A</v>
      </c>
      <c r="C20" s="848" t="e">
        <f>加算判定!F11</f>
        <v>#N/A</v>
      </c>
      <c r="D20" s="546" t="str">
        <f t="shared" si="11"/>
        <v/>
      </c>
      <c r="E20" s="486" t="str">
        <f t="shared" si="6"/>
        <v/>
      </c>
      <c r="F20" s="487" t="str">
        <f t="shared" si="3"/>
        <v/>
      </c>
      <c r="G20" s="545" t="e">
        <f>IF($C20="-","",IF($E20="正規職員","-",IF(AND(EXACT(C18,C20),EXACT(D18,D20),EXACT(E18,E20)),G18,"賃金単価を記載")))</f>
        <v>#N/A</v>
      </c>
      <c r="H20" s="487" t="e">
        <f>IF($C20="","",IF($E20="正規職員","-",F20*G20))</f>
        <v>#N/A</v>
      </c>
      <c r="I20" s="487">
        <f t="shared" si="7"/>
        <v>345166.66666667</v>
      </c>
      <c r="J20" s="487">
        <f t="shared" ref="J20" si="32">IFERROR(IF($C20="-","",IF(D20="",0,IF(E20="正規職員",I20,MIN(H20:I20)))),0)</f>
        <v>0</v>
      </c>
      <c r="K20" s="488" t="str">
        <f t="shared" si="9"/>
        <v/>
      </c>
      <c r="L20" s="343">
        <f t="shared" ref="L20" si="33">L18+1</f>
        <v>10</v>
      </c>
      <c r="M20" s="343" t="e">
        <f>VLOOKUP($D20&amp;M$5,'②-2勤務時間数入力'!$D$7:$Q$106,$L20,FALSE)</f>
        <v>#N/A</v>
      </c>
      <c r="N20" s="343" t="str">
        <f t="shared" si="4"/>
        <v>×</v>
      </c>
      <c r="O20" s="343" t="e">
        <f>VLOOKUP($D20&amp;O$5,'②-2勤務時間数入力'!$D$7:$Q$106,$L20,FALSE)</f>
        <v>#N/A</v>
      </c>
      <c r="P20" s="343" t="str">
        <f t="shared" si="0"/>
        <v>×</v>
      </c>
      <c r="Q20" s="343" t="e">
        <f>VLOOKUP($D20&amp;Q$5,'②-2勤務時間数入力'!$D$7:$Q$106,$L20,FALSE)</f>
        <v>#N/A</v>
      </c>
      <c r="R20" s="343" t="str">
        <f t="shared" si="1"/>
        <v>×</v>
      </c>
      <c r="S20" s="343" t="e">
        <f>VLOOKUP($D20&amp;S$5,'②-2勤務時間数入力'!$D$7:$Q$106,$L20,FALSE)</f>
        <v>#N/A</v>
      </c>
      <c r="T20" s="343" t="str">
        <f t="shared" si="2"/>
        <v>×</v>
      </c>
      <c r="W20" s="455" t="str">
        <f>IFERROR(IF(AND(B20=1,D20="",D21=""),"×","〇"),"〇")</f>
        <v>〇</v>
      </c>
      <c r="X20" s="455" t="str">
        <f t="shared" si="5"/>
        <v>〇</v>
      </c>
    </row>
    <row r="21" spans="1:24" ht="15" customHeight="1">
      <c r="A21" s="845"/>
      <c r="B21" s="847"/>
      <c r="C21" s="849"/>
      <c r="D21" s="546" t="str">
        <f t="shared" si="11"/>
        <v/>
      </c>
      <c r="E21" s="486" t="str">
        <f t="shared" si="6"/>
        <v/>
      </c>
      <c r="F21" s="487" t="str">
        <f t="shared" si="3"/>
        <v/>
      </c>
      <c r="G21" s="545" t="e">
        <f>IF($C20="-","",IF(D21="","",IF($E21="正規職員","-",IF(AND(EXACT(C18,C20),EXACT(D19,D21),EXACT(E19,E21)),G19,"賃金単価を記載"))))</f>
        <v>#N/A</v>
      </c>
      <c r="H21" s="487" t="e">
        <f>IF($C20="","",IF(D21="","",IF($E21="正規職員","-",F21*G21)))</f>
        <v>#N/A</v>
      </c>
      <c r="I21" s="487">
        <f t="shared" si="7"/>
        <v>345166.66666667</v>
      </c>
      <c r="J21" s="487">
        <f t="shared" ref="J21" si="34">IFERROR(IF($C20="-","",IF(D21="","",IF(E21="正規職員",I21-J20,MIN(MIN(H21:I21),I20-J20)))),0)</f>
        <v>0</v>
      </c>
      <c r="K21" s="488" t="str">
        <f t="shared" si="9"/>
        <v/>
      </c>
      <c r="L21" s="343">
        <f t="shared" ref="L21" si="35">L20</f>
        <v>10</v>
      </c>
      <c r="M21" s="343" t="e">
        <f>VLOOKUP($D21&amp;M$5,'②-2勤務時間数入力'!$D$7:$Q$106,$L21,FALSE)</f>
        <v>#N/A</v>
      </c>
      <c r="N21" s="343" t="str">
        <f t="shared" si="4"/>
        <v>×</v>
      </c>
      <c r="O21" s="343" t="e">
        <f>VLOOKUP($D21&amp;O$5,'②-2勤務時間数入力'!$D$7:$Q$106,$L21,FALSE)</f>
        <v>#N/A</v>
      </c>
      <c r="P21" s="343" t="str">
        <f t="shared" si="0"/>
        <v>×</v>
      </c>
      <c r="Q21" s="343" t="e">
        <f>VLOOKUP($D21&amp;Q$5,'②-2勤務時間数入力'!$D$7:$Q$106,$L21,FALSE)</f>
        <v>#N/A</v>
      </c>
      <c r="R21" s="343" t="str">
        <f t="shared" si="1"/>
        <v>×</v>
      </c>
      <c r="S21" s="343" t="e">
        <f>VLOOKUP($D21&amp;S$5,'②-2勤務時間数入力'!$D$7:$Q$106,$L21,FALSE)</f>
        <v>#N/A</v>
      </c>
      <c r="T21" s="343" t="str">
        <f t="shared" si="2"/>
        <v>×</v>
      </c>
      <c r="X21" s="455" t="str">
        <f t="shared" si="5"/>
        <v>〇</v>
      </c>
    </row>
    <row r="22" spans="1:24" ht="15" customHeight="1">
      <c r="A22" s="844">
        <v>12</v>
      </c>
      <c r="B22" s="846" t="e">
        <f>加算判定!E12</f>
        <v>#N/A</v>
      </c>
      <c r="C22" s="848" t="e">
        <f>加算判定!F12</f>
        <v>#N/A</v>
      </c>
      <c r="D22" s="546" t="str">
        <f t="shared" si="11"/>
        <v/>
      </c>
      <c r="E22" s="486" t="str">
        <f t="shared" si="6"/>
        <v/>
      </c>
      <c r="F22" s="487" t="str">
        <f t="shared" si="3"/>
        <v/>
      </c>
      <c r="G22" s="545" t="e">
        <f>IF($C22="-","",IF($E22="正規職員","-",IF(AND(EXACT(C20,C22),EXACT(D20,D22),EXACT(E20,E22)),G20,"賃金単価を記載")))</f>
        <v>#N/A</v>
      </c>
      <c r="H22" s="487" t="e">
        <f>IF($C22="","",IF($E22="正規職員","-",F22*G22))</f>
        <v>#N/A</v>
      </c>
      <c r="I22" s="487">
        <f t="shared" si="7"/>
        <v>345166.66666667</v>
      </c>
      <c r="J22" s="487">
        <f t="shared" ref="J22" si="36">IFERROR(IF($C22="-","",IF(D22="",0,IF(E22="正規職員",I22,MIN(H22:I22)))),0)</f>
        <v>0</v>
      </c>
      <c r="K22" s="488" t="str">
        <f t="shared" si="9"/>
        <v/>
      </c>
      <c r="L22" s="343">
        <f t="shared" ref="L22" si="37">L20+1</f>
        <v>11</v>
      </c>
      <c r="M22" s="343" t="e">
        <f>VLOOKUP($D22&amp;M$5,'②-2勤務時間数入力'!$D$7:$Q$106,$L22,FALSE)</f>
        <v>#N/A</v>
      </c>
      <c r="N22" s="343" t="str">
        <f t="shared" si="4"/>
        <v>×</v>
      </c>
      <c r="O22" s="343" t="e">
        <f>VLOOKUP($D22&amp;O$5,'②-2勤務時間数入力'!$D$7:$Q$106,$L22,FALSE)</f>
        <v>#N/A</v>
      </c>
      <c r="P22" s="343" t="str">
        <f t="shared" si="0"/>
        <v>×</v>
      </c>
      <c r="Q22" s="343" t="e">
        <f>VLOOKUP($D22&amp;Q$5,'②-2勤務時間数入力'!$D$7:$Q$106,$L22,FALSE)</f>
        <v>#N/A</v>
      </c>
      <c r="R22" s="343" t="str">
        <f t="shared" si="1"/>
        <v>×</v>
      </c>
      <c r="S22" s="343" t="e">
        <f>VLOOKUP($D22&amp;S$5,'②-2勤務時間数入力'!$D$7:$Q$106,$L22,FALSE)</f>
        <v>#N/A</v>
      </c>
      <c r="T22" s="343" t="str">
        <f t="shared" si="2"/>
        <v>×</v>
      </c>
      <c r="W22" s="455" t="str">
        <f>IFERROR(IF(AND(B22=1,D22="",D23=""),"×","〇"),"〇")</f>
        <v>〇</v>
      </c>
      <c r="X22" s="455" t="str">
        <f t="shared" si="5"/>
        <v>〇</v>
      </c>
    </row>
    <row r="23" spans="1:24" ht="15" customHeight="1">
      <c r="A23" s="845"/>
      <c r="B23" s="847"/>
      <c r="C23" s="849"/>
      <c r="D23" s="546" t="str">
        <f t="shared" si="11"/>
        <v/>
      </c>
      <c r="E23" s="486" t="str">
        <f t="shared" si="6"/>
        <v/>
      </c>
      <c r="F23" s="487" t="str">
        <f t="shared" si="3"/>
        <v/>
      </c>
      <c r="G23" s="545" t="e">
        <f>IF($C22="-","",IF(D23="","",IF($E23="正規職員","-",IF(AND(EXACT(C20,C22),EXACT(D21,D23),EXACT(E21,E23)),G21,"賃金単価を記載"))))</f>
        <v>#N/A</v>
      </c>
      <c r="H23" s="487" t="e">
        <f>IF($C22="","",IF(D23="","",IF($E23="正規職員","-",F23*G23)))</f>
        <v>#N/A</v>
      </c>
      <c r="I23" s="487">
        <f t="shared" si="7"/>
        <v>345166.66666667</v>
      </c>
      <c r="J23" s="487">
        <f t="shared" ref="J23" si="38">IFERROR(IF($C22="-","",IF(D23="","",IF(E23="正規職員",I23-J22,MIN(MIN(H23:I23),I22-J22)))),0)</f>
        <v>0</v>
      </c>
      <c r="K23" s="488" t="str">
        <f t="shared" si="9"/>
        <v/>
      </c>
      <c r="L23" s="343">
        <f t="shared" ref="L23" si="39">L22</f>
        <v>11</v>
      </c>
      <c r="M23" s="343" t="e">
        <f>VLOOKUP($D23&amp;M$5,'②-2勤務時間数入力'!$D$7:$Q$106,$L23,FALSE)</f>
        <v>#N/A</v>
      </c>
      <c r="N23" s="343" t="str">
        <f t="shared" si="4"/>
        <v>×</v>
      </c>
      <c r="O23" s="343" t="e">
        <f>VLOOKUP($D23&amp;O$5,'②-2勤務時間数入力'!$D$7:$Q$106,$L23,FALSE)</f>
        <v>#N/A</v>
      </c>
      <c r="P23" s="343" t="str">
        <f t="shared" si="0"/>
        <v>×</v>
      </c>
      <c r="Q23" s="343" t="e">
        <f>VLOOKUP($D23&amp;Q$5,'②-2勤務時間数入力'!$D$7:$Q$106,$L23,FALSE)</f>
        <v>#N/A</v>
      </c>
      <c r="R23" s="343" t="str">
        <f t="shared" si="1"/>
        <v>×</v>
      </c>
      <c r="S23" s="343" t="e">
        <f>VLOOKUP($D23&amp;S$5,'②-2勤務時間数入力'!$D$7:$Q$106,$L23,FALSE)</f>
        <v>#N/A</v>
      </c>
      <c r="T23" s="343" t="str">
        <f t="shared" si="2"/>
        <v>×</v>
      </c>
      <c r="X23" s="455" t="str">
        <f t="shared" si="5"/>
        <v>〇</v>
      </c>
    </row>
    <row r="24" spans="1:24" ht="15" customHeight="1">
      <c r="A24" s="844">
        <v>1</v>
      </c>
      <c r="B24" s="846" t="e">
        <f>加算判定!E13</f>
        <v>#N/A</v>
      </c>
      <c r="C24" s="848" t="e">
        <f>加算判定!F13</f>
        <v>#N/A</v>
      </c>
      <c r="D24" s="546" t="str">
        <f t="shared" si="11"/>
        <v/>
      </c>
      <c r="E24" s="486" t="str">
        <f t="shared" si="6"/>
        <v/>
      </c>
      <c r="F24" s="487" t="str">
        <f t="shared" si="3"/>
        <v/>
      </c>
      <c r="G24" s="545" t="e">
        <f>IF($C24="-","",IF($E24="正規職員","-",IF(AND(EXACT(C22,C24),EXACT(D22,D24),EXACT(E22,E24)),G22,"賃金単価を記載")))</f>
        <v>#N/A</v>
      </c>
      <c r="H24" s="487" t="e">
        <f>IF($C24="","",IF($E24="正規職員","-",F24*G24))</f>
        <v>#N/A</v>
      </c>
      <c r="I24" s="487">
        <f t="shared" si="7"/>
        <v>345166.66666667</v>
      </c>
      <c r="J24" s="487">
        <f t="shared" ref="J24" si="40">IFERROR(IF($C24="-","",IF(D24="",0,IF(E24="正規職員",I24,MIN(H24:I24)))),0)</f>
        <v>0</v>
      </c>
      <c r="K24" s="488" t="str">
        <f t="shared" si="9"/>
        <v/>
      </c>
      <c r="L24" s="343">
        <f t="shared" ref="L24" si="41">L22+1</f>
        <v>12</v>
      </c>
      <c r="M24" s="343" t="e">
        <f>VLOOKUP($D24&amp;M$5,'②-2勤務時間数入力'!$D$7:$Q$106,$L24,FALSE)</f>
        <v>#N/A</v>
      </c>
      <c r="N24" s="343" t="str">
        <f t="shared" si="4"/>
        <v>×</v>
      </c>
      <c r="O24" s="343" t="e">
        <f>VLOOKUP($D24&amp;O$5,'②-2勤務時間数入力'!$D$7:$Q$106,$L24,FALSE)</f>
        <v>#N/A</v>
      </c>
      <c r="P24" s="343" t="str">
        <f t="shared" si="0"/>
        <v>×</v>
      </c>
      <c r="Q24" s="343" t="e">
        <f>VLOOKUP($D24&amp;Q$5,'②-2勤務時間数入力'!$D$7:$Q$106,$L24,FALSE)</f>
        <v>#N/A</v>
      </c>
      <c r="R24" s="343" t="str">
        <f t="shared" si="1"/>
        <v>×</v>
      </c>
      <c r="S24" s="343" t="e">
        <f>VLOOKUP($D24&amp;S$5,'②-2勤務時間数入力'!$D$7:$Q$106,$L24,FALSE)</f>
        <v>#N/A</v>
      </c>
      <c r="T24" s="343" t="str">
        <f t="shared" si="2"/>
        <v>×</v>
      </c>
      <c r="W24" s="455" t="str">
        <f>IFERROR(IF(AND(B24=1,D24="",D25=""),"×","〇"),"〇")</f>
        <v>〇</v>
      </c>
      <c r="X24" s="455" t="str">
        <f t="shared" si="5"/>
        <v>〇</v>
      </c>
    </row>
    <row r="25" spans="1:24" ht="15" customHeight="1">
      <c r="A25" s="845"/>
      <c r="B25" s="847"/>
      <c r="C25" s="849"/>
      <c r="D25" s="546" t="str">
        <f t="shared" si="11"/>
        <v/>
      </c>
      <c r="E25" s="486" t="str">
        <f t="shared" si="6"/>
        <v/>
      </c>
      <c r="F25" s="487" t="str">
        <f t="shared" si="3"/>
        <v/>
      </c>
      <c r="G25" s="545" t="e">
        <f>IF($C24="-","",IF(D25="","",IF($E25="正規職員","-",IF(AND(EXACT(C22,C24),EXACT(D23,D25),EXACT(E23,E25)),G23,"賃金単価を記載"))))</f>
        <v>#N/A</v>
      </c>
      <c r="H25" s="487" t="e">
        <f>IF($C24="","",IF(D25="","",IF($E25="正規職員","-",F25*G25)))</f>
        <v>#N/A</v>
      </c>
      <c r="I25" s="487">
        <f t="shared" si="7"/>
        <v>345166.66666667</v>
      </c>
      <c r="J25" s="487">
        <f t="shared" ref="J25" si="42">IFERROR(IF($C24="-","",IF(D25="","",IF(E25="正規職員",I25-J24,MIN(MIN(H25:I25),I24-J24)))),0)</f>
        <v>0</v>
      </c>
      <c r="K25" s="488" t="str">
        <f t="shared" si="9"/>
        <v/>
      </c>
      <c r="L25" s="343">
        <f t="shared" ref="L25" si="43">L24</f>
        <v>12</v>
      </c>
      <c r="M25" s="343" t="e">
        <f>VLOOKUP($D25&amp;M$5,'②-2勤務時間数入力'!$D$7:$Q$106,$L25,FALSE)</f>
        <v>#N/A</v>
      </c>
      <c r="N25" s="343" t="str">
        <f t="shared" si="4"/>
        <v>×</v>
      </c>
      <c r="O25" s="343" t="e">
        <f>VLOOKUP($D25&amp;O$5,'②-2勤務時間数入力'!$D$7:$Q$106,$L25,FALSE)</f>
        <v>#N/A</v>
      </c>
      <c r="P25" s="343" t="str">
        <f t="shared" si="0"/>
        <v>×</v>
      </c>
      <c r="Q25" s="343" t="e">
        <f>VLOOKUP($D25&amp;Q$5,'②-2勤務時間数入力'!$D$7:$Q$106,$L25,FALSE)</f>
        <v>#N/A</v>
      </c>
      <c r="R25" s="343" t="str">
        <f t="shared" si="1"/>
        <v>×</v>
      </c>
      <c r="S25" s="343" t="e">
        <f>VLOOKUP($D25&amp;S$5,'②-2勤務時間数入力'!$D$7:$Q$106,$L25,FALSE)</f>
        <v>#N/A</v>
      </c>
      <c r="T25" s="343" t="str">
        <f t="shared" si="2"/>
        <v>×</v>
      </c>
      <c r="X25" s="455" t="str">
        <f t="shared" si="5"/>
        <v>〇</v>
      </c>
    </row>
    <row r="26" spans="1:24" ht="15" customHeight="1">
      <c r="A26" s="844">
        <v>2</v>
      </c>
      <c r="B26" s="846" t="e">
        <f>加算判定!E14</f>
        <v>#N/A</v>
      </c>
      <c r="C26" s="848" t="e">
        <f>加算判定!F14</f>
        <v>#N/A</v>
      </c>
      <c r="D26" s="546" t="str">
        <f t="shared" si="11"/>
        <v/>
      </c>
      <c r="E26" s="486" t="str">
        <f t="shared" si="6"/>
        <v/>
      </c>
      <c r="F26" s="487" t="str">
        <f t="shared" si="3"/>
        <v/>
      </c>
      <c r="G26" s="545" t="e">
        <f>IF($C26="-","",IF($E26="正規職員","-",IF(AND(EXACT(C24,C26),EXACT(D24,D26),EXACT(E24,E26)),G24,"賃金単価を記載")))</f>
        <v>#N/A</v>
      </c>
      <c r="H26" s="487" t="e">
        <f>IF($C26="","",IF($E26="正規職員","-",F26*G26))</f>
        <v>#N/A</v>
      </c>
      <c r="I26" s="487">
        <f t="shared" si="7"/>
        <v>345166.66666667</v>
      </c>
      <c r="J26" s="487">
        <f t="shared" ref="J26" si="44">IFERROR(IF($C26="-","",IF(D26="",0,IF(E26="正規職員",I26,MIN(H26:I26)))),0)</f>
        <v>0</v>
      </c>
      <c r="K26" s="488" t="str">
        <f t="shared" si="9"/>
        <v/>
      </c>
      <c r="L26" s="343">
        <f t="shared" ref="L26" si="45">L24+1</f>
        <v>13</v>
      </c>
      <c r="M26" s="343" t="e">
        <f>VLOOKUP($D26&amp;M$5,'②-2勤務時間数入力'!$D$7:$Q$106,$L26,FALSE)</f>
        <v>#N/A</v>
      </c>
      <c r="N26" s="343" t="str">
        <f t="shared" si="4"/>
        <v>×</v>
      </c>
      <c r="O26" s="343" t="e">
        <f>VLOOKUP($D26&amp;O$5,'②-2勤務時間数入力'!$D$7:$Q$106,$L26,FALSE)</f>
        <v>#N/A</v>
      </c>
      <c r="P26" s="343" t="str">
        <f t="shared" si="0"/>
        <v>×</v>
      </c>
      <c r="Q26" s="343" t="e">
        <f>VLOOKUP($D26&amp;Q$5,'②-2勤務時間数入力'!$D$7:$Q$106,$L26,FALSE)</f>
        <v>#N/A</v>
      </c>
      <c r="R26" s="343" t="str">
        <f t="shared" si="1"/>
        <v>×</v>
      </c>
      <c r="S26" s="343" t="e">
        <f>VLOOKUP($D26&amp;S$5,'②-2勤務時間数入力'!$D$7:$Q$106,$L26,FALSE)</f>
        <v>#N/A</v>
      </c>
      <c r="T26" s="343" t="str">
        <f t="shared" si="2"/>
        <v>×</v>
      </c>
      <c r="W26" s="455" t="str">
        <f>IFERROR(IF(AND(B26=1,D26="",D27=""),"×","〇"),"〇")</f>
        <v>〇</v>
      </c>
      <c r="X26" s="455" t="str">
        <f t="shared" si="5"/>
        <v>〇</v>
      </c>
    </row>
    <row r="27" spans="1:24" ht="15" customHeight="1">
      <c r="A27" s="845"/>
      <c r="B27" s="847"/>
      <c r="C27" s="849"/>
      <c r="D27" s="546" t="str">
        <f t="shared" si="11"/>
        <v/>
      </c>
      <c r="E27" s="486" t="str">
        <f t="shared" si="6"/>
        <v/>
      </c>
      <c r="F27" s="487" t="str">
        <f t="shared" si="3"/>
        <v/>
      </c>
      <c r="G27" s="545" t="e">
        <f>IF($C26="-","",IF(D27="","",IF($E27="正規職員","-",IF(AND(EXACT(C24,C26),EXACT(D25,D27),EXACT(E25,E27)),G25,"賃金単価を記載"))))</f>
        <v>#N/A</v>
      </c>
      <c r="H27" s="487" t="e">
        <f>IF($C26="","",IF(D27="","",IF($E27="正規職員","-",F27*G27)))</f>
        <v>#N/A</v>
      </c>
      <c r="I27" s="487">
        <f t="shared" si="7"/>
        <v>345166.66666667</v>
      </c>
      <c r="J27" s="487">
        <f t="shared" ref="J27" si="46">IFERROR(IF($C26="-","",IF(D27="","",IF(E27="正規職員",I27-J26,MIN(MIN(H27:I27),I26-J26)))),0)</f>
        <v>0</v>
      </c>
      <c r="K27" s="488" t="str">
        <f t="shared" si="9"/>
        <v/>
      </c>
      <c r="L27" s="343">
        <f t="shared" ref="L27" si="47">L26</f>
        <v>13</v>
      </c>
      <c r="M27" s="343" t="e">
        <f>VLOOKUP($D27&amp;M$5,'②-2勤務時間数入力'!$D$7:$Q$106,$L27,FALSE)</f>
        <v>#N/A</v>
      </c>
      <c r="N27" s="343" t="str">
        <f t="shared" si="4"/>
        <v>×</v>
      </c>
      <c r="O27" s="343" t="e">
        <f>VLOOKUP($D27&amp;O$5,'②-2勤務時間数入力'!$D$7:$Q$106,$L27,FALSE)</f>
        <v>#N/A</v>
      </c>
      <c r="P27" s="343" t="str">
        <f t="shared" si="0"/>
        <v>×</v>
      </c>
      <c r="Q27" s="343" t="e">
        <f>VLOOKUP($D27&amp;Q$5,'②-2勤務時間数入力'!$D$7:$Q$106,$L27,FALSE)</f>
        <v>#N/A</v>
      </c>
      <c r="R27" s="343" t="str">
        <f t="shared" si="1"/>
        <v>×</v>
      </c>
      <c r="S27" s="343" t="e">
        <f>VLOOKUP($D27&amp;S$5,'②-2勤務時間数入力'!$D$7:$Q$106,$L27,FALSE)</f>
        <v>#N/A</v>
      </c>
      <c r="T27" s="343" t="str">
        <f t="shared" si="2"/>
        <v>×</v>
      </c>
      <c r="X27" s="455" t="str">
        <f t="shared" si="5"/>
        <v>〇</v>
      </c>
    </row>
    <row r="28" spans="1:24" ht="15" customHeight="1">
      <c r="A28" s="844">
        <v>3</v>
      </c>
      <c r="B28" s="846" t="e">
        <f>加算判定!E15</f>
        <v>#N/A</v>
      </c>
      <c r="C28" s="848" t="e">
        <f>加算判定!F15</f>
        <v>#N/A</v>
      </c>
      <c r="D28" s="546" t="str">
        <f t="shared" si="11"/>
        <v/>
      </c>
      <c r="E28" s="486" t="str">
        <f t="shared" si="6"/>
        <v/>
      </c>
      <c r="F28" s="487" t="str">
        <f t="shared" si="3"/>
        <v/>
      </c>
      <c r="G28" s="545" t="e">
        <f>IF($C28="-","",IF($E28="正規職員","-",IF(AND(EXACT(C26,C28),EXACT(D26,D28),EXACT(E26,E28)),G26,"賃金単価を記載")))</f>
        <v>#N/A</v>
      </c>
      <c r="H28" s="487" t="e">
        <f>IF($C28="","",IF($E28="正規職員","-",F28*G28))</f>
        <v>#N/A</v>
      </c>
      <c r="I28" s="487">
        <f t="shared" si="7"/>
        <v>345166.66666667</v>
      </c>
      <c r="J28" s="487">
        <f t="shared" ref="J28" si="48">IFERROR(IF($C28="-","",IF(D28="",0,IF(E28="正規職員",I28,MIN(H28:I28)))),0)</f>
        <v>0</v>
      </c>
      <c r="K28" s="488" t="str">
        <f t="shared" si="9"/>
        <v/>
      </c>
      <c r="L28" s="343">
        <f t="shared" ref="L28" si="49">L26+1</f>
        <v>14</v>
      </c>
      <c r="M28" s="343" t="e">
        <f>VLOOKUP($D28&amp;M$5,'②-2勤務時間数入力'!$D$7:$Q$106,$L28,FALSE)</f>
        <v>#N/A</v>
      </c>
      <c r="N28" s="343" t="str">
        <f t="shared" si="4"/>
        <v>×</v>
      </c>
      <c r="O28" s="343" t="e">
        <f>VLOOKUP($D28&amp;O$5,'②-2勤務時間数入力'!$D$7:$Q$106,$L28,FALSE)</f>
        <v>#N/A</v>
      </c>
      <c r="P28" s="343" t="str">
        <f t="shared" si="0"/>
        <v>×</v>
      </c>
      <c r="Q28" s="343" t="e">
        <f>VLOOKUP($D28&amp;Q$5,'②-2勤務時間数入力'!$D$7:$Q$106,$L28,FALSE)</f>
        <v>#N/A</v>
      </c>
      <c r="R28" s="343" t="str">
        <f t="shared" si="1"/>
        <v>×</v>
      </c>
      <c r="S28" s="343" t="e">
        <f>VLOOKUP($D28&amp;S$5,'②-2勤務時間数入力'!$D$7:$Q$106,$L28,FALSE)</f>
        <v>#N/A</v>
      </c>
      <c r="T28" s="343" t="str">
        <f t="shared" si="2"/>
        <v>×</v>
      </c>
      <c r="W28" s="455" t="str">
        <f>IFERROR(IF(AND(B28=1,D28="",D29=""),"×","〇"),"〇")</f>
        <v>〇</v>
      </c>
      <c r="X28" s="455" t="str">
        <f t="shared" si="5"/>
        <v>〇</v>
      </c>
    </row>
    <row r="29" spans="1:24" ht="15" customHeight="1">
      <c r="A29" s="845"/>
      <c r="B29" s="847"/>
      <c r="C29" s="849"/>
      <c r="D29" s="546" t="str">
        <f>IF(D27="","",D27)</f>
        <v/>
      </c>
      <c r="E29" s="486" t="str">
        <f t="shared" si="6"/>
        <v/>
      </c>
      <c r="F29" s="487" t="str">
        <f t="shared" si="3"/>
        <v/>
      </c>
      <c r="G29" s="545" t="e">
        <f>IF($C28="-","",IF(D29="","",IF($E29="正規職員","-",IF(AND(EXACT(C26,C28),EXACT(D27,D29),EXACT(E27,E29)),G27,"賃金単価を記載"))))</f>
        <v>#N/A</v>
      </c>
      <c r="H29" s="487" t="e">
        <f>IF($C28="","",IF(D29="","",IF($E29="正規職員","-",F29*G29)))</f>
        <v>#N/A</v>
      </c>
      <c r="I29" s="487">
        <f t="shared" si="7"/>
        <v>345166.66666667</v>
      </c>
      <c r="J29" s="487">
        <f t="shared" ref="J29" si="50">IFERROR(IF($C28="-","",IF(D29="","",IF(E29="正規職員",I29-J28,MIN(MIN(H29:I29),I28-J28)))),0)</f>
        <v>0</v>
      </c>
      <c r="K29" s="488" t="str">
        <f t="shared" si="9"/>
        <v/>
      </c>
      <c r="L29" s="343">
        <f t="shared" ref="L29" si="51">L28</f>
        <v>14</v>
      </c>
      <c r="M29" s="343" t="e">
        <f>VLOOKUP($D29&amp;M$5,'②-2勤務時間数入力'!$D$7:$Q$106,$L29,FALSE)</f>
        <v>#N/A</v>
      </c>
      <c r="N29" s="343" t="str">
        <f t="shared" si="4"/>
        <v>×</v>
      </c>
      <c r="O29" s="343" t="e">
        <f>VLOOKUP($D29&amp;O$5,'②-2勤務時間数入力'!$D$7:$Q$106,$L29,FALSE)</f>
        <v>#N/A</v>
      </c>
      <c r="P29" s="343" t="str">
        <f t="shared" si="0"/>
        <v>×</v>
      </c>
      <c r="Q29" s="343" t="e">
        <f>VLOOKUP($D29&amp;Q$5,'②-2勤務時間数入力'!$D$7:$Q$106,$L29,FALSE)</f>
        <v>#N/A</v>
      </c>
      <c r="R29" s="343" t="str">
        <f t="shared" si="1"/>
        <v>×</v>
      </c>
      <c r="S29" s="343" t="e">
        <f>VLOOKUP($D29&amp;S$5,'②-2勤務時間数入力'!$D$7:$Q$106,$L29,FALSE)</f>
        <v>#N/A</v>
      </c>
      <c r="T29" s="343" t="str">
        <f t="shared" si="2"/>
        <v>×</v>
      </c>
      <c r="X29" s="455" t="str">
        <f t="shared" si="5"/>
        <v>〇</v>
      </c>
    </row>
    <row r="30" spans="1:24" ht="15" customHeight="1">
      <c r="A30" s="489" t="s">
        <v>246</v>
      </c>
      <c r="B30" s="487"/>
      <c r="C30" s="487"/>
      <c r="D30" s="342"/>
      <c r="E30" s="487"/>
      <c r="F30" s="487"/>
      <c r="G30" s="487"/>
      <c r="H30" s="487"/>
      <c r="I30" s="487"/>
      <c r="J30" s="553">
        <f>ROUNDDOWN(SUM(J6,J8,J10,J12,J14,J16,J18,J20,J22,J24,J26,J28),-3)+ROUNDDOWN(SUM(J7,J9,J11,J13,J15,J17,J19,J21,J23,J25,J27,J29),-3)</f>
        <v>0</v>
      </c>
    </row>
    <row r="31" spans="1:24" ht="15" customHeight="1">
      <c r="B31" s="488"/>
      <c r="C31" s="488"/>
      <c r="D31" s="488"/>
      <c r="E31" s="488"/>
      <c r="F31" s="488"/>
      <c r="G31" s="488"/>
      <c r="H31" s="488"/>
      <c r="I31" s="488"/>
      <c r="J31" s="488"/>
    </row>
    <row r="33" spans="2:9">
      <c r="B33" s="337"/>
      <c r="D33" s="337"/>
      <c r="E33" s="337"/>
      <c r="F33" s="337"/>
      <c r="G33" s="337"/>
    </row>
    <row r="36" spans="2:9" hidden="1"/>
    <row r="37" spans="2:9" hidden="1">
      <c r="I37" s="336" t="s">
        <v>551</v>
      </c>
    </row>
    <row r="38" spans="2:9" hidden="1">
      <c r="H38" s="336" t="s">
        <v>547</v>
      </c>
      <c r="I38" s="336" t="str">
        <f>'②-1職員名簿'!C144</f>
        <v>保育教諭等</v>
      </c>
    </row>
    <row r="39" spans="2:9" hidden="1">
      <c r="H39" s="336" t="s">
        <v>548</v>
      </c>
      <c r="I39" s="336" t="str">
        <f>'②-1職員名簿'!C145</f>
        <v>要件緩和</v>
      </c>
    </row>
    <row r="40" spans="2:9" hidden="1">
      <c r="H40" s="336" t="s">
        <v>549</v>
      </c>
      <c r="I40" s="336" t="str">
        <f>'②-1職員名簿'!C146</f>
        <v>看護師等</v>
      </c>
    </row>
    <row r="41" spans="2:9" hidden="1">
      <c r="H41" s="336" t="s">
        <v>550</v>
      </c>
      <c r="I41" s="336" t="str">
        <f>'②-1職員名簿'!C147</f>
        <v>栄養士</v>
      </c>
    </row>
    <row r="42" spans="2:9" hidden="1">
      <c r="H42" s="336" t="s">
        <v>554</v>
      </c>
      <c r="I42" s="336" t="str">
        <f>'②-1職員名簿'!C148</f>
        <v>調理師等</v>
      </c>
    </row>
    <row r="43" spans="2:9" hidden="1">
      <c r="H43" s="336" t="s">
        <v>555</v>
      </c>
      <c r="I43" s="336" t="str">
        <f>'②-1職員名簿'!C149</f>
        <v>教育・保育支援者</v>
      </c>
    </row>
  </sheetData>
  <sheetProtection algorithmName="SHA-512" hashValue="3KFqr3WH6RgQG3by6wyRpyTrKOavysLSrnEAvUjJnrq/GtE/+u+Of53Wr4X38QKf7GdL0Muc4Y+4BlLD87qOYw==" saltValue="KmVwYMLe/DlbEy4tRdWtNA==" spinCount="100000" sheet="1" selectLockedCells="1"/>
  <mergeCells count="43">
    <mergeCell ref="A26:A27"/>
    <mergeCell ref="B26:B27"/>
    <mergeCell ref="C26:C27"/>
    <mergeCell ref="A28:A29"/>
    <mergeCell ref="B28:B29"/>
    <mergeCell ref="C28:C29"/>
    <mergeCell ref="A22:A23"/>
    <mergeCell ref="B22:B23"/>
    <mergeCell ref="C22:C23"/>
    <mergeCell ref="A24:A25"/>
    <mergeCell ref="B24:B25"/>
    <mergeCell ref="C24:C25"/>
    <mergeCell ref="A18:A19"/>
    <mergeCell ref="B18:B19"/>
    <mergeCell ref="C18:C19"/>
    <mergeCell ref="A20:A21"/>
    <mergeCell ref="B20:B21"/>
    <mergeCell ref="C20:C21"/>
    <mergeCell ref="A14:A15"/>
    <mergeCell ref="B14:B15"/>
    <mergeCell ref="C14:C15"/>
    <mergeCell ref="A16:A17"/>
    <mergeCell ref="B16:B17"/>
    <mergeCell ref="C16:C17"/>
    <mergeCell ref="A10:A11"/>
    <mergeCell ref="B10:B11"/>
    <mergeCell ref="C10:C11"/>
    <mergeCell ref="A12:A13"/>
    <mergeCell ref="B12:B13"/>
    <mergeCell ref="C12:C13"/>
    <mergeCell ref="S5:T5"/>
    <mergeCell ref="A6:A7"/>
    <mergeCell ref="B6:B7"/>
    <mergeCell ref="C6:C7"/>
    <mergeCell ref="A8:A9"/>
    <mergeCell ref="B8:B9"/>
    <mergeCell ref="C8:C9"/>
    <mergeCell ref="Q5:R5"/>
    <mergeCell ref="A1:J1"/>
    <mergeCell ref="E2:F2"/>
    <mergeCell ref="G2:J2"/>
    <mergeCell ref="M5:N5"/>
    <mergeCell ref="O5:P5"/>
  </mergeCells>
  <phoneticPr fontId="1"/>
  <conditionalFormatting sqref="D6:D29">
    <cfRule type="containsBlanks" dxfId="63" priority="1">
      <formula>LEN(TRIM(D6))=0</formula>
    </cfRule>
  </conditionalFormatting>
  <conditionalFormatting sqref="G6:G29">
    <cfRule type="containsText" dxfId="62" priority="2" operator="containsText" text="賃金単価を記載">
      <formula>NOT(ISERROR(SEARCH("賃金単価を記載",G6)))</formula>
    </cfRule>
  </conditionalFormatting>
  <pageMargins left="0.70866141732283472" right="0.70866141732283472" top="0.74803149606299213" bottom="0.74803149606299213" header="0.31496062992125984" footer="0.31496062992125984"/>
  <pageSetup paperSize="9" scale="96"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8C2331F-8EE1-4EBD-B4C4-F7E47B1FF1E1}">
          <x14:formula1>
            <xm:f>'②-1職員名簿'!Y$7:Y$107</xm:f>
          </x14:formula1>
          <xm:sqref>D6:D29</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3727E-2F11-40C8-9E2A-89B6AC0A1907}">
  <sheetPr>
    <tabColor rgb="FF00B050"/>
  </sheetPr>
  <dimension ref="A1:X43"/>
  <sheetViews>
    <sheetView showGridLines="0" view="pageBreakPreview" zoomScaleNormal="100" zoomScaleSheetLayoutView="100" workbookViewId="0">
      <selection activeCell="D7" sqref="D7"/>
    </sheetView>
  </sheetViews>
  <sheetFormatPr defaultRowHeight="15"/>
  <cols>
    <col min="1" max="1" width="8.75" style="336" bestFit="1" customWidth="1"/>
    <col min="2" max="2" width="6.75" style="336" bestFit="1" customWidth="1"/>
    <col min="3" max="3" width="8.25" style="336" customWidth="1"/>
    <col min="4" max="4" width="28.33203125" style="336" customWidth="1"/>
    <col min="5" max="9" width="11.25" style="336" customWidth="1"/>
    <col min="10" max="10" width="15" style="336" customWidth="1"/>
    <col min="11" max="20" width="0" style="336" hidden="1" customWidth="1"/>
    <col min="21" max="16384" width="8.6640625" style="336"/>
  </cols>
  <sheetData>
    <row r="1" spans="1:24" s="481" customFormat="1" ht="25" customHeight="1">
      <c r="A1" s="852" t="s">
        <v>250</v>
      </c>
      <c r="B1" s="852"/>
      <c r="C1" s="852"/>
      <c r="D1" s="852"/>
      <c r="E1" s="852"/>
      <c r="F1" s="852"/>
      <c r="G1" s="852"/>
      <c r="H1" s="852"/>
      <c r="I1" s="852"/>
      <c r="J1" s="852"/>
      <c r="K1" s="480"/>
      <c r="L1" s="480"/>
      <c r="M1" s="480"/>
      <c r="N1" s="480"/>
      <c r="O1" s="480"/>
    </row>
    <row r="2" spans="1:24" s="481" customFormat="1" ht="25" customHeight="1">
      <c r="E2" s="853" t="s">
        <v>91</v>
      </c>
      <c r="F2" s="853"/>
      <c r="G2" s="854">
        <f>①基本情報!D6</f>
        <v>0</v>
      </c>
      <c r="H2" s="854"/>
      <c r="I2" s="854"/>
      <c r="J2" s="854"/>
      <c r="L2" s="481" t="s">
        <v>118</v>
      </c>
    </row>
    <row r="3" spans="1:24">
      <c r="W3" s="336" t="s">
        <v>1510</v>
      </c>
    </row>
    <row r="4" spans="1:24" ht="15" customHeight="1">
      <c r="A4" s="482" t="s">
        <v>249</v>
      </c>
      <c r="B4" s="336" t="s">
        <v>729</v>
      </c>
      <c r="W4" s="455" t="str">
        <f>IF(COUNTIF(W6:W28,"×")&gt;0,"×","〇")</f>
        <v>〇</v>
      </c>
      <c r="X4" s="455" t="str">
        <f>IF(COUNTIF(X6:X29,"×")&gt;0,"×","〇")</f>
        <v>〇</v>
      </c>
    </row>
    <row r="5" spans="1:24" ht="32.25" customHeight="1">
      <c r="B5" s="483" t="s">
        <v>558</v>
      </c>
      <c r="C5" s="483" t="s">
        <v>581</v>
      </c>
      <c r="D5" s="454" t="s">
        <v>236</v>
      </c>
      <c r="E5" s="454" t="s">
        <v>237</v>
      </c>
      <c r="F5" s="454" t="s">
        <v>238</v>
      </c>
      <c r="G5" s="454" t="s">
        <v>239</v>
      </c>
      <c r="H5" s="454" t="s">
        <v>240</v>
      </c>
      <c r="I5" s="454" t="s">
        <v>241</v>
      </c>
      <c r="J5" s="454" t="s">
        <v>242</v>
      </c>
      <c r="L5" s="341" t="s">
        <v>243</v>
      </c>
      <c r="M5" s="850" t="s">
        <v>186</v>
      </c>
      <c r="N5" s="851"/>
      <c r="O5" s="850" t="s">
        <v>187</v>
      </c>
      <c r="P5" s="851"/>
      <c r="Q5" s="850" t="s">
        <v>244</v>
      </c>
      <c r="R5" s="851"/>
      <c r="S5" s="850" t="s">
        <v>245</v>
      </c>
      <c r="T5" s="851"/>
      <c r="W5" s="336" t="s">
        <v>236</v>
      </c>
      <c r="X5" s="455" t="s">
        <v>1511</v>
      </c>
    </row>
    <row r="6" spans="1:24" ht="15" customHeight="1">
      <c r="A6" s="844">
        <v>4</v>
      </c>
      <c r="B6" s="846" t="e">
        <f>加算判定!G4</f>
        <v>#N/A</v>
      </c>
      <c r="C6" s="848" t="e">
        <f>加算判定!H4</f>
        <v>#N/A</v>
      </c>
      <c r="D6" s="546"/>
      <c r="E6" s="486" t="str">
        <f>IF(D6="","",IF(N6="○",M$5,IF(P6="○",O$5,IF(R6="○",Q$5,IF(T6="○",S$5,"ERROR")))))</f>
        <v/>
      </c>
      <c r="F6" s="487" t="str">
        <f>IF(D6="","",IF(N6="○",M6,IF(P6="○",O6,IF(R6="○",Q6,IF(T6="○",S6,"ERROR")))))</f>
        <v/>
      </c>
      <c r="G6" s="545" t="e">
        <f>IF($C6="-","",IF(D6="","",IF($E6="正規職員","-","賃金単価を記載")))</f>
        <v>#N/A</v>
      </c>
      <c r="H6" s="487" t="e">
        <f>IF($C6="","",IF(D6="","",IF($E6="正規職員","-",F6*G6)))</f>
        <v>#N/A</v>
      </c>
      <c r="I6" s="487">
        <f>⑤基本加算１!AB17</f>
        <v>345166.66666667</v>
      </c>
      <c r="J6" s="487">
        <f>IFERROR(IF($B6="-","",IF(D6="",0,IF(E6="正規職員",I6,MIN(H6:I6)))),0)</f>
        <v>0</v>
      </c>
      <c r="K6" s="488" t="str">
        <f>IF(D6="","",IF(COUNTIFS(D6,"*Ｃ6*")=1,"○","エラー"))</f>
        <v/>
      </c>
      <c r="L6" s="343">
        <v>3</v>
      </c>
      <c r="M6" s="343" t="e">
        <f>VLOOKUP($D6&amp;M$5,'②-2勤務時間数入力'!$D$7:$Q$106,$L6,FALSE)</f>
        <v>#N/A</v>
      </c>
      <c r="N6" s="343" t="str">
        <f>IF(ISERROR(M6),"×",IF(M6="-","×","○"))</f>
        <v>×</v>
      </c>
      <c r="O6" s="343" t="e">
        <f>VLOOKUP($D6&amp;O$5,'②-2勤務時間数入力'!$D$7:$Q$106,$L6,FALSE)</f>
        <v>#N/A</v>
      </c>
      <c r="P6" s="343" t="str">
        <f t="shared" ref="P6:P29" si="0">IF(ISERROR(O6),"×",IF(O6="-","×","○"))</f>
        <v>×</v>
      </c>
      <c r="Q6" s="343" t="e">
        <f>VLOOKUP($D6&amp;Q$5,'②-2勤務時間数入力'!$D$7:$Q$106,$L6,FALSE)</f>
        <v>#N/A</v>
      </c>
      <c r="R6" s="343" t="str">
        <f t="shared" ref="R6:R29" si="1">IF(ISERROR(Q6),"×",IF(Q6="-","×","○"))</f>
        <v>×</v>
      </c>
      <c r="S6" s="343" t="e">
        <f>VLOOKUP($D6&amp;S$5,'②-2勤務時間数入力'!$D$7:$Q$106,$L6,FALSE)</f>
        <v>#N/A</v>
      </c>
      <c r="T6" s="343" t="str">
        <f t="shared" ref="T6:T29" si="2">IF(ISERROR(S6),"×",IF(S6="-","×","○"))</f>
        <v>×</v>
      </c>
      <c r="W6" s="455" t="str">
        <f>IFERROR(IF(AND(B6=1,D6="",D7=""),"×","〇"),"〇")</f>
        <v>〇</v>
      </c>
      <c r="X6" s="455" t="str">
        <f>IFERROR(IF(G6="賃金単価を記載","×","〇"),"〇")</f>
        <v>〇</v>
      </c>
    </row>
    <row r="7" spans="1:24" ht="15" customHeight="1">
      <c r="A7" s="845"/>
      <c r="B7" s="847"/>
      <c r="C7" s="849"/>
      <c r="D7" s="546"/>
      <c r="E7" s="486" t="str">
        <f>IF(D7="","",IF(N7="○",M$5,IF(P7="○",O$5,IF(R7="○",Q$5,IF(T7="○",S$5,"ERROR")))))</f>
        <v/>
      </c>
      <c r="F7" s="487" t="str">
        <f t="shared" ref="F7:F29" si="3">IF(D7="","",IF(N7="○",M7,IF(P7="○",O7,IF(R7="○",Q7,IF(T7="○",S7,"ERROR")))))</f>
        <v/>
      </c>
      <c r="G7" s="545" t="e">
        <f>IF($C6="-","",IF(D7="","",IF($E7="正規職員","-","賃金単価を記載")))</f>
        <v>#N/A</v>
      </c>
      <c r="H7" s="487" t="e">
        <f>IF($C6="","",IF(D7="","",IF($E7="正規職員","-",F7*G7)))</f>
        <v>#N/A</v>
      </c>
      <c r="I7" s="487">
        <f>$I$6</f>
        <v>345166.66666667</v>
      </c>
      <c r="J7" s="487">
        <f>IFERROR(IF($B6="-","",IF(D7="","",IF(E7="正規職員",I7-J6,MIN(MIN(H7:I7),I6-J6)))),0)</f>
        <v>0</v>
      </c>
      <c r="K7" s="488" t="str">
        <f>IF(D7="","",IF(COUNTIFS(D7,"*保育士*")=1,"○","エラー"))</f>
        <v/>
      </c>
      <c r="L7" s="343">
        <f>L6</f>
        <v>3</v>
      </c>
      <c r="M7" s="343" t="e">
        <f>VLOOKUP($D7&amp;M$5,'②-2勤務時間数入力'!$D$7:$Q$106,$L7,FALSE)</f>
        <v>#N/A</v>
      </c>
      <c r="N7" s="343" t="str">
        <f t="shared" ref="N7:N29" si="4">IF(ISERROR(M7),"×",IF(M7="-","×","○"))</f>
        <v>×</v>
      </c>
      <c r="O7" s="343" t="e">
        <f>VLOOKUP($D7&amp;O$5,'②-2勤務時間数入力'!$D$7:$Q$106,$L7,FALSE)</f>
        <v>#N/A</v>
      </c>
      <c r="P7" s="343" t="str">
        <f t="shared" si="0"/>
        <v>×</v>
      </c>
      <c r="Q7" s="343" t="e">
        <f>VLOOKUP($D7&amp;Q$5,'②-2勤務時間数入力'!$D$7:$Q$106,$L7,FALSE)</f>
        <v>#N/A</v>
      </c>
      <c r="R7" s="343" t="str">
        <f t="shared" si="1"/>
        <v>×</v>
      </c>
      <c r="S7" s="343" t="e">
        <f>VLOOKUP($D7&amp;S$5,'②-2勤務時間数入力'!$D$7:$Q$106,$L7,FALSE)</f>
        <v>#N/A</v>
      </c>
      <c r="T7" s="343" t="str">
        <f t="shared" si="2"/>
        <v>×</v>
      </c>
      <c r="X7" s="455" t="str">
        <f t="shared" ref="X7:X29" si="5">IFERROR(IF(G7="賃金単価を記載","×","〇"),"〇")</f>
        <v>〇</v>
      </c>
    </row>
    <row r="8" spans="1:24" ht="15" customHeight="1">
      <c r="A8" s="844">
        <v>5</v>
      </c>
      <c r="B8" s="846" t="e">
        <f>加算判定!G5</f>
        <v>#N/A</v>
      </c>
      <c r="C8" s="848" t="e">
        <f>加算判定!H5</f>
        <v>#N/A</v>
      </c>
      <c r="D8" s="546" t="str">
        <f t="shared" ref="D8:D28" si="6">IF(D6="","",D6)</f>
        <v/>
      </c>
      <c r="E8" s="486" t="str">
        <f t="shared" ref="E8:E29" si="7">IF(D8="","",IF(N8="○",M$5,IF(P8="○",O$5,IF(R8="○",Q$5,IF(T8="○",S$5,"ERROR")))))</f>
        <v/>
      </c>
      <c r="F8" s="487" t="str">
        <f t="shared" si="3"/>
        <v/>
      </c>
      <c r="G8" s="545" t="e">
        <f>IF($C8="-","",IF($E8="正規職員","-",IF(AND(EXACT(C6,C8),EXACT(D6,D8),EXACT(E6,E8)),G6,"賃金単価を記載")))</f>
        <v>#N/A</v>
      </c>
      <c r="H8" s="487" t="e">
        <f>IF($C8="","",IF($E8="正規職員","-",F8*G8))</f>
        <v>#N/A</v>
      </c>
      <c r="I8" s="487">
        <f t="shared" ref="I8:I29" si="8">$I$6</f>
        <v>345166.66666667</v>
      </c>
      <c r="J8" s="487">
        <f>IFERROR(IF($B8="-","",IF(D8="",0,IF(E8="正規職員",I8,MIN(H8:I8)))),0)</f>
        <v>0</v>
      </c>
      <c r="K8" s="488" t="str">
        <f t="shared" ref="K8:K29" si="9">IF(D8="","",IF(COUNTIFS(D8,"*Ｃ6*")=1,"○","エラー"))</f>
        <v/>
      </c>
      <c r="L8" s="343">
        <f>L6+1</f>
        <v>4</v>
      </c>
      <c r="M8" s="343" t="e">
        <f>VLOOKUP($D8&amp;M$5,'②-2勤務時間数入力'!$D$7:$Q$106,$L8,FALSE)</f>
        <v>#N/A</v>
      </c>
      <c r="N8" s="343" t="str">
        <f t="shared" si="4"/>
        <v>×</v>
      </c>
      <c r="O8" s="343" t="e">
        <f>VLOOKUP($D8&amp;O$5,'②-2勤務時間数入力'!$D$7:$Q$106,$L8,FALSE)</f>
        <v>#N/A</v>
      </c>
      <c r="P8" s="343" t="str">
        <f t="shared" si="0"/>
        <v>×</v>
      </c>
      <c r="Q8" s="343" t="e">
        <f>VLOOKUP($D8&amp;Q$5,'②-2勤務時間数入力'!$D$7:$Q$106,$L8,FALSE)</f>
        <v>#N/A</v>
      </c>
      <c r="R8" s="343" t="str">
        <f t="shared" si="1"/>
        <v>×</v>
      </c>
      <c r="S8" s="343" t="e">
        <f>VLOOKUP($D8&amp;S$5,'②-2勤務時間数入力'!$D$7:$Q$106,$L8,FALSE)</f>
        <v>#N/A</v>
      </c>
      <c r="T8" s="343" t="str">
        <f t="shared" si="2"/>
        <v>×</v>
      </c>
      <c r="W8" s="455" t="str">
        <f>IFERROR(IF(AND(B8=1,D8="",D9=""),"×","〇"),"〇")</f>
        <v>〇</v>
      </c>
      <c r="X8" s="455" t="str">
        <f t="shared" si="5"/>
        <v>〇</v>
      </c>
    </row>
    <row r="9" spans="1:24" ht="15" customHeight="1">
      <c r="A9" s="845"/>
      <c r="B9" s="847"/>
      <c r="C9" s="849"/>
      <c r="D9" s="546" t="str">
        <f>IF(D7="","",D7)</f>
        <v/>
      </c>
      <c r="E9" s="486" t="str">
        <f t="shared" si="7"/>
        <v/>
      </c>
      <c r="F9" s="487" t="str">
        <f t="shared" si="3"/>
        <v/>
      </c>
      <c r="G9" s="545" t="e">
        <f>IF($C8="-","",IF(D9="","",IF($E9="正規職員","-",IF(AND(EXACT(C6,C8),EXACT(D7,D9),EXACT(E7,E9)),G7,"賃金単価を記載"))))</f>
        <v>#N/A</v>
      </c>
      <c r="H9" s="487" t="e">
        <f>IF($C8="","",IF(D9="","",IF($E9="正規職員","-",F9*G9)))</f>
        <v>#N/A</v>
      </c>
      <c r="I9" s="487">
        <f t="shared" si="8"/>
        <v>345166.66666667</v>
      </c>
      <c r="J9" s="487">
        <f>IFERROR(IF($B8="-","",IF(D9="","",IF(E9="正規職員",I9-J8,MIN(MIN(H9:I9),I8-J8)))),0)</f>
        <v>0</v>
      </c>
      <c r="K9" s="488" t="str">
        <f t="shared" si="9"/>
        <v/>
      </c>
      <c r="L9" s="343">
        <f>L8</f>
        <v>4</v>
      </c>
      <c r="M9" s="343" t="e">
        <f>VLOOKUP($D9&amp;M$5,'②-2勤務時間数入力'!$D$7:$Q$106,$L9,FALSE)</f>
        <v>#N/A</v>
      </c>
      <c r="N9" s="343" t="str">
        <f t="shared" si="4"/>
        <v>×</v>
      </c>
      <c r="O9" s="343" t="e">
        <f>VLOOKUP($D9&amp;O$5,'②-2勤務時間数入力'!$D$7:$Q$106,$L9,FALSE)</f>
        <v>#N/A</v>
      </c>
      <c r="P9" s="343" t="str">
        <f t="shared" si="0"/>
        <v>×</v>
      </c>
      <c r="Q9" s="343" t="e">
        <f>VLOOKUP($D9&amp;Q$5,'②-2勤務時間数入力'!$D$7:$Q$106,$L9,FALSE)</f>
        <v>#N/A</v>
      </c>
      <c r="R9" s="343" t="str">
        <f t="shared" si="1"/>
        <v>×</v>
      </c>
      <c r="S9" s="343" t="e">
        <f>VLOOKUP($D9&amp;S$5,'②-2勤務時間数入力'!$D$7:$Q$106,$L9,FALSE)</f>
        <v>#N/A</v>
      </c>
      <c r="T9" s="343" t="str">
        <f t="shared" si="2"/>
        <v>×</v>
      </c>
      <c r="X9" s="455" t="str">
        <f t="shared" si="5"/>
        <v>〇</v>
      </c>
    </row>
    <row r="10" spans="1:24" ht="15" customHeight="1">
      <c r="A10" s="844">
        <v>6</v>
      </c>
      <c r="B10" s="846" t="e">
        <f>加算判定!G6</f>
        <v>#N/A</v>
      </c>
      <c r="C10" s="848" t="e">
        <f>加算判定!H6</f>
        <v>#N/A</v>
      </c>
      <c r="D10" s="546" t="str">
        <f t="shared" si="6"/>
        <v/>
      </c>
      <c r="E10" s="486" t="str">
        <f t="shared" si="7"/>
        <v/>
      </c>
      <c r="F10" s="487" t="str">
        <f t="shared" si="3"/>
        <v/>
      </c>
      <c r="G10" s="545" t="e">
        <f>IF($C10="-","",IF($E10="正規職員","-",IF(AND(EXACT(C8,C10),EXACT(D8,D10),EXACT(E8,E10)),G8,"賃金単価を記載")))</f>
        <v>#N/A</v>
      </c>
      <c r="H10" s="487" t="e">
        <f>IF($C10="","",IF($E10="正規職員","-",F10*G10))</f>
        <v>#N/A</v>
      </c>
      <c r="I10" s="487">
        <f t="shared" si="8"/>
        <v>345166.66666667</v>
      </c>
      <c r="J10" s="487">
        <f>IFERROR(IF($B10="-","",IF(D10="",0,IF(E10="正規職員",I10,MIN(H10:I10)))),0)</f>
        <v>0</v>
      </c>
      <c r="K10" s="488" t="str">
        <f t="shared" si="9"/>
        <v/>
      </c>
      <c r="L10" s="343">
        <f t="shared" ref="L10" si="10">L8+1</f>
        <v>5</v>
      </c>
      <c r="M10" s="343" t="e">
        <f>VLOOKUP($D10&amp;M$5,'②-2勤務時間数入力'!$D$7:$Q$106,$L10,FALSE)</f>
        <v>#N/A</v>
      </c>
      <c r="N10" s="343" t="str">
        <f t="shared" si="4"/>
        <v>×</v>
      </c>
      <c r="O10" s="343" t="e">
        <f>VLOOKUP($D10&amp;O$5,'②-2勤務時間数入力'!$D$7:$Q$106,$L10,FALSE)</f>
        <v>#N/A</v>
      </c>
      <c r="P10" s="343" t="str">
        <f t="shared" si="0"/>
        <v>×</v>
      </c>
      <c r="Q10" s="343" t="e">
        <f>VLOOKUP($D10&amp;Q$5,'②-2勤務時間数入力'!$D$7:$Q$106,$L10,FALSE)</f>
        <v>#N/A</v>
      </c>
      <c r="R10" s="343" t="str">
        <f t="shared" si="1"/>
        <v>×</v>
      </c>
      <c r="S10" s="343" t="e">
        <f>VLOOKUP($D10&amp;S$5,'②-2勤務時間数入力'!$D$7:$Q$106,$L10,FALSE)</f>
        <v>#N/A</v>
      </c>
      <c r="T10" s="343" t="str">
        <f t="shared" si="2"/>
        <v>×</v>
      </c>
      <c r="W10" s="455" t="str">
        <f>IFERROR(IF(AND(B10=1,D10="",D11=""),"×","〇"),"〇")</f>
        <v>〇</v>
      </c>
      <c r="X10" s="455" t="str">
        <f t="shared" si="5"/>
        <v>〇</v>
      </c>
    </row>
    <row r="11" spans="1:24" ht="15" customHeight="1">
      <c r="A11" s="845"/>
      <c r="B11" s="847"/>
      <c r="C11" s="849"/>
      <c r="D11" s="546" t="str">
        <f t="shared" si="6"/>
        <v/>
      </c>
      <c r="E11" s="486" t="str">
        <f t="shared" si="7"/>
        <v/>
      </c>
      <c r="F11" s="487" t="str">
        <f t="shared" si="3"/>
        <v/>
      </c>
      <c r="G11" s="545" t="e">
        <f>IF($C10="-","",IF(D11="","",IF($E11="正規職員","-",IF(AND(EXACT(C8,C10),EXACT(D9,D11),EXACT(E9,E11)),G9,"賃金単価を記載"))))</f>
        <v>#N/A</v>
      </c>
      <c r="H11" s="487" t="e">
        <f>IF($C10="","",IF(D11="","",IF($E11="正規職員","-",F11*G11)))</f>
        <v>#N/A</v>
      </c>
      <c r="I11" s="487">
        <f t="shared" si="8"/>
        <v>345166.66666667</v>
      </c>
      <c r="J11" s="487">
        <f>IFERROR(IF($B10="-","",IF(D11="","",IF(E11="正規職員",I11-J10,MIN(MIN(H11:I11),I10-J10)))),0)</f>
        <v>0</v>
      </c>
      <c r="K11" s="488" t="str">
        <f t="shared" si="9"/>
        <v/>
      </c>
      <c r="L11" s="343">
        <f t="shared" ref="L11" si="11">L10</f>
        <v>5</v>
      </c>
      <c r="M11" s="343" t="e">
        <f>VLOOKUP($D11&amp;M$5,'②-2勤務時間数入力'!$D$7:$Q$106,$L11,FALSE)</f>
        <v>#N/A</v>
      </c>
      <c r="N11" s="343" t="str">
        <f t="shared" si="4"/>
        <v>×</v>
      </c>
      <c r="O11" s="343" t="e">
        <f>VLOOKUP($D11&amp;O$5,'②-2勤務時間数入力'!$D$7:$Q$106,$L11,FALSE)</f>
        <v>#N/A</v>
      </c>
      <c r="P11" s="343" t="str">
        <f t="shared" si="0"/>
        <v>×</v>
      </c>
      <c r="Q11" s="343" t="e">
        <f>VLOOKUP($D11&amp;Q$5,'②-2勤務時間数入力'!$D$7:$Q$106,$L11,FALSE)</f>
        <v>#N/A</v>
      </c>
      <c r="R11" s="343" t="str">
        <f t="shared" si="1"/>
        <v>×</v>
      </c>
      <c r="S11" s="343" t="e">
        <f>VLOOKUP($D11&amp;S$5,'②-2勤務時間数入力'!$D$7:$Q$106,$L11,FALSE)</f>
        <v>#N/A</v>
      </c>
      <c r="T11" s="343" t="str">
        <f t="shared" si="2"/>
        <v>×</v>
      </c>
      <c r="X11" s="455" t="str">
        <f t="shared" si="5"/>
        <v>〇</v>
      </c>
    </row>
    <row r="12" spans="1:24" ht="15" customHeight="1">
      <c r="A12" s="844">
        <v>7</v>
      </c>
      <c r="B12" s="846" t="e">
        <f>加算判定!G7</f>
        <v>#N/A</v>
      </c>
      <c r="C12" s="848" t="e">
        <f>加算判定!H7</f>
        <v>#N/A</v>
      </c>
      <c r="D12" s="546" t="str">
        <f t="shared" si="6"/>
        <v/>
      </c>
      <c r="E12" s="486" t="str">
        <f t="shared" si="7"/>
        <v/>
      </c>
      <c r="F12" s="487" t="str">
        <f t="shared" si="3"/>
        <v/>
      </c>
      <c r="G12" s="545" t="e">
        <f>IF($C12="-","",IF($E12="正規職員","-",IF(AND(EXACT(C10,C12),EXACT(D10,D12),EXACT(E10,E12)),G10,"賃金単価を記載")))</f>
        <v>#N/A</v>
      </c>
      <c r="H12" s="487" t="e">
        <f>IF($C12="","",IF($E12="正規職員","-",F12*G12))</f>
        <v>#N/A</v>
      </c>
      <c r="I12" s="487">
        <f t="shared" si="8"/>
        <v>345166.66666667</v>
      </c>
      <c r="J12" s="487">
        <f>IFERROR(IF($B12="-","",IF(D12="",0,IF(E12="正規職員",I12,MIN(H12:I12)))),0)</f>
        <v>0</v>
      </c>
      <c r="K12" s="488" t="str">
        <f t="shared" si="9"/>
        <v/>
      </c>
      <c r="L12" s="343">
        <f t="shared" ref="L12" si="12">L10+1</f>
        <v>6</v>
      </c>
      <c r="M12" s="343" t="e">
        <f>VLOOKUP($D12&amp;M$5,'②-2勤務時間数入力'!$D$7:$Q$106,$L12,FALSE)</f>
        <v>#N/A</v>
      </c>
      <c r="N12" s="343" t="str">
        <f t="shared" si="4"/>
        <v>×</v>
      </c>
      <c r="O12" s="343" t="e">
        <f>VLOOKUP($D12&amp;O$5,'②-2勤務時間数入力'!$D$7:$Q$106,$L12,FALSE)</f>
        <v>#N/A</v>
      </c>
      <c r="P12" s="343" t="str">
        <f t="shared" si="0"/>
        <v>×</v>
      </c>
      <c r="Q12" s="343" t="e">
        <f>VLOOKUP($D12&amp;Q$5,'②-2勤務時間数入力'!$D$7:$Q$106,$L12,FALSE)</f>
        <v>#N/A</v>
      </c>
      <c r="R12" s="343" t="str">
        <f t="shared" si="1"/>
        <v>×</v>
      </c>
      <c r="S12" s="343" t="e">
        <f>VLOOKUP($D12&amp;S$5,'②-2勤務時間数入力'!$D$7:$Q$106,$L12,FALSE)</f>
        <v>#N/A</v>
      </c>
      <c r="T12" s="343" t="str">
        <f t="shared" si="2"/>
        <v>×</v>
      </c>
      <c r="W12" s="455" t="str">
        <f>IFERROR(IF(AND(B12=1,D12="",D13=""),"×","〇"),"〇")</f>
        <v>〇</v>
      </c>
      <c r="X12" s="455" t="str">
        <f t="shared" si="5"/>
        <v>〇</v>
      </c>
    </row>
    <row r="13" spans="1:24" ht="15" customHeight="1">
      <c r="A13" s="845"/>
      <c r="B13" s="847"/>
      <c r="C13" s="849"/>
      <c r="D13" s="546" t="str">
        <f t="shared" si="6"/>
        <v/>
      </c>
      <c r="E13" s="486" t="str">
        <f t="shared" si="7"/>
        <v/>
      </c>
      <c r="F13" s="487" t="str">
        <f t="shared" si="3"/>
        <v/>
      </c>
      <c r="G13" s="545" t="e">
        <f>IF($C12="-","",IF(D13="","",IF($E13="正規職員","-",IF(AND(EXACT(C10,C12),EXACT(D11,D13),EXACT(E11,E13)),G11,"賃金単価を記載"))))</f>
        <v>#N/A</v>
      </c>
      <c r="H13" s="487" t="e">
        <f>IF($C12="","",IF(D13="","",IF($E13="正規職員","-",F13*G13)))</f>
        <v>#N/A</v>
      </c>
      <c r="I13" s="487">
        <f t="shared" si="8"/>
        <v>345166.66666667</v>
      </c>
      <c r="J13" s="487">
        <f>IFERROR(IF($B12="-","",IF(D13="","",IF(E13="正規職員",I13-J12,MIN(MIN(H13:I13),I12-J12)))),0)</f>
        <v>0</v>
      </c>
      <c r="K13" s="488" t="str">
        <f t="shared" si="9"/>
        <v/>
      </c>
      <c r="L13" s="343">
        <f t="shared" ref="L13" si="13">L12</f>
        <v>6</v>
      </c>
      <c r="M13" s="343" t="e">
        <f>VLOOKUP($D13&amp;M$5,'②-2勤務時間数入力'!$D$7:$Q$106,$L13,FALSE)</f>
        <v>#N/A</v>
      </c>
      <c r="N13" s="343" t="str">
        <f t="shared" si="4"/>
        <v>×</v>
      </c>
      <c r="O13" s="343" t="e">
        <f>VLOOKUP($D13&amp;O$5,'②-2勤務時間数入力'!$D$7:$Q$106,$L13,FALSE)</f>
        <v>#N/A</v>
      </c>
      <c r="P13" s="343" t="str">
        <f t="shared" si="0"/>
        <v>×</v>
      </c>
      <c r="Q13" s="343" t="e">
        <f>VLOOKUP($D13&amp;Q$5,'②-2勤務時間数入力'!$D$7:$Q$106,$L13,FALSE)</f>
        <v>#N/A</v>
      </c>
      <c r="R13" s="343" t="str">
        <f t="shared" si="1"/>
        <v>×</v>
      </c>
      <c r="S13" s="343" t="e">
        <f>VLOOKUP($D13&amp;S$5,'②-2勤務時間数入力'!$D$7:$Q$106,$L13,FALSE)</f>
        <v>#N/A</v>
      </c>
      <c r="T13" s="343" t="str">
        <f t="shared" si="2"/>
        <v>×</v>
      </c>
      <c r="X13" s="455" t="str">
        <f t="shared" si="5"/>
        <v>〇</v>
      </c>
    </row>
    <row r="14" spans="1:24" ht="15" customHeight="1">
      <c r="A14" s="844">
        <v>8</v>
      </c>
      <c r="B14" s="846" t="e">
        <f>加算判定!G8</f>
        <v>#N/A</v>
      </c>
      <c r="C14" s="848" t="e">
        <f>加算判定!H8</f>
        <v>#N/A</v>
      </c>
      <c r="D14" s="546" t="str">
        <f t="shared" si="6"/>
        <v/>
      </c>
      <c r="E14" s="486" t="str">
        <f t="shared" si="7"/>
        <v/>
      </c>
      <c r="F14" s="487" t="str">
        <f t="shared" si="3"/>
        <v/>
      </c>
      <c r="G14" s="545" t="e">
        <f>IF($C14="-","",IF($E14="正規職員","-",IF(AND(EXACT(C12,C14),EXACT(D12,D14),EXACT(E12,E14)),G12,"賃金単価を記載")))</f>
        <v>#N/A</v>
      </c>
      <c r="H14" s="487" t="e">
        <f>IF($C14="","",IF($E14="正規職員","-",F14*G14))</f>
        <v>#N/A</v>
      </c>
      <c r="I14" s="487">
        <f t="shared" si="8"/>
        <v>345166.66666667</v>
      </c>
      <c r="J14" s="487">
        <f>IFERROR(IF($B14="-","",IF(D14="",0,IF(E14="正規職員",I14,MIN(H14:I14)))),0)</f>
        <v>0</v>
      </c>
      <c r="K14" s="488" t="str">
        <f t="shared" si="9"/>
        <v/>
      </c>
      <c r="L14" s="343">
        <f t="shared" ref="L14" si="14">L12+1</f>
        <v>7</v>
      </c>
      <c r="M14" s="343" t="e">
        <f>VLOOKUP($D14&amp;M$5,'②-2勤務時間数入力'!$D$7:$Q$106,$L14,FALSE)</f>
        <v>#N/A</v>
      </c>
      <c r="N14" s="343" t="str">
        <f t="shared" si="4"/>
        <v>×</v>
      </c>
      <c r="O14" s="343" t="e">
        <f>VLOOKUP($D14&amp;O$5,'②-2勤務時間数入力'!$D$7:$Q$106,$L14,FALSE)</f>
        <v>#N/A</v>
      </c>
      <c r="P14" s="343" t="str">
        <f t="shared" si="0"/>
        <v>×</v>
      </c>
      <c r="Q14" s="343" t="e">
        <f>VLOOKUP($D14&amp;Q$5,'②-2勤務時間数入力'!$D$7:$Q$106,$L14,FALSE)</f>
        <v>#N/A</v>
      </c>
      <c r="R14" s="343" t="str">
        <f t="shared" si="1"/>
        <v>×</v>
      </c>
      <c r="S14" s="343" t="e">
        <f>VLOOKUP($D14&amp;S$5,'②-2勤務時間数入力'!$D$7:$Q$106,$L14,FALSE)</f>
        <v>#N/A</v>
      </c>
      <c r="T14" s="343" t="str">
        <f t="shared" si="2"/>
        <v>×</v>
      </c>
      <c r="W14" s="455" t="str">
        <f>IFERROR(IF(AND(B14=1,D14="",D15=""),"×","〇"),"〇")</f>
        <v>〇</v>
      </c>
      <c r="X14" s="455" t="str">
        <f t="shared" si="5"/>
        <v>〇</v>
      </c>
    </row>
    <row r="15" spans="1:24" ht="15" customHeight="1">
      <c r="A15" s="845"/>
      <c r="B15" s="847"/>
      <c r="C15" s="849"/>
      <c r="D15" s="546" t="str">
        <f t="shared" si="6"/>
        <v/>
      </c>
      <c r="E15" s="486" t="str">
        <f t="shared" si="7"/>
        <v/>
      </c>
      <c r="F15" s="487" t="str">
        <f t="shared" si="3"/>
        <v/>
      </c>
      <c r="G15" s="545" t="e">
        <f>IF($C14="-","",IF(D15="","",IF($E15="正規職員","-",IF(AND(EXACT(C12,C14),EXACT(D13,D15),EXACT(E13,E15)),G13,"賃金単価を記載"))))</f>
        <v>#N/A</v>
      </c>
      <c r="H15" s="487" t="e">
        <f>IF($C14="","",IF(D15="","",IF($E15="正規職員","-",F15*G15)))</f>
        <v>#N/A</v>
      </c>
      <c r="I15" s="487">
        <f t="shared" si="8"/>
        <v>345166.66666667</v>
      </c>
      <c r="J15" s="487">
        <f>IFERROR(IF($B14="-","",IF(D15="","",IF(E15="正規職員",I15-J14,MIN(MIN(H15:I15),I14-J14)))),0)</f>
        <v>0</v>
      </c>
      <c r="K15" s="488" t="str">
        <f t="shared" si="9"/>
        <v/>
      </c>
      <c r="L15" s="343">
        <f t="shared" ref="L15" si="15">L14</f>
        <v>7</v>
      </c>
      <c r="M15" s="343" t="e">
        <f>VLOOKUP($D15&amp;M$5,'②-2勤務時間数入力'!$D$7:$Q$106,$L15,FALSE)</f>
        <v>#N/A</v>
      </c>
      <c r="N15" s="343" t="str">
        <f t="shared" si="4"/>
        <v>×</v>
      </c>
      <c r="O15" s="343" t="e">
        <f>VLOOKUP($D15&amp;O$5,'②-2勤務時間数入力'!$D$7:$Q$106,$L15,FALSE)</f>
        <v>#N/A</v>
      </c>
      <c r="P15" s="343" t="str">
        <f t="shared" si="0"/>
        <v>×</v>
      </c>
      <c r="Q15" s="343" t="e">
        <f>VLOOKUP($D15&amp;Q$5,'②-2勤務時間数入力'!$D$7:$Q$106,$L15,FALSE)</f>
        <v>#N/A</v>
      </c>
      <c r="R15" s="343" t="str">
        <f t="shared" si="1"/>
        <v>×</v>
      </c>
      <c r="S15" s="343" t="e">
        <f>VLOOKUP($D15&amp;S$5,'②-2勤務時間数入力'!$D$7:$Q$106,$L15,FALSE)</f>
        <v>#N/A</v>
      </c>
      <c r="T15" s="343" t="str">
        <f t="shared" si="2"/>
        <v>×</v>
      </c>
      <c r="X15" s="455" t="str">
        <f t="shared" si="5"/>
        <v>〇</v>
      </c>
    </row>
    <row r="16" spans="1:24" ht="15" customHeight="1">
      <c r="A16" s="844">
        <v>9</v>
      </c>
      <c r="B16" s="846" t="e">
        <f>加算判定!G9</f>
        <v>#N/A</v>
      </c>
      <c r="C16" s="848" t="e">
        <f>加算判定!H9</f>
        <v>#N/A</v>
      </c>
      <c r="D16" s="546" t="str">
        <f t="shared" si="6"/>
        <v/>
      </c>
      <c r="E16" s="486" t="str">
        <f t="shared" si="7"/>
        <v/>
      </c>
      <c r="F16" s="487" t="str">
        <f t="shared" si="3"/>
        <v/>
      </c>
      <c r="G16" s="545" t="e">
        <f>IF($C16="-","",IF($E16="正規職員","-",IF(AND(EXACT(C14,C16),EXACT(D14,D16),EXACT(E14,E16)),G14,"賃金単価を記載")))</f>
        <v>#N/A</v>
      </c>
      <c r="H16" s="487" t="e">
        <f>IF($C16="","",IF($E16="正規職員","-",F16*G16))</f>
        <v>#N/A</v>
      </c>
      <c r="I16" s="487">
        <f t="shared" si="8"/>
        <v>345166.66666667</v>
      </c>
      <c r="J16" s="487">
        <f>IFERROR(IF($B16="-","",IF(D16="",0,IF(E16="正規職員",I16,MIN(H16:I16)))),0)</f>
        <v>0</v>
      </c>
      <c r="K16" s="488" t="str">
        <f t="shared" si="9"/>
        <v/>
      </c>
      <c r="L16" s="343">
        <f t="shared" ref="L16" si="16">L14+1</f>
        <v>8</v>
      </c>
      <c r="M16" s="343" t="e">
        <f>VLOOKUP($D16&amp;M$5,'②-2勤務時間数入力'!$D$7:$Q$106,$L16,FALSE)</f>
        <v>#N/A</v>
      </c>
      <c r="N16" s="343" t="str">
        <f t="shared" si="4"/>
        <v>×</v>
      </c>
      <c r="O16" s="343" t="e">
        <f>VLOOKUP($D16&amp;O$5,'②-2勤務時間数入力'!$D$7:$Q$106,$L16,FALSE)</f>
        <v>#N/A</v>
      </c>
      <c r="P16" s="343" t="str">
        <f t="shared" si="0"/>
        <v>×</v>
      </c>
      <c r="Q16" s="343" t="e">
        <f>VLOOKUP($D16&amp;Q$5,'②-2勤務時間数入力'!$D$7:$Q$106,$L16,FALSE)</f>
        <v>#N/A</v>
      </c>
      <c r="R16" s="343" t="str">
        <f t="shared" si="1"/>
        <v>×</v>
      </c>
      <c r="S16" s="343" t="e">
        <f>VLOOKUP($D16&amp;S$5,'②-2勤務時間数入力'!$D$7:$Q$106,$L16,FALSE)</f>
        <v>#N/A</v>
      </c>
      <c r="T16" s="343" t="str">
        <f t="shared" si="2"/>
        <v>×</v>
      </c>
      <c r="W16" s="455" t="str">
        <f>IFERROR(IF(AND(B16=1,D16="",D17=""),"×","〇"),"〇")</f>
        <v>〇</v>
      </c>
      <c r="X16" s="455" t="str">
        <f t="shared" si="5"/>
        <v>〇</v>
      </c>
    </row>
    <row r="17" spans="1:24" ht="15" customHeight="1">
      <c r="A17" s="845"/>
      <c r="B17" s="847"/>
      <c r="C17" s="849"/>
      <c r="D17" s="546" t="str">
        <f t="shared" si="6"/>
        <v/>
      </c>
      <c r="E17" s="486" t="str">
        <f t="shared" si="7"/>
        <v/>
      </c>
      <c r="F17" s="487" t="str">
        <f t="shared" si="3"/>
        <v/>
      </c>
      <c r="G17" s="545" t="e">
        <f>IF($C16="-","",IF(D17="","",IF($E17="正規職員","-",IF(AND(EXACT(C14,C16),EXACT(D15,D17),EXACT(E15,E17)),G15,"賃金単価を記載"))))</f>
        <v>#N/A</v>
      </c>
      <c r="H17" s="487" t="e">
        <f>IF($C16="","",IF(D17="","",IF($E17="正規職員","-",F17*G17)))</f>
        <v>#N/A</v>
      </c>
      <c r="I17" s="487">
        <f t="shared" si="8"/>
        <v>345166.66666667</v>
      </c>
      <c r="J17" s="487">
        <f>IFERROR(IF($B16="-","",IF(D17="","",IF(E17="正規職員",I17-J16,MIN(MIN(H17:I17),I16-J16)))),0)</f>
        <v>0</v>
      </c>
      <c r="K17" s="488" t="str">
        <f t="shared" si="9"/>
        <v/>
      </c>
      <c r="L17" s="343">
        <f t="shared" ref="L17" si="17">L16</f>
        <v>8</v>
      </c>
      <c r="M17" s="343" t="e">
        <f>VLOOKUP($D17&amp;M$5,'②-2勤務時間数入力'!$D$7:$Q$106,$L17,FALSE)</f>
        <v>#N/A</v>
      </c>
      <c r="N17" s="343" t="str">
        <f t="shared" si="4"/>
        <v>×</v>
      </c>
      <c r="O17" s="343" t="e">
        <f>VLOOKUP($D17&amp;O$5,'②-2勤務時間数入力'!$D$7:$Q$106,$L17,FALSE)</f>
        <v>#N/A</v>
      </c>
      <c r="P17" s="343" t="str">
        <f t="shared" si="0"/>
        <v>×</v>
      </c>
      <c r="Q17" s="343" t="e">
        <f>VLOOKUP($D17&amp;Q$5,'②-2勤務時間数入力'!$D$7:$Q$106,$L17,FALSE)</f>
        <v>#N/A</v>
      </c>
      <c r="R17" s="343" t="str">
        <f t="shared" si="1"/>
        <v>×</v>
      </c>
      <c r="S17" s="343" t="e">
        <f>VLOOKUP($D17&amp;S$5,'②-2勤務時間数入力'!$D$7:$Q$106,$L17,FALSE)</f>
        <v>#N/A</v>
      </c>
      <c r="T17" s="343" t="str">
        <f t="shared" si="2"/>
        <v>×</v>
      </c>
      <c r="X17" s="455" t="str">
        <f t="shared" si="5"/>
        <v>〇</v>
      </c>
    </row>
    <row r="18" spans="1:24" ht="15" customHeight="1">
      <c r="A18" s="844">
        <v>10</v>
      </c>
      <c r="B18" s="846" t="e">
        <f>加算判定!G10</f>
        <v>#N/A</v>
      </c>
      <c r="C18" s="848" t="e">
        <f>加算判定!H10</f>
        <v>#N/A</v>
      </c>
      <c r="D18" s="546" t="str">
        <f t="shared" si="6"/>
        <v/>
      </c>
      <c r="E18" s="486" t="str">
        <f t="shared" si="7"/>
        <v/>
      </c>
      <c r="F18" s="487" t="str">
        <f t="shared" si="3"/>
        <v/>
      </c>
      <c r="G18" s="545" t="e">
        <f>IF($C18="-","",IF($E18="正規職員","-",IF(AND(EXACT(C16,C18),EXACT(D16,D18),EXACT(E16,E18)),G16,"賃金単価を記載")))</f>
        <v>#N/A</v>
      </c>
      <c r="H18" s="487" t="e">
        <f>IF($C18="","",IF($E18="正規職員","-",F18*G18))</f>
        <v>#N/A</v>
      </c>
      <c r="I18" s="487">
        <f t="shared" si="8"/>
        <v>345166.66666667</v>
      </c>
      <c r="J18" s="487">
        <f>IFERROR(IF($B18="-","",IF(D18="",0,IF(E18="正規職員",I18,MIN(H18:I18)))),0)</f>
        <v>0</v>
      </c>
      <c r="K18" s="488" t="str">
        <f t="shared" si="9"/>
        <v/>
      </c>
      <c r="L18" s="343">
        <f t="shared" ref="L18" si="18">L16+1</f>
        <v>9</v>
      </c>
      <c r="M18" s="343" t="e">
        <f>VLOOKUP($D18&amp;M$5,'②-2勤務時間数入力'!$D$7:$Q$106,$L18,FALSE)</f>
        <v>#N/A</v>
      </c>
      <c r="N18" s="343" t="str">
        <f t="shared" si="4"/>
        <v>×</v>
      </c>
      <c r="O18" s="343" t="e">
        <f>VLOOKUP($D18&amp;O$5,'②-2勤務時間数入力'!$D$7:$Q$106,$L18,FALSE)</f>
        <v>#N/A</v>
      </c>
      <c r="P18" s="343" t="str">
        <f t="shared" si="0"/>
        <v>×</v>
      </c>
      <c r="Q18" s="343" t="e">
        <f>VLOOKUP($D18&amp;Q$5,'②-2勤務時間数入力'!$D$7:$Q$106,$L18,FALSE)</f>
        <v>#N/A</v>
      </c>
      <c r="R18" s="343" t="str">
        <f t="shared" si="1"/>
        <v>×</v>
      </c>
      <c r="S18" s="343" t="e">
        <f>VLOOKUP($D18&amp;S$5,'②-2勤務時間数入力'!$D$7:$Q$106,$L18,FALSE)</f>
        <v>#N/A</v>
      </c>
      <c r="T18" s="343" t="str">
        <f t="shared" si="2"/>
        <v>×</v>
      </c>
      <c r="W18" s="455" t="str">
        <f>IFERROR(IF(AND(B18=1,D18="",D19=""),"×","〇"),"〇")</f>
        <v>〇</v>
      </c>
      <c r="X18" s="455" t="str">
        <f t="shared" si="5"/>
        <v>〇</v>
      </c>
    </row>
    <row r="19" spans="1:24" ht="15" customHeight="1">
      <c r="A19" s="845"/>
      <c r="B19" s="847"/>
      <c r="C19" s="849"/>
      <c r="D19" s="546" t="str">
        <f t="shared" si="6"/>
        <v/>
      </c>
      <c r="E19" s="486" t="str">
        <f t="shared" si="7"/>
        <v/>
      </c>
      <c r="F19" s="487" t="str">
        <f t="shared" si="3"/>
        <v/>
      </c>
      <c r="G19" s="545" t="e">
        <f>IF($C18="-","",IF(D19="","",IF($E19="正規職員","-",IF(AND(EXACT(C16,C18),EXACT(D17,D19),EXACT(E17,E19)),G17,"賃金単価を記載"))))</f>
        <v>#N/A</v>
      </c>
      <c r="H19" s="487" t="e">
        <f>IF($C18="","",IF(D19="","",IF($E19="正規職員","-",F19*G19)))</f>
        <v>#N/A</v>
      </c>
      <c r="I19" s="487">
        <f t="shared" si="8"/>
        <v>345166.66666667</v>
      </c>
      <c r="J19" s="487">
        <f>IFERROR(IF($B18="-","",IF(D19="","",IF(E19="正規職員",I19-J18,MIN(MIN(H19:I19),I18-J18)))),0)</f>
        <v>0</v>
      </c>
      <c r="K19" s="488" t="str">
        <f t="shared" si="9"/>
        <v/>
      </c>
      <c r="L19" s="343">
        <f t="shared" ref="L19" si="19">L18</f>
        <v>9</v>
      </c>
      <c r="M19" s="343" t="e">
        <f>VLOOKUP($D19&amp;M$5,'②-2勤務時間数入力'!$D$7:$Q$106,$L19,FALSE)</f>
        <v>#N/A</v>
      </c>
      <c r="N19" s="343" t="str">
        <f t="shared" si="4"/>
        <v>×</v>
      </c>
      <c r="O19" s="343" t="e">
        <f>VLOOKUP($D19&amp;O$5,'②-2勤務時間数入力'!$D$7:$Q$106,$L19,FALSE)</f>
        <v>#N/A</v>
      </c>
      <c r="P19" s="343" t="str">
        <f t="shared" si="0"/>
        <v>×</v>
      </c>
      <c r="Q19" s="343" t="e">
        <f>VLOOKUP($D19&amp;Q$5,'②-2勤務時間数入力'!$D$7:$Q$106,$L19,FALSE)</f>
        <v>#N/A</v>
      </c>
      <c r="R19" s="343" t="str">
        <f t="shared" si="1"/>
        <v>×</v>
      </c>
      <c r="S19" s="343" t="e">
        <f>VLOOKUP($D19&amp;S$5,'②-2勤務時間数入力'!$D$7:$Q$106,$L19,FALSE)</f>
        <v>#N/A</v>
      </c>
      <c r="T19" s="343" t="str">
        <f t="shared" si="2"/>
        <v>×</v>
      </c>
      <c r="X19" s="455" t="str">
        <f t="shared" si="5"/>
        <v>〇</v>
      </c>
    </row>
    <row r="20" spans="1:24" ht="15" customHeight="1">
      <c r="A20" s="844">
        <v>11</v>
      </c>
      <c r="B20" s="846" t="e">
        <f>加算判定!G11</f>
        <v>#N/A</v>
      </c>
      <c r="C20" s="848" t="e">
        <f>加算判定!H11</f>
        <v>#N/A</v>
      </c>
      <c r="D20" s="546" t="str">
        <f t="shared" si="6"/>
        <v/>
      </c>
      <c r="E20" s="486" t="str">
        <f t="shared" si="7"/>
        <v/>
      </c>
      <c r="F20" s="487" t="str">
        <f t="shared" si="3"/>
        <v/>
      </c>
      <c r="G20" s="545" t="e">
        <f>IF($C20="-","",IF($E20="正規職員","-",IF(AND(EXACT(C18,C20),EXACT(D18,D20),EXACT(E18,E20)),G18,"賃金単価を記載")))</f>
        <v>#N/A</v>
      </c>
      <c r="H20" s="487" t="e">
        <f>IF($C20="","",IF($E20="正規職員","-",F20*G20))</f>
        <v>#N/A</v>
      </c>
      <c r="I20" s="487">
        <f t="shared" si="8"/>
        <v>345166.66666667</v>
      </c>
      <c r="J20" s="487">
        <f>IFERROR(IF($B20="-","",IF(D20="",0,IF(E20="正規職員",I20,MIN(H20:I20)))),0)</f>
        <v>0</v>
      </c>
      <c r="K20" s="488" t="str">
        <f t="shared" si="9"/>
        <v/>
      </c>
      <c r="L20" s="343">
        <f t="shared" ref="L20" si="20">L18+1</f>
        <v>10</v>
      </c>
      <c r="M20" s="343" t="e">
        <f>VLOOKUP($D20&amp;M$5,'②-2勤務時間数入力'!$D$7:$Q$106,$L20,FALSE)</f>
        <v>#N/A</v>
      </c>
      <c r="N20" s="343" t="str">
        <f t="shared" si="4"/>
        <v>×</v>
      </c>
      <c r="O20" s="343" t="e">
        <f>VLOOKUP($D20&amp;O$5,'②-2勤務時間数入力'!$D$7:$Q$106,$L20,FALSE)</f>
        <v>#N/A</v>
      </c>
      <c r="P20" s="343" t="str">
        <f t="shared" si="0"/>
        <v>×</v>
      </c>
      <c r="Q20" s="343" t="e">
        <f>VLOOKUP($D20&amp;Q$5,'②-2勤務時間数入力'!$D$7:$Q$106,$L20,FALSE)</f>
        <v>#N/A</v>
      </c>
      <c r="R20" s="343" t="str">
        <f t="shared" si="1"/>
        <v>×</v>
      </c>
      <c r="S20" s="343" t="e">
        <f>VLOOKUP($D20&amp;S$5,'②-2勤務時間数入力'!$D$7:$Q$106,$L20,FALSE)</f>
        <v>#N/A</v>
      </c>
      <c r="T20" s="343" t="str">
        <f t="shared" si="2"/>
        <v>×</v>
      </c>
      <c r="W20" s="455" t="str">
        <f>IFERROR(IF(AND(B20=1,D20="",D21=""),"×","〇"),"〇")</f>
        <v>〇</v>
      </c>
      <c r="X20" s="455" t="str">
        <f t="shared" si="5"/>
        <v>〇</v>
      </c>
    </row>
    <row r="21" spans="1:24" ht="15" customHeight="1">
      <c r="A21" s="845"/>
      <c r="B21" s="847"/>
      <c r="C21" s="849"/>
      <c r="D21" s="546" t="str">
        <f t="shared" si="6"/>
        <v/>
      </c>
      <c r="E21" s="486" t="str">
        <f t="shared" si="7"/>
        <v/>
      </c>
      <c r="F21" s="487" t="str">
        <f t="shared" si="3"/>
        <v/>
      </c>
      <c r="G21" s="545" t="e">
        <f>IF($C20="-","",IF(D21="","",IF($E21="正規職員","-",IF(AND(EXACT(C18,C20),EXACT(D19,D21),EXACT(E19,E21)),G19,"賃金単価を記載"))))</f>
        <v>#N/A</v>
      </c>
      <c r="H21" s="487" t="e">
        <f>IF($C20="","",IF(D21="","",IF($E21="正規職員","-",F21*G21)))</f>
        <v>#N/A</v>
      </c>
      <c r="I21" s="487">
        <f t="shared" si="8"/>
        <v>345166.66666667</v>
      </c>
      <c r="J21" s="487">
        <f>IFERROR(IF($B20="-","",IF(D21="","",IF(E21="正規職員",I21-J20,MIN(MIN(H21:I21),I20-J20)))),0)</f>
        <v>0</v>
      </c>
      <c r="K21" s="488" t="str">
        <f t="shared" si="9"/>
        <v/>
      </c>
      <c r="L21" s="343">
        <f t="shared" ref="L21" si="21">L20</f>
        <v>10</v>
      </c>
      <c r="M21" s="343" t="e">
        <f>VLOOKUP($D21&amp;M$5,'②-2勤務時間数入力'!$D$7:$Q$106,$L21,FALSE)</f>
        <v>#N/A</v>
      </c>
      <c r="N21" s="343" t="str">
        <f t="shared" si="4"/>
        <v>×</v>
      </c>
      <c r="O21" s="343" t="e">
        <f>VLOOKUP($D21&amp;O$5,'②-2勤務時間数入力'!$D$7:$Q$106,$L21,FALSE)</f>
        <v>#N/A</v>
      </c>
      <c r="P21" s="343" t="str">
        <f t="shared" si="0"/>
        <v>×</v>
      </c>
      <c r="Q21" s="343" t="e">
        <f>VLOOKUP($D21&amp;Q$5,'②-2勤務時間数入力'!$D$7:$Q$106,$L21,FALSE)</f>
        <v>#N/A</v>
      </c>
      <c r="R21" s="343" t="str">
        <f t="shared" si="1"/>
        <v>×</v>
      </c>
      <c r="S21" s="343" t="e">
        <f>VLOOKUP($D21&amp;S$5,'②-2勤務時間数入力'!$D$7:$Q$106,$L21,FALSE)</f>
        <v>#N/A</v>
      </c>
      <c r="T21" s="343" t="str">
        <f t="shared" si="2"/>
        <v>×</v>
      </c>
      <c r="X21" s="455" t="str">
        <f t="shared" si="5"/>
        <v>〇</v>
      </c>
    </row>
    <row r="22" spans="1:24" ht="15" customHeight="1">
      <c r="A22" s="844">
        <v>12</v>
      </c>
      <c r="B22" s="846" t="e">
        <f>加算判定!G12</f>
        <v>#N/A</v>
      </c>
      <c r="C22" s="848" t="e">
        <f>加算判定!H12</f>
        <v>#N/A</v>
      </c>
      <c r="D22" s="546" t="str">
        <f t="shared" si="6"/>
        <v/>
      </c>
      <c r="E22" s="486" t="str">
        <f t="shared" si="7"/>
        <v/>
      </c>
      <c r="F22" s="487" t="str">
        <f t="shared" si="3"/>
        <v/>
      </c>
      <c r="G22" s="545" t="e">
        <f>IF($C22="-","",IF($E22="正規職員","-",IF(AND(EXACT(C20,C22),EXACT(D20,D22),EXACT(E20,E22)),G20,"賃金単価を記載")))</f>
        <v>#N/A</v>
      </c>
      <c r="H22" s="487" t="e">
        <f>IF($C22="","",IF($E22="正規職員","-",F22*G22))</f>
        <v>#N/A</v>
      </c>
      <c r="I22" s="487">
        <f t="shared" si="8"/>
        <v>345166.66666667</v>
      </c>
      <c r="J22" s="487">
        <f>IFERROR(IF($B22="-","",IF(D22="",0,IF(E22="正規職員",I22,MIN(H22:I22)))),0)</f>
        <v>0</v>
      </c>
      <c r="K22" s="488" t="str">
        <f t="shared" si="9"/>
        <v/>
      </c>
      <c r="L22" s="343">
        <f t="shared" ref="L22" si="22">L20+1</f>
        <v>11</v>
      </c>
      <c r="M22" s="343" t="e">
        <f>VLOOKUP($D22&amp;M$5,'②-2勤務時間数入力'!$D$7:$Q$106,$L22,FALSE)</f>
        <v>#N/A</v>
      </c>
      <c r="N22" s="343" t="str">
        <f t="shared" si="4"/>
        <v>×</v>
      </c>
      <c r="O22" s="343" t="e">
        <f>VLOOKUP($D22&amp;O$5,'②-2勤務時間数入力'!$D$7:$Q$106,$L22,FALSE)</f>
        <v>#N/A</v>
      </c>
      <c r="P22" s="343" t="str">
        <f t="shared" si="0"/>
        <v>×</v>
      </c>
      <c r="Q22" s="343" t="e">
        <f>VLOOKUP($D22&amp;Q$5,'②-2勤務時間数入力'!$D$7:$Q$106,$L22,FALSE)</f>
        <v>#N/A</v>
      </c>
      <c r="R22" s="343" t="str">
        <f t="shared" si="1"/>
        <v>×</v>
      </c>
      <c r="S22" s="343" t="e">
        <f>VLOOKUP($D22&amp;S$5,'②-2勤務時間数入力'!$D$7:$Q$106,$L22,FALSE)</f>
        <v>#N/A</v>
      </c>
      <c r="T22" s="343" t="str">
        <f t="shared" si="2"/>
        <v>×</v>
      </c>
      <c r="W22" s="455" t="str">
        <f>IFERROR(IF(AND(B22=1,D22="",D23=""),"×","〇"),"〇")</f>
        <v>〇</v>
      </c>
      <c r="X22" s="455" t="str">
        <f t="shared" si="5"/>
        <v>〇</v>
      </c>
    </row>
    <row r="23" spans="1:24" ht="15" customHeight="1">
      <c r="A23" s="845"/>
      <c r="B23" s="847"/>
      <c r="C23" s="849"/>
      <c r="D23" s="546" t="str">
        <f t="shared" si="6"/>
        <v/>
      </c>
      <c r="E23" s="486" t="str">
        <f t="shared" si="7"/>
        <v/>
      </c>
      <c r="F23" s="487" t="str">
        <f t="shared" si="3"/>
        <v/>
      </c>
      <c r="G23" s="545" t="e">
        <f>IF($C22="-","",IF(D23="","",IF($E23="正規職員","-",IF(AND(EXACT(C20,C22),EXACT(D21,D23),EXACT(E21,E23)),G21,"賃金単価を記載"))))</f>
        <v>#N/A</v>
      </c>
      <c r="H23" s="487" t="e">
        <f>IF($C22="","",IF(D23="","",IF($E23="正規職員","-",F23*G23)))</f>
        <v>#N/A</v>
      </c>
      <c r="I23" s="487">
        <f t="shared" si="8"/>
        <v>345166.66666667</v>
      </c>
      <c r="J23" s="487">
        <f>IFERROR(IF($B22="-","",IF(D23="","",IF(E23="正規職員",I23-J22,MIN(MIN(H23:I23),I22-J22)))),0)</f>
        <v>0</v>
      </c>
      <c r="K23" s="488" t="str">
        <f t="shared" si="9"/>
        <v/>
      </c>
      <c r="L23" s="343">
        <f t="shared" ref="L23" si="23">L22</f>
        <v>11</v>
      </c>
      <c r="M23" s="343" t="e">
        <f>VLOOKUP($D23&amp;M$5,'②-2勤務時間数入力'!$D$7:$Q$106,$L23,FALSE)</f>
        <v>#N/A</v>
      </c>
      <c r="N23" s="343" t="str">
        <f t="shared" si="4"/>
        <v>×</v>
      </c>
      <c r="O23" s="343" t="e">
        <f>VLOOKUP($D23&amp;O$5,'②-2勤務時間数入力'!$D$7:$Q$106,$L23,FALSE)</f>
        <v>#N/A</v>
      </c>
      <c r="P23" s="343" t="str">
        <f t="shared" si="0"/>
        <v>×</v>
      </c>
      <c r="Q23" s="343" t="e">
        <f>VLOOKUP($D23&amp;Q$5,'②-2勤務時間数入力'!$D$7:$Q$106,$L23,FALSE)</f>
        <v>#N/A</v>
      </c>
      <c r="R23" s="343" t="str">
        <f t="shared" si="1"/>
        <v>×</v>
      </c>
      <c r="S23" s="343" t="e">
        <f>VLOOKUP($D23&amp;S$5,'②-2勤務時間数入力'!$D$7:$Q$106,$L23,FALSE)</f>
        <v>#N/A</v>
      </c>
      <c r="T23" s="343" t="str">
        <f t="shared" si="2"/>
        <v>×</v>
      </c>
      <c r="X23" s="455" t="str">
        <f t="shared" si="5"/>
        <v>〇</v>
      </c>
    </row>
    <row r="24" spans="1:24" ht="15" customHeight="1">
      <c r="A24" s="844">
        <v>1</v>
      </c>
      <c r="B24" s="846" t="e">
        <f>加算判定!G13</f>
        <v>#N/A</v>
      </c>
      <c r="C24" s="848" t="e">
        <f>加算判定!H13</f>
        <v>#N/A</v>
      </c>
      <c r="D24" s="546" t="str">
        <f t="shared" si="6"/>
        <v/>
      </c>
      <c r="E24" s="486" t="str">
        <f t="shared" si="7"/>
        <v/>
      </c>
      <c r="F24" s="487" t="str">
        <f t="shared" si="3"/>
        <v/>
      </c>
      <c r="G24" s="545" t="e">
        <f>IF($C24="-","",IF($E24="正規職員","-",IF(AND(EXACT(C22,C24),EXACT(D22,D24),EXACT(E22,E24)),G22,"賃金単価を記載")))</f>
        <v>#N/A</v>
      </c>
      <c r="H24" s="487" t="e">
        <f>IF($C24="","",IF($E24="正規職員","-",F24*G24))</f>
        <v>#N/A</v>
      </c>
      <c r="I24" s="487">
        <f t="shared" si="8"/>
        <v>345166.66666667</v>
      </c>
      <c r="J24" s="487">
        <f>IFERROR(IF($B24="-","",IF(D24="",0,IF(E24="正規職員",I24,MIN(H24:I24)))),0)</f>
        <v>0</v>
      </c>
      <c r="K24" s="488" t="str">
        <f t="shared" si="9"/>
        <v/>
      </c>
      <c r="L24" s="343">
        <f t="shared" ref="L24" si="24">L22+1</f>
        <v>12</v>
      </c>
      <c r="M24" s="343" t="e">
        <f>VLOOKUP($D24&amp;M$5,'②-2勤務時間数入力'!$D$7:$Q$106,$L24,FALSE)</f>
        <v>#N/A</v>
      </c>
      <c r="N24" s="343" t="str">
        <f t="shared" si="4"/>
        <v>×</v>
      </c>
      <c r="O24" s="343" t="e">
        <f>VLOOKUP($D24&amp;O$5,'②-2勤務時間数入力'!$D$7:$Q$106,$L24,FALSE)</f>
        <v>#N/A</v>
      </c>
      <c r="P24" s="343" t="str">
        <f t="shared" si="0"/>
        <v>×</v>
      </c>
      <c r="Q24" s="343" t="e">
        <f>VLOOKUP($D24&amp;Q$5,'②-2勤務時間数入力'!$D$7:$Q$106,$L24,FALSE)</f>
        <v>#N/A</v>
      </c>
      <c r="R24" s="343" t="str">
        <f t="shared" si="1"/>
        <v>×</v>
      </c>
      <c r="S24" s="343" t="e">
        <f>VLOOKUP($D24&amp;S$5,'②-2勤務時間数入力'!$D$7:$Q$106,$L24,FALSE)</f>
        <v>#N/A</v>
      </c>
      <c r="T24" s="343" t="str">
        <f t="shared" si="2"/>
        <v>×</v>
      </c>
      <c r="W24" s="455" t="str">
        <f>IFERROR(IF(AND(B24=1,D24="",D25=""),"×","〇"),"〇")</f>
        <v>〇</v>
      </c>
      <c r="X24" s="455" t="str">
        <f t="shared" si="5"/>
        <v>〇</v>
      </c>
    </row>
    <row r="25" spans="1:24" ht="15" customHeight="1">
      <c r="A25" s="845"/>
      <c r="B25" s="847"/>
      <c r="C25" s="849"/>
      <c r="D25" s="546" t="str">
        <f t="shared" si="6"/>
        <v/>
      </c>
      <c r="E25" s="486" t="str">
        <f t="shared" si="7"/>
        <v/>
      </c>
      <c r="F25" s="487" t="str">
        <f t="shared" si="3"/>
        <v/>
      </c>
      <c r="G25" s="545" t="e">
        <f>IF($C24="-","",IF(D25="","",IF($E25="正規職員","-",IF(AND(EXACT(C22,C24),EXACT(D23,D25),EXACT(E23,E25)),G23,"賃金単価を記載"))))</f>
        <v>#N/A</v>
      </c>
      <c r="H25" s="487" t="e">
        <f>IF($C24="","",IF(D25="","",IF($E25="正規職員","-",F25*G25)))</f>
        <v>#N/A</v>
      </c>
      <c r="I25" s="487">
        <f t="shared" si="8"/>
        <v>345166.66666667</v>
      </c>
      <c r="J25" s="487">
        <f>IFERROR(IF($B24="-","",IF(D25="","",IF(E25="正規職員",I25-J24,MIN(MIN(H25:I25),I24-J24)))),0)</f>
        <v>0</v>
      </c>
      <c r="K25" s="488" t="str">
        <f t="shared" si="9"/>
        <v/>
      </c>
      <c r="L25" s="343">
        <f t="shared" ref="L25" si="25">L24</f>
        <v>12</v>
      </c>
      <c r="M25" s="343" t="e">
        <f>VLOOKUP($D25&amp;M$5,'②-2勤務時間数入力'!$D$7:$Q$106,$L25,FALSE)</f>
        <v>#N/A</v>
      </c>
      <c r="N25" s="343" t="str">
        <f t="shared" si="4"/>
        <v>×</v>
      </c>
      <c r="O25" s="343" t="e">
        <f>VLOOKUP($D25&amp;O$5,'②-2勤務時間数入力'!$D$7:$Q$106,$L25,FALSE)</f>
        <v>#N/A</v>
      </c>
      <c r="P25" s="343" t="str">
        <f t="shared" si="0"/>
        <v>×</v>
      </c>
      <c r="Q25" s="343" t="e">
        <f>VLOOKUP($D25&amp;Q$5,'②-2勤務時間数入力'!$D$7:$Q$106,$L25,FALSE)</f>
        <v>#N/A</v>
      </c>
      <c r="R25" s="343" t="str">
        <f t="shared" si="1"/>
        <v>×</v>
      </c>
      <c r="S25" s="343" t="e">
        <f>VLOOKUP($D25&amp;S$5,'②-2勤務時間数入力'!$D$7:$Q$106,$L25,FALSE)</f>
        <v>#N/A</v>
      </c>
      <c r="T25" s="343" t="str">
        <f t="shared" si="2"/>
        <v>×</v>
      </c>
      <c r="X25" s="455" t="str">
        <f t="shared" si="5"/>
        <v>〇</v>
      </c>
    </row>
    <row r="26" spans="1:24" ht="15" customHeight="1">
      <c r="A26" s="844">
        <v>2</v>
      </c>
      <c r="B26" s="846" t="e">
        <f>加算判定!G14</f>
        <v>#N/A</v>
      </c>
      <c r="C26" s="848" t="e">
        <f>加算判定!H14</f>
        <v>#N/A</v>
      </c>
      <c r="D26" s="546" t="str">
        <f t="shared" si="6"/>
        <v/>
      </c>
      <c r="E26" s="486" t="str">
        <f t="shared" si="7"/>
        <v/>
      </c>
      <c r="F26" s="487" t="str">
        <f t="shared" si="3"/>
        <v/>
      </c>
      <c r="G26" s="545" t="e">
        <f>IF($C26="-","",IF($E26="正規職員","-",IF(AND(EXACT(C24,C26),EXACT(D24,D26),EXACT(E24,E26)),G24,"賃金単価を記載")))</f>
        <v>#N/A</v>
      </c>
      <c r="H26" s="487" t="e">
        <f>IF($C26="","",IF($E26="正規職員","-",F26*G26))</f>
        <v>#N/A</v>
      </c>
      <c r="I26" s="487">
        <f t="shared" si="8"/>
        <v>345166.66666667</v>
      </c>
      <c r="J26" s="487">
        <f>IFERROR(IF($B26="-","",IF(D26="",0,IF(E26="正規職員",I26,MIN(H26:I26)))),0)</f>
        <v>0</v>
      </c>
      <c r="K26" s="488" t="str">
        <f t="shared" si="9"/>
        <v/>
      </c>
      <c r="L26" s="343">
        <f t="shared" ref="L26" si="26">L24+1</f>
        <v>13</v>
      </c>
      <c r="M26" s="343" t="e">
        <f>VLOOKUP($D26&amp;M$5,'②-2勤務時間数入力'!$D$7:$Q$106,$L26,FALSE)</f>
        <v>#N/A</v>
      </c>
      <c r="N26" s="343" t="str">
        <f t="shared" si="4"/>
        <v>×</v>
      </c>
      <c r="O26" s="343" t="e">
        <f>VLOOKUP($D26&amp;O$5,'②-2勤務時間数入力'!$D$7:$Q$106,$L26,FALSE)</f>
        <v>#N/A</v>
      </c>
      <c r="P26" s="343" t="str">
        <f t="shared" si="0"/>
        <v>×</v>
      </c>
      <c r="Q26" s="343" t="e">
        <f>VLOOKUP($D26&amp;Q$5,'②-2勤務時間数入力'!$D$7:$Q$106,$L26,FALSE)</f>
        <v>#N/A</v>
      </c>
      <c r="R26" s="343" t="str">
        <f t="shared" si="1"/>
        <v>×</v>
      </c>
      <c r="S26" s="343" t="e">
        <f>VLOOKUP($D26&amp;S$5,'②-2勤務時間数入力'!$D$7:$Q$106,$L26,FALSE)</f>
        <v>#N/A</v>
      </c>
      <c r="T26" s="343" t="str">
        <f t="shared" si="2"/>
        <v>×</v>
      </c>
      <c r="W26" s="455" t="str">
        <f>IFERROR(IF(AND(B26=1,D26="",D27=""),"×","〇"),"〇")</f>
        <v>〇</v>
      </c>
      <c r="X26" s="455" t="str">
        <f t="shared" si="5"/>
        <v>〇</v>
      </c>
    </row>
    <row r="27" spans="1:24" ht="15" customHeight="1">
      <c r="A27" s="845"/>
      <c r="B27" s="847"/>
      <c r="C27" s="849"/>
      <c r="D27" s="546" t="str">
        <f t="shared" si="6"/>
        <v/>
      </c>
      <c r="E27" s="486" t="str">
        <f t="shared" si="7"/>
        <v/>
      </c>
      <c r="F27" s="487" t="str">
        <f t="shared" si="3"/>
        <v/>
      </c>
      <c r="G27" s="545" t="e">
        <f>IF($C26="-","",IF(D27="","",IF($E27="正規職員","-",IF(AND(EXACT(C24,C26),EXACT(D25,D27),EXACT(E25,E27)),G25,"賃金単価を記載"))))</f>
        <v>#N/A</v>
      </c>
      <c r="H27" s="487" t="e">
        <f>IF($C26="","",IF(D27="","",IF($E27="正規職員","-",F27*G27)))</f>
        <v>#N/A</v>
      </c>
      <c r="I27" s="487">
        <f t="shared" si="8"/>
        <v>345166.66666667</v>
      </c>
      <c r="J27" s="487">
        <f>IFERROR(IF($B26="-","",IF(D27="","",IF(E27="正規職員",I27-J26,MIN(MIN(H27:I27),I26-J26)))),0)</f>
        <v>0</v>
      </c>
      <c r="K27" s="488" t="str">
        <f t="shared" si="9"/>
        <v/>
      </c>
      <c r="L27" s="343">
        <f t="shared" ref="L27" si="27">L26</f>
        <v>13</v>
      </c>
      <c r="M27" s="343" t="e">
        <f>VLOOKUP($D27&amp;M$5,'②-2勤務時間数入力'!$D$7:$Q$106,$L27,FALSE)</f>
        <v>#N/A</v>
      </c>
      <c r="N27" s="343" t="str">
        <f t="shared" si="4"/>
        <v>×</v>
      </c>
      <c r="O27" s="343" t="e">
        <f>VLOOKUP($D27&amp;O$5,'②-2勤務時間数入力'!$D$7:$Q$106,$L27,FALSE)</f>
        <v>#N/A</v>
      </c>
      <c r="P27" s="343" t="str">
        <f t="shared" si="0"/>
        <v>×</v>
      </c>
      <c r="Q27" s="343" t="e">
        <f>VLOOKUP($D27&amp;Q$5,'②-2勤務時間数入力'!$D$7:$Q$106,$L27,FALSE)</f>
        <v>#N/A</v>
      </c>
      <c r="R27" s="343" t="str">
        <f t="shared" si="1"/>
        <v>×</v>
      </c>
      <c r="S27" s="343" t="e">
        <f>VLOOKUP($D27&amp;S$5,'②-2勤務時間数入力'!$D$7:$Q$106,$L27,FALSE)</f>
        <v>#N/A</v>
      </c>
      <c r="T27" s="343" t="str">
        <f t="shared" si="2"/>
        <v>×</v>
      </c>
      <c r="X27" s="455" t="str">
        <f t="shared" si="5"/>
        <v>〇</v>
      </c>
    </row>
    <row r="28" spans="1:24" ht="15" customHeight="1">
      <c r="A28" s="844">
        <v>3</v>
      </c>
      <c r="B28" s="846" t="e">
        <f>加算判定!G15</f>
        <v>#N/A</v>
      </c>
      <c r="C28" s="848" t="e">
        <f>加算判定!H15</f>
        <v>#N/A</v>
      </c>
      <c r="D28" s="546" t="str">
        <f t="shared" si="6"/>
        <v/>
      </c>
      <c r="E28" s="486" t="str">
        <f t="shared" si="7"/>
        <v/>
      </c>
      <c r="F28" s="487" t="str">
        <f t="shared" si="3"/>
        <v/>
      </c>
      <c r="G28" s="545" t="e">
        <f>IF($C28="-","",IF($E28="正規職員","-",IF(AND(EXACT(C26,C28),EXACT(D26,D28),EXACT(E26,E28)),G26,"賃金単価を記載")))</f>
        <v>#N/A</v>
      </c>
      <c r="H28" s="487" t="e">
        <f>IF($C28="","",IF($E28="正規職員","-",F28*G28))</f>
        <v>#N/A</v>
      </c>
      <c r="I28" s="487">
        <f t="shared" si="8"/>
        <v>345166.66666667</v>
      </c>
      <c r="J28" s="487">
        <f>IFERROR(IF($B28="-","",IF(D28="",0,IF(E28="正規職員",I28,MIN(H28:I28)))),0)</f>
        <v>0</v>
      </c>
      <c r="K28" s="488" t="str">
        <f t="shared" si="9"/>
        <v/>
      </c>
      <c r="L28" s="343">
        <f t="shared" ref="L28" si="28">L26+1</f>
        <v>14</v>
      </c>
      <c r="M28" s="343" t="e">
        <f>VLOOKUP($D28&amp;M$5,'②-2勤務時間数入力'!$D$7:$Q$106,$L28,FALSE)</f>
        <v>#N/A</v>
      </c>
      <c r="N28" s="343" t="str">
        <f t="shared" si="4"/>
        <v>×</v>
      </c>
      <c r="O28" s="343" t="e">
        <f>VLOOKUP($D28&amp;O$5,'②-2勤務時間数入力'!$D$7:$Q$106,$L28,FALSE)</f>
        <v>#N/A</v>
      </c>
      <c r="P28" s="343" t="str">
        <f t="shared" si="0"/>
        <v>×</v>
      </c>
      <c r="Q28" s="343" t="e">
        <f>VLOOKUP($D28&amp;Q$5,'②-2勤務時間数入力'!$D$7:$Q$106,$L28,FALSE)</f>
        <v>#N/A</v>
      </c>
      <c r="R28" s="343" t="str">
        <f t="shared" si="1"/>
        <v>×</v>
      </c>
      <c r="S28" s="343" t="e">
        <f>VLOOKUP($D28&amp;S$5,'②-2勤務時間数入力'!$D$7:$Q$106,$L28,FALSE)</f>
        <v>#N/A</v>
      </c>
      <c r="T28" s="343" t="str">
        <f t="shared" si="2"/>
        <v>×</v>
      </c>
      <c r="W28" s="455" t="str">
        <f>IFERROR(IF(AND(B28=1,D28="",D29=""),"×","〇"),"〇")</f>
        <v>〇</v>
      </c>
      <c r="X28" s="455" t="str">
        <f t="shared" si="5"/>
        <v>〇</v>
      </c>
    </row>
    <row r="29" spans="1:24" ht="15" customHeight="1">
      <c r="A29" s="845"/>
      <c r="B29" s="847"/>
      <c r="C29" s="849"/>
      <c r="D29" s="546" t="str">
        <f>IF(D27="","",D27)</f>
        <v/>
      </c>
      <c r="E29" s="486" t="str">
        <f t="shared" si="7"/>
        <v/>
      </c>
      <c r="F29" s="487" t="str">
        <f t="shared" si="3"/>
        <v/>
      </c>
      <c r="G29" s="545" t="e">
        <f>IF($C28="-","",IF(D29="","",IF($E29="正規職員","-",IF(AND(EXACT(C26,C28),EXACT(D27,D29),EXACT(E27,E29)),G27,"賃金単価を記載"))))</f>
        <v>#N/A</v>
      </c>
      <c r="H29" s="487" t="e">
        <f>IF($C28="","",IF(D29="","",IF($E29="正規職員","-",F29*G29)))</f>
        <v>#N/A</v>
      </c>
      <c r="I29" s="487">
        <f t="shared" si="8"/>
        <v>345166.66666667</v>
      </c>
      <c r="J29" s="487">
        <f>IFERROR(IF($B28="-","",IF(D29="","",IF(E29="正規職員",I29-J28,MIN(MIN(H29:I29),I28-J28)))),0)</f>
        <v>0</v>
      </c>
      <c r="K29" s="488" t="str">
        <f t="shared" si="9"/>
        <v/>
      </c>
      <c r="L29" s="343">
        <f t="shared" ref="L29" si="29">L28</f>
        <v>14</v>
      </c>
      <c r="M29" s="343" t="e">
        <f>VLOOKUP($D29&amp;M$5,'②-2勤務時間数入力'!$D$7:$Q$106,$L29,FALSE)</f>
        <v>#N/A</v>
      </c>
      <c r="N29" s="343" t="str">
        <f t="shared" si="4"/>
        <v>×</v>
      </c>
      <c r="O29" s="343" t="e">
        <f>VLOOKUP($D29&amp;O$5,'②-2勤務時間数入力'!$D$7:$Q$106,$L29,FALSE)</f>
        <v>#N/A</v>
      </c>
      <c r="P29" s="343" t="str">
        <f t="shared" si="0"/>
        <v>×</v>
      </c>
      <c r="Q29" s="343" t="e">
        <f>VLOOKUP($D29&amp;Q$5,'②-2勤務時間数入力'!$D$7:$Q$106,$L29,FALSE)</f>
        <v>#N/A</v>
      </c>
      <c r="R29" s="343" t="str">
        <f t="shared" si="1"/>
        <v>×</v>
      </c>
      <c r="S29" s="343" t="e">
        <f>VLOOKUP($D29&amp;S$5,'②-2勤務時間数入力'!$D$7:$Q$106,$L29,FALSE)</f>
        <v>#N/A</v>
      </c>
      <c r="T29" s="343" t="str">
        <f t="shared" si="2"/>
        <v>×</v>
      </c>
      <c r="X29" s="455" t="str">
        <f t="shared" si="5"/>
        <v>〇</v>
      </c>
    </row>
    <row r="30" spans="1:24" ht="15" customHeight="1">
      <c r="A30" s="489" t="s">
        <v>246</v>
      </c>
      <c r="B30" s="487"/>
      <c r="C30" s="487"/>
      <c r="D30" s="342"/>
      <c r="E30" s="487"/>
      <c r="F30" s="487"/>
      <c r="G30" s="487"/>
      <c r="H30" s="487"/>
      <c r="I30" s="487"/>
      <c r="J30" s="553">
        <f>ROUNDDOWN(SUM(J6,J8,J10,J12,J14,J16,J18,J20,J22,J24,J26,J28),-3)+ROUNDDOWN(SUM(J7,J9,J11,J13,J15,J17,J19,J21,J23,J25,J27,J29),-3)</f>
        <v>0</v>
      </c>
    </row>
    <row r="31" spans="1:24" ht="15" customHeight="1">
      <c r="B31" s="488"/>
      <c r="C31" s="488"/>
      <c r="D31" s="488"/>
      <c r="E31" s="488"/>
      <c r="F31" s="488"/>
      <c r="G31" s="488"/>
      <c r="H31" s="488"/>
      <c r="I31" s="488"/>
      <c r="J31" s="488"/>
    </row>
    <row r="33" spans="2:9">
      <c r="B33" s="337"/>
      <c r="D33" s="337"/>
      <c r="E33" s="337"/>
      <c r="F33" s="337"/>
      <c r="G33" s="337"/>
    </row>
    <row r="37" spans="2:9" hidden="1">
      <c r="I37" s="336" t="s">
        <v>551</v>
      </c>
    </row>
    <row r="38" spans="2:9" hidden="1">
      <c r="H38" s="336" t="s">
        <v>547</v>
      </c>
      <c r="I38" s="336" t="str">
        <f>'②-1職員名簿'!C144</f>
        <v>保育教諭等</v>
      </c>
    </row>
    <row r="39" spans="2:9" hidden="1">
      <c r="H39" s="336" t="s">
        <v>548</v>
      </c>
      <c r="I39" s="336" t="str">
        <f>'②-1職員名簿'!C145</f>
        <v>要件緩和</v>
      </c>
    </row>
    <row r="40" spans="2:9" hidden="1">
      <c r="H40" s="336" t="s">
        <v>549</v>
      </c>
      <c r="I40" s="336" t="str">
        <f>'②-1職員名簿'!C146</f>
        <v>看護師等</v>
      </c>
    </row>
    <row r="41" spans="2:9" hidden="1">
      <c r="H41" s="336" t="s">
        <v>550</v>
      </c>
      <c r="I41" s="336" t="str">
        <f>'②-1職員名簿'!C147</f>
        <v>栄養士</v>
      </c>
    </row>
    <row r="42" spans="2:9" hidden="1">
      <c r="H42" s="336" t="s">
        <v>554</v>
      </c>
      <c r="I42" s="336" t="str">
        <f>'②-1職員名簿'!C148</f>
        <v>調理師等</v>
      </c>
    </row>
    <row r="43" spans="2:9" hidden="1">
      <c r="H43" s="336" t="s">
        <v>555</v>
      </c>
      <c r="I43" s="336" t="str">
        <f>'②-1職員名簿'!C149</f>
        <v>教育・保育支援者</v>
      </c>
    </row>
  </sheetData>
  <sheetProtection algorithmName="SHA-512" hashValue="h6T2Oi574W3EeZ7pEXOyaNQTAe/U7iE1OvTj6oxbhy3lvFlJrMVwkJIqLQVQxCOtDoZVtTYtWJxTqk3MePIY9A==" saltValue="foKkpxUmofR9EzHdj4b2kA==" spinCount="100000" sheet="1" selectLockedCells="1"/>
  <mergeCells count="43">
    <mergeCell ref="A26:A27"/>
    <mergeCell ref="B26:B27"/>
    <mergeCell ref="C26:C27"/>
    <mergeCell ref="A28:A29"/>
    <mergeCell ref="B28:B29"/>
    <mergeCell ref="C28:C29"/>
    <mergeCell ref="A22:A23"/>
    <mergeCell ref="B22:B23"/>
    <mergeCell ref="C22:C23"/>
    <mergeCell ref="A24:A25"/>
    <mergeCell ref="B24:B25"/>
    <mergeCell ref="C24:C25"/>
    <mergeCell ref="A18:A19"/>
    <mergeCell ref="B18:B19"/>
    <mergeCell ref="C18:C19"/>
    <mergeCell ref="A20:A21"/>
    <mergeCell ref="B20:B21"/>
    <mergeCell ref="C20:C21"/>
    <mergeCell ref="A14:A15"/>
    <mergeCell ref="B14:B15"/>
    <mergeCell ref="C14:C15"/>
    <mergeCell ref="A16:A17"/>
    <mergeCell ref="B16:B17"/>
    <mergeCell ref="C16:C17"/>
    <mergeCell ref="A10:A11"/>
    <mergeCell ref="B10:B11"/>
    <mergeCell ref="C10:C11"/>
    <mergeCell ref="A12:A13"/>
    <mergeCell ref="B12:B13"/>
    <mergeCell ref="C12:C13"/>
    <mergeCell ref="S5:T5"/>
    <mergeCell ref="A6:A7"/>
    <mergeCell ref="B6:B7"/>
    <mergeCell ref="C6:C7"/>
    <mergeCell ref="A8:A9"/>
    <mergeCell ref="B8:B9"/>
    <mergeCell ref="C8:C9"/>
    <mergeCell ref="Q5:R5"/>
    <mergeCell ref="A1:J1"/>
    <mergeCell ref="E2:F2"/>
    <mergeCell ref="G2:J2"/>
    <mergeCell ref="M5:N5"/>
    <mergeCell ref="O5:P5"/>
  </mergeCells>
  <phoneticPr fontId="1"/>
  <conditionalFormatting sqref="D6:D29">
    <cfRule type="containsBlanks" dxfId="61" priority="1">
      <formula>LEN(TRIM(D6))=0</formula>
    </cfRule>
  </conditionalFormatting>
  <conditionalFormatting sqref="G6:G29">
    <cfRule type="containsText" dxfId="60" priority="2" operator="containsText" text="賃金単価を記載">
      <formula>NOT(ISERROR(SEARCH("賃金単価を記載",G6)))</formula>
    </cfRule>
  </conditionalFormatting>
  <pageMargins left="0.70866141732283472" right="0.70866141732283472" top="0.74803149606299213" bottom="0.74803149606299213" header="0.31496062992125984" footer="0.31496062992125984"/>
  <pageSetup paperSize="9" scale="96" orientation="landscape"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A7BA5AA-36E5-4FAF-AA4C-7E08424AC248}">
          <x14:formula1>
            <xm:f>'②-1職員名簿'!Y$7:Y$107</xm:f>
          </x14:formula1>
          <xm:sqref>D6:D29</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C8824-B2E2-45DF-A935-44FBC0BC0250}">
  <sheetPr>
    <tabColor rgb="FF00B050"/>
  </sheetPr>
  <dimension ref="A1:AD92"/>
  <sheetViews>
    <sheetView showGridLines="0" view="pageBreakPreview" zoomScale="85" zoomScaleNormal="115" zoomScaleSheetLayoutView="85" workbookViewId="0">
      <selection activeCell="E6" sqref="E6"/>
    </sheetView>
  </sheetViews>
  <sheetFormatPr defaultRowHeight="15"/>
  <cols>
    <col min="1" max="1" width="5.58203125" style="336" customWidth="1"/>
    <col min="2" max="2" width="7.5" style="336" customWidth="1"/>
    <col min="3" max="3" width="4.75" style="336" customWidth="1"/>
    <col min="4" max="4" width="8.08203125" style="336" customWidth="1"/>
    <col min="5" max="5" width="27.5" style="336" customWidth="1"/>
    <col min="6" max="6" width="23.25" style="336" hidden="1" customWidth="1"/>
    <col min="7" max="7" width="10" style="336" customWidth="1"/>
    <col min="8" max="8" width="10.58203125" style="336" customWidth="1"/>
    <col min="9" max="13" width="11.25" style="336" customWidth="1"/>
    <col min="14" max="14" width="12.83203125" style="336" bestFit="1" customWidth="1"/>
    <col min="15" max="24" width="0" style="336" hidden="1" customWidth="1"/>
    <col min="25" max="16384" width="8.6640625" style="336"/>
  </cols>
  <sheetData>
    <row r="1" spans="1:30" s="481" customFormat="1" ht="22">
      <c r="A1" s="852" t="s">
        <v>252</v>
      </c>
      <c r="B1" s="852"/>
      <c r="C1" s="852"/>
      <c r="D1" s="852"/>
      <c r="E1" s="852"/>
      <c r="F1" s="852"/>
      <c r="G1" s="852"/>
      <c r="H1" s="852"/>
      <c r="I1" s="852"/>
      <c r="J1" s="852"/>
      <c r="K1" s="852"/>
      <c r="L1" s="852"/>
      <c r="M1" s="852"/>
      <c r="N1" s="852"/>
      <c r="O1" s="480"/>
      <c r="P1" s="480"/>
      <c r="Q1" s="480"/>
      <c r="R1" s="480"/>
      <c r="S1" s="480"/>
    </row>
    <row r="2" spans="1:30" s="481" customFormat="1" ht="22">
      <c r="G2" s="869" t="s">
        <v>91</v>
      </c>
      <c r="H2" s="869"/>
      <c r="I2" s="870">
        <f>①基本情報!D6</f>
        <v>0</v>
      </c>
      <c r="J2" s="870"/>
      <c r="K2" s="870"/>
      <c r="L2" s="870"/>
      <c r="M2" s="870"/>
      <c r="N2" s="870"/>
      <c r="P2" s="481" t="s">
        <v>118</v>
      </c>
    </row>
    <row r="3" spans="1:30" s="481" customFormat="1" ht="50.25" customHeight="1">
      <c r="G3" s="490"/>
      <c r="H3" s="490"/>
      <c r="I3" s="491"/>
      <c r="J3" s="491"/>
      <c r="K3" s="491"/>
      <c r="L3" s="491"/>
      <c r="M3" s="491"/>
      <c r="N3" s="491"/>
      <c r="AA3" s="336" t="s">
        <v>1510</v>
      </c>
      <c r="AB3" s="336"/>
    </row>
    <row r="4" spans="1:30">
      <c r="A4" s="482" t="s">
        <v>251</v>
      </c>
      <c r="B4" s="336" t="s">
        <v>733</v>
      </c>
      <c r="AA4" s="455" t="str">
        <f>IF(COUNTIF(AA6:AA72,"×")&gt;0,"×","〇")</f>
        <v>〇</v>
      </c>
      <c r="AB4" s="455" t="str">
        <f>IF(COUNTIF(AB6:AB76,"×")&gt;0,"×","〇")</f>
        <v>〇</v>
      </c>
      <c r="AC4" s="455" t="str">
        <f t="shared" ref="AC4:AD4" si="0">IF(COUNTIF(AC6:AC76,"×")&gt;0,"×","〇")</f>
        <v>〇</v>
      </c>
      <c r="AD4" s="455" t="str">
        <f t="shared" si="0"/>
        <v>〇</v>
      </c>
    </row>
    <row r="5" spans="1:30" ht="30">
      <c r="B5" s="547" t="s">
        <v>1594</v>
      </c>
      <c r="C5" s="492" t="s">
        <v>624</v>
      </c>
      <c r="D5" s="483" t="s">
        <v>581</v>
      </c>
      <c r="E5" s="454" t="s">
        <v>236</v>
      </c>
      <c r="F5" s="483" t="s">
        <v>783</v>
      </c>
      <c r="G5" s="479" t="s">
        <v>237</v>
      </c>
      <c r="H5" s="479" t="s">
        <v>238</v>
      </c>
      <c r="I5" s="454" t="s">
        <v>239</v>
      </c>
      <c r="J5" s="454" t="s">
        <v>269</v>
      </c>
      <c r="K5" s="454" t="s">
        <v>270</v>
      </c>
      <c r="L5" s="454" t="s">
        <v>240</v>
      </c>
      <c r="M5" s="454" t="s">
        <v>241</v>
      </c>
      <c r="N5" s="454" t="s">
        <v>242</v>
      </c>
      <c r="P5" s="341" t="s">
        <v>243</v>
      </c>
      <c r="Q5" s="850" t="s">
        <v>186</v>
      </c>
      <c r="R5" s="851"/>
      <c r="S5" s="850" t="s">
        <v>187</v>
      </c>
      <c r="T5" s="851"/>
      <c r="U5" s="850" t="s">
        <v>244</v>
      </c>
      <c r="V5" s="851"/>
      <c r="W5" s="850" t="s">
        <v>245</v>
      </c>
      <c r="X5" s="851"/>
      <c r="AA5" s="336" t="s">
        <v>236</v>
      </c>
      <c r="AB5" s="455" t="s">
        <v>1511</v>
      </c>
      <c r="AC5" s="336" t="s">
        <v>269</v>
      </c>
      <c r="AD5" s="336" t="s">
        <v>270</v>
      </c>
    </row>
    <row r="6" spans="1:30" ht="13.5" customHeight="1">
      <c r="A6" s="844">
        <v>4</v>
      </c>
      <c r="B6" s="871" t="str">
        <f>IF(①基本情報!F36="有",①基本情報!F37,"無")</f>
        <v>無</v>
      </c>
      <c r="C6" s="866" t="e">
        <f>加算判定!I4</f>
        <v>#N/A</v>
      </c>
      <c r="D6" s="848" t="e">
        <f>加算判定!J4</f>
        <v>#N/A</v>
      </c>
      <c r="E6" s="484"/>
      <c r="F6" s="485"/>
      <c r="G6" s="494" t="str">
        <f t="shared" ref="G6:G10" si="1">IF(E6="","",IF(R6="○",Q$5,IF(T6="○",S$5,IF(V6="○",U$5,IF(X6="○",W$5,"ERROR")))))</f>
        <v/>
      </c>
      <c r="H6" s="495" t="str">
        <f t="shared" ref="H6:H10" si="2">IF(E6="","",IF(R6="○",Q6,IF(T6="○",S6,IF(V6="○",U6,IF(X6="○",W6,"ERROR")))))</f>
        <v/>
      </c>
      <c r="I6" s="545" t="str">
        <f t="shared" ref="I6:I10" si="3">IF($E6="","",IF($G6="正規職員","-","賃金単価を記載"))</f>
        <v/>
      </c>
      <c r="J6" s="545" t="str">
        <f>IF($E6="","",IF($G6="正規職員","-","勤務日数を記載（定期利用の場合、1と記載)"))</f>
        <v/>
      </c>
      <c r="K6" s="545" t="str">
        <f>IF($E6="","",IF($G6="正規職員","-","日額の交通費を記載（定期利用の場合は月額)"))</f>
        <v/>
      </c>
      <c r="L6" s="487" t="str">
        <f t="shared" ref="L6:L10" si="4">IF($E6="","",IF($G6="正規職員","-",(H6*I6+J6*K6)))</f>
        <v/>
      </c>
      <c r="M6" s="496">
        <f>⑤基本加算１!AB18</f>
        <v>236166.66666667</v>
      </c>
      <c r="N6" s="487">
        <f>IFERROR(IF($C6="-","",IF(E6="",0,IF(G6="正規職員",M6,MIN(L6:M6)))),0)</f>
        <v>0</v>
      </c>
      <c r="O6" s="488" t="str">
        <f>IF(E6="","",IF(COUNTIFS(E6,"*給食室*")=1,"○","エラー"))</f>
        <v/>
      </c>
      <c r="P6" s="343">
        <v>3</v>
      </c>
      <c r="Q6" s="343" t="e">
        <f>VLOOKUP($E6&amp;Q$5,'②-2勤務時間数入力'!$D$7:$Q$106,$P6,FALSE)</f>
        <v>#N/A</v>
      </c>
      <c r="R6" s="343" t="str">
        <f>IF(ISERROR(Q6),"×",IF(Q6="-","×","○"))</f>
        <v>×</v>
      </c>
      <c r="S6" s="343" t="e">
        <f>VLOOKUP($E6&amp;S$5,'②-2勤務時間数入力'!$D$7:$Q$106,$P6,FALSE)</f>
        <v>#N/A</v>
      </c>
      <c r="T6" s="343" t="str">
        <f>IF(ISERROR(S6),"×",IF(S6="-","×","○"))</f>
        <v>×</v>
      </c>
      <c r="U6" s="343" t="e">
        <f>VLOOKUP($E6&amp;U$5,'②-2勤務時間数入力'!$D$7:$Q$106,$P6,FALSE)</f>
        <v>#N/A</v>
      </c>
      <c r="V6" s="343" t="str">
        <f>IF(ISERROR(U6),"×",IF(U6="-","×","○"))</f>
        <v>×</v>
      </c>
      <c r="W6" s="343" t="e">
        <f>VLOOKUP($E6&amp;W$5,'②-2勤務時間数入力'!$D$7:$Q$106,$P6,FALSE)</f>
        <v>#N/A</v>
      </c>
      <c r="X6" s="343" t="str">
        <f>IF(ISERROR(W6),"×",IF(W6="-","×","○"))</f>
        <v>×</v>
      </c>
      <c r="AA6" s="455" t="str">
        <f>IFERROR(IF(AND(C6=1,E6="",E7="",E8="",E9="",E10=""),"×","〇"),"〇")</f>
        <v>〇</v>
      </c>
      <c r="AB6" s="455" t="str">
        <f>IFERROR(IF(I6="賃金単価を記載","×","〇"),"〇")</f>
        <v>〇</v>
      </c>
      <c r="AC6" s="455" t="str">
        <f>IFERROR(IF(J6="勤務日数を記載（定期利用の場合、1と記載)","×","〇"),"〇")</f>
        <v>〇</v>
      </c>
      <c r="AD6" s="455" t="str">
        <f>IFERROR(IF(K6="日額の交通費を記載（定期利用の場合は月額)","×","〇"),"〇")</f>
        <v>〇</v>
      </c>
    </row>
    <row r="7" spans="1:30" ht="13.5" customHeight="1">
      <c r="A7" s="861"/>
      <c r="B7" s="871"/>
      <c r="C7" s="867"/>
      <c r="D7" s="872"/>
      <c r="E7" s="484"/>
      <c r="F7" s="485"/>
      <c r="G7" s="494" t="str">
        <f t="shared" si="1"/>
        <v/>
      </c>
      <c r="H7" s="495" t="str">
        <f t="shared" si="2"/>
        <v/>
      </c>
      <c r="I7" s="545" t="str">
        <f t="shared" si="3"/>
        <v/>
      </c>
      <c r="J7" s="545" t="str">
        <f t="shared" ref="J7:J10" si="5">IF($E7="","",IF($G7="正規職員","-","勤務日数を記載（定期利用の場合、1と記載)"))</f>
        <v/>
      </c>
      <c r="K7" s="545" t="str">
        <f t="shared" ref="K7:K10" si="6">IF($E7="","",IF($G7="正規職員","-","日額の交通費を記載（定期利用の場合は月額)"))</f>
        <v/>
      </c>
      <c r="L7" s="487" t="str">
        <f t="shared" si="4"/>
        <v/>
      </c>
      <c r="M7" s="487">
        <f>$M$6</f>
        <v>236166.66666667</v>
      </c>
      <c r="N7" s="487">
        <f>IFERROR(IF($C6="-","",IF(E7="","",IF(G7="正規職員",M7-M6,MIN(MIN(L7:M7),M6-N6)))),0)</f>
        <v>0</v>
      </c>
      <c r="O7" s="488" t="str">
        <f t="shared" ref="O7:O10" si="7">IF(E7="","",IF(COUNTIFS(E7,"*給食室*")=1,"○","エラー"))</f>
        <v/>
      </c>
      <c r="P7" s="343">
        <f>P6</f>
        <v>3</v>
      </c>
      <c r="Q7" s="343" t="e">
        <f>VLOOKUP($E7&amp;Q$5,'②-2勤務時間数入力'!$D$7:$Q$106,$P7,FALSE)</f>
        <v>#N/A</v>
      </c>
      <c r="R7" s="343" t="str">
        <f>IF(ISERROR(Q7),"×",IF(Q7="-","×","○"))</f>
        <v>×</v>
      </c>
      <c r="S7" s="343" t="e">
        <f>VLOOKUP($E7&amp;S$5,'②-2勤務時間数入力'!$D$7:$Q$106,$P7,FALSE)</f>
        <v>#N/A</v>
      </c>
      <c r="T7" s="343" t="str">
        <f>IF(ISERROR(S7),"×",IF(S7="-","×","○"))</f>
        <v>×</v>
      </c>
      <c r="U7" s="343" t="e">
        <f>VLOOKUP($E7&amp;U$5,'②-2勤務時間数入力'!$D$7:$Q$106,$P7,FALSE)</f>
        <v>#N/A</v>
      </c>
      <c r="V7" s="343" t="str">
        <f>IF(ISERROR(U7),"×",IF(U7="-","×","○"))</f>
        <v>×</v>
      </c>
      <c r="W7" s="343" t="e">
        <f>VLOOKUP($E7&amp;W$5,'②-2勤務時間数入力'!$D$7:$Q$106,$P7,FALSE)</f>
        <v>#N/A</v>
      </c>
      <c r="X7" s="343" t="str">
        <f>IF(ISERROR(W7),"×",IF(W7="-","×","○"))</f>
        <v>×</v>
      </c>
      <c r="AB7" s="455" t="str">
        <f t="shared" ref="AB7:AB70" si="8">IFERROR(IF(I7="賃金単価を記載","×","〇"),"〇")</f>
        <v>〇</v>
      </c>
      <c r="AC7" s="455" t="str">
        <f t="shared" ref="AC7:AC70" si="9">IFERROR(IF(J7="勤務日数を記載（定期利用の場合、1と記載)","×","〇"),"〇")</f>
        <v>〇</v>
      </c>
      <c r="AD7" s="455" t="str">
        <f t="shared" ref="AD7:AD70" si="10">IFERROR(IF(K7="日額の交通費を記載（定期利用の場合は月額)","×","〇"),"〇")</f>
        <v>〇</v>
      </c>
    </row>
    <row r="8" spans="1:30" ht="13.5" customHeight="1">
      <c r="A8" s="861"/>
      <c r="B8" s="871"/>
      <c r="C8" s="867"/>
      <c r="D8" s="872"/>
      <c r="E8" s="484"/>
      <c r="F8" s="485"/>
      <c r="G8" s="494" t="str">
        <f t="shared" si="1"/>
        <v/>
      </c>
      <c r="H8" s="495" t="str">
        <f t="shared" si="2"/>
        <v/>
      </c>
      <c r="I8" s="545" t="str">
        <f t="shared" si="3"/>
        <v/>
      </c>
      <c r="J8" s="545" t="str">
        <f t="shared" si="5"/>
        <v/>
      </c>
      <c r="K8" s="545" t="str">
        <f t="shared" si="6"/>
        <v/>
      </c>
      <c r="L8" s="487" t="str">
        <f t="shared" si="4"/>
        <v/>
      </c>
      <c r="M8" s="487">
        <f>$M$6</f>
        <v>236166.66666667</v>
      </c>
      <c r="N8" s="487">
        <f>IFERROR(IF($C6="-","",IF(E8="","",IF(G8="正規職員",M8-M7,MIN(MIN(L8:M8),M7-N7)))),0)</f>
        <v>0</v>
      </c>
      <c r="O8" s="488" t="str">
        <f t="shared" si="7"/>
        <v/>
      </c>
      <c r="P8" s="343">
        <f t="shared" ref="P8:P9" si="11">P7</f>
        <v>3</v>
      </c>
      <c r="Q8" s="343" t="e">
        <f>VLOOKUP($E8&amp;Q$5,'②-2勤務時間数入力'!$D$7:$Q$106,$P8,FALSE)</f>
        <v>#N/A</v>
      </c>
      <c r="R8" s="343" t="str">
        <f>IF(ISERROR(Q8),"×",IF(Q8="-","×","○"))</f>
        <v>×</v>
      </c>
      <c r="S8" s="343" t="e">
        <f>VLOOKUP($E8&amp;S$5,'②-2勤務時間数入力'!$D$7:$Q$106,$P8,FALSE)</f>
        <v>#N/A</v>
      </c>
      <c r="T8" s="343" t="str">
        <f>IF(ISERROR(S8),"×",IF(S8="-","×","○"))</f>
        <v>×</v>
      </c>
      <c r="U8" s="343" t="e">
        <f>VLOOKUP($E8&amp;U$5,'②-2勤務時間数入力'!$D$7:$Q$106,$P8,FALSE)</f>
        <v>#N/A</v>
      </c>
      <c r="V8" s="343" t="str">
        <f>IF(ISERROR(U8),"×",IF(U8="-","×","○"))</f>
        <v>×</v>
      </c>
      <c r="W8" s="343" t="e">
        <f>VLOOKUP($E8&amp;W$5,'②-2勤務時間数入力'!$D$7:$Q$106,$P8,FALSE)</f>
        <v>#N/A</v>
      </c>
      <c r="X8" s="343" t="str">
        <f>IF(ISERROR(W8),"×",IF(W8="-","×","○"))</f>
        <v>×</v>
      </c>
      <c r="AB8" s="455" t="str">
        <f t="shared" si="8"/>
        <v>〇</v>
      </c>
      <c r="AC8" s="455" t="str">
        <f t="shared" si="9"/>
        <v>〇</v>
      </c>
      <c r="AD8" s="455" t="str">
        <f t="shared" si="10"/>
        <v>〇</v>
      </c>
    </row>
    <row r="9" spans="1:30" ht="13.5" customHeight="1">
      <c r="A9" s="861"/>
      <c r="B9" s="871"/>
      <c r="C9" s="867"/>
      <c r="D9" s="872"/>
      <c r="E9" s="484"/>
      <c r="F9" s="485"/>
      <c r="G9" s="494" t="str">
        <f t="shared" si="1"/>
        <v/>
      </c>
      <c r="H9" s="495" t="str">
        <f t="shared" si="2"/>
        <v/>
      </c>
      <c r="I9" s="545" t="str">
        <f t="shared" si="3"/>
        <v/>
      </c>
      <c r="J9" s="545" t="str">
        <f t="shared" si="5"/>
        <v/>
      </c>
      <c r="K9" s="545" t="str">
        <f t="shared" si="6"/>
        <v/>
      </c>
      <c r="L9" s="487" t="str">
        <f t="shared" si="4"/>
        <v/>
      </c>
      <c r="M9" s="487">
        <f>$M$6</f>
        <v>236166.66666667</v>
      </c>
      <c r="N9" s="487">
        <f>IFERROR(IF($C6="-","",IF(E9="","",IF(G9="正規職員",M9-M8,MIN(MIN(L9:M9),M8-N8)))),0)</f>
        <v>0</v>
      </c>
      <c r="O9" s="488" t="str">
        <f t="shared" si="7"/>
        <v/>
      </c>
      <c r="P9" s="343">
        <f t="shared" si="11"/>
        <v>3</v>
      </c>
      <c r="Q9" s="343" t="e">
        <f>VLOOKUP($E9&amp;Q$5,'②-2勤務時間数入力'!$D$7:$Q$106,$P9,FALSE)</f>
        <v>#N/A</v>
      </c>
      <c r="R9" s="343" t="str">
        <f>IF(ISERROR(Q9),"×",IF(Q9="-","×","○"))</f>
        <v>×</v>
      </c>
      <c r="S9" s="343" t="e">
        <f>VLOOKUP($E9&amp;S$5,'②-2勤務時間数入力'!$D$7:$Q$106,$P9,FALSE)</f>
        <v>#N/A</v>
      </c>
      <c r="T9" s="343" t="str">
        <f>IF(ISERROR(S9),"×",IF(S9="-","×","○"))</f>
        <v>×</v>
      </c>
      <c r="U9" s="343" t="e">
        <f>VLOOKUP($E9&amp;U$5,'②-2勤務時間数入力'!$D$7:$Q$106,$P9,FALSE)</f>
        <v>#N/A</v>
      </c>
      <c r="V9" s="343" t="str">
        <f>IF(ISERROR(U9),"×",IF(U9="-","×","○"))</f>
        <v>×</v>
      </c>
      <c r="W9" s="343" t="e">
        <f>VLOOKUP($E9&amp;W$5,'②-2勤務時間数入力'!$D$7:$Q$106,$P9,FALSE)</f>
        <v>#N/A</v>
      </c>
      <c r="X9" s="343" t="str">
        <f>IF(ISERROR(W9),"×",IF(W9="-","×","○"))</f>
        <v>×</v>
      </c>
      <c r="AB9" s="455" t="str">
        <f t="shared" si="8"/>
        <v>〇</v>
      </c>
      <c r="AC9" s="455" t="str">
        <f t="shared" si="9"/>
        <v>〇</v>
      </c>
      <c r="AD9" s="455" t="str">
        <f t="shared" si="10"/>
        <v>〇</v>
      </c>
    </row>
    <row r="10" spans="1:30" ht="13.5" customHeight="1">
      <c r="A10" s="861"/>
      <c r="B10" s="871"/>
      <c r="C10" s="867"/>
      <c r="D10" s="872"/>
      <c r="E10" s="484"/>
      <c r="F10" s="485"/>
      <c r="G10" s="494" t="str">
        <f t="shared" si="1"/>
        <v/>
      </c>
      <c r="H10" s="495" t="str">
        <f t="shared" si="2"/>
        <v/>
      </c>
      <c r="I10" s="545" t="str">
        <f t="shared" si="3"/>
        <v/>
      </c>
      <c r="J10" s="545" t="str">
        <f t="shared" si="5"/>
        <v/>
      </c>
      <c r="K10" s="545" t="str">
        <f t="shared" si="6"/>
        <v/>
      </c>
      <c r="L10" s="487" t="str">
        <f t="shared" si="4"/>
        <v/>
      </c>
      <c r="M10" s="487">
        <f>$M$6</f>
        <v>236166.66666667</v>
      </c>
      <c r="N10" s="487">
        <f>IFERROR(IF($C6="-","",IF(E10="","",IF(G10="正規職員",M10-M9,MIN(MIN(L10:M10),M9-N9)))),0)</f>
        <v>0</v>
      </c>
      <c r="O10" s="488" t="str">
        <f t="shared" si="7"/>
        <v/>
      </c>
      <c r="P10" s="343">
        <f>P9</f>
        <v>3</v>
      </c>
      <c r="Q10" s="343" t="e">
        <f>VLOOKUP($E10&amp;Q$5,'②-2勤務時間数入力'!$D$7:$Q$106,$P10,FALSE)</f>
        <v>#N/A</v>
      </c>
      <c r="R10" s="343" t="str">
        <f>IF(ISERROR(Q10),"×",IF(Q10="-","×","○"))</f>
        <v>×</v>
      </c>
      <c r="S10" s="343" t="e">
        <f>VLOOKUP($E10&amp;S$5,'②-2勤務時間数入力'!$D$7:$Q$106,$P10,FALSE)</f>
        <v>#N/A</v>
      </c>
      <c r="T10" s="343" t="str">
        <f>IF(ISERROR(S10),"×",IF(S10="-","×","○"))</f>
        <v>×</v>
      </c>
      <c r="U10" s="343" t="e">
        <f>VLOOKUP($E10&amp;U$5,'②-2勤務時間数入力'!$D$7:$Q$106,$P10,FALSE)</f>
        <v>#N/A</v>
      </c>
      <c r="V10" s="343" t="str">
        <f>IF(ISERROR(U10),"×",IF(U10="-","×","○"))</f>
        <v>×</v>
      </c>
      <c r="W10" s="343" t="e">
        <f>VLOOKUP($E10&amp;W$5,'②-2勤務時間数入力'!$D$7:$Q$106,$P10,FALSE)</f>
        <v>#N/A</v>
      </c>
      <c r="X10" s="343" t="str">
        <f>IF(ISERROR(W10),"×",IF(W10="-","×","○"))</f>
        <v>×</v>
      </c>
      <c r="AB10" s="455" t="str">
        <f t="shared" si="8"/>
        <v>〇</v>
      </c>
      <c r="AC10" s="455" t="str">
        <f t="shared" si="9"/>
        <v>〇</v>
      </c>
      <c r="AD10" s="455" t="str">
        <f t="shared" si="10"/>
        <v>〇</v>
      </c>
    </row>
    <row r="11" spans="1:30" ht="13.5" customHeight="1">
      <c r="A11" s="862"/>
      <c r="B11" s="871"/>
      <c r="C11" s="868"/>
      <c r="D11" s="849"/>
      <c r="E11" s="342" t="s">
        <v>254</v>
      </c>
      <c r="F11" s="342"/>
      <c r="G11" s="494" t="s">
        <v>255</v>
      </c>
      <c r="H11" s="497"/>
      <c r="I11" s="486" t="s">
        <v>255</v>
      </c>
      <c r="J11" s="486"/>
      <c r="K11" s="486"/>
      <c r="L11" s="486" t="s">
        <v>255</v>
      </c>
      <c r="M11" s="486" t="s">
        <v>255</v>
      </c>
      <c r="N11" s="487">
        <f>MIN(IFERROR(IF(C6=1,IF(AND(B6="配置",OR(D6="調理師等",D6="栄養士")),MAX(SUM(N6:N10)-①基本情報!F38+10000,0),SUM(N6:N10)),0),0),$M$6)</f>
        <v>0</v>
      </c>
      <c r="O11" s="488"/>
      <c r="P11" s="343"/>
      <c r="Q11" s="343"/>
      <c r="R11" s="343"/>
      <c r="S11" s="343"/>
      <c r="T11" s="343"/>
      <c r="U11" s="343"/>
      <c r="V11" s="343"/>
      <c r="W11" s="343"/>
      <c r="X11" s="343"/>
      <c r="AB11" s="455"/>
      <c r="AC11" s="455"/>
      <c r="AD11" s="455"/>
    </row>
    <row r="12" spans="1:30" ht="13.5" customHeight="1">
      <c r="A12" s="844">
        <v>5</v>
      </c>
      <c r="B12" s="863" t="str">
        <f>IF(①基本情報!G36="有",①基本情報!G37,"無")</f>
        <v>無</v>
      </c>
      <c r="C12" s="866" t="e">
        <f>加算判定!I5</f>
        <v>#N/A</v>
      </c>
      <c r="D12" s="858" t="e">
        <f>加算判定!J5</f>
        <v>#N/A</v>
      </c>
      <c r="E12" s="546" t="str">
        <f>IF(E6="","",E6)</f>
        <v/>
      </c>
      <c r="F12" s="484" t="str">
        <f>IF(F6="","",F6)</f>
        <v/>
      </c>
      <c r="G12" s="494" t="str">
        <f t="shared" ref="G12:G16" si="12">IF(E12="","",IF(R12="○",Q$5,IF(T12="○",S$5,IF(V12="○",U$5,IF(X12="○",W$5,"ERROR")))))</f>
        <v/>
      </c>
      <c r="H12" s="495" t="str">
        <f t="shared" ref="H12:H16" si="13">IF(E12="","",IF(R12="○",Q12,IF(T12="○",S12,IF(V12="○",U12,IF(X12="○",W12,"ERROR")))))</f>
        <v/>
      </c>
      <c r="I12" s="545" t="str">
        <f>IF($E12="","",IF($G12="正規職員","-",IF(AND(EXACT($C6,$C12),EXACT($E6,$E12),EXACT($G6,$G12)),I6,"賃金単価を記載")))</f>
        <v/>
      </c>
      <c r="J12" s="545" t="str">
        <f>IF($E12="","",IF($G12="正規職員","-","勤務日数を記載（定期利用の場合、1と記載)"))</f>
        <v/>
      </c>
      <c r="K12" s="545" t="str">
        <f>IF($E12="","",IF($G12="正規職員","-",IF(AND(EXACT($C6,$C12),EXACT($E6,$E12),EXACT($G6,$G12)),K6,"日額の交通費を記載（定期利用の場合は月額)")))</f>
        <v/>
      </c>
      <c r="L12" s="487" t="str">
        <f t="shared" ref="L12:L16" si="14">IF($E12="","",IF($G12="正規職員","-",(H12*I12+J12*K12)))</f>
        <v/>
      </c>
      <c r="M12" s="487">
        <f>$M$6</f>
        <v>236166.66666667</v>
      </c>
      <c r="N12" s="487">
        <f>IFERROR(IF($C12="-","",IF(E12="",0,IF(G12="正規職員",M12,MIN(L12:M12)))),0)</f>
        <v>0</v>
      </c>
      <c r="O12" s="488" t="str">
        <f>IF(E12="","",IF(COUNTIFS(E12,"*給食室*")=1,"○","エラー"))</f>
        <v/>
      </c>
      <c r="P12" s="343">
        <v>4</v>
      </c>
      <c r="Q12" s="343" t="e">
        <f>VLOOKUP($E12&amp;Q$5,'②-2勤務時間数入力'!$D$7:$Q$106,$P12,FALSE)</f>
        <v>#N/A</v>
      </c>
      <c r="R12" s="343" t="str">
        <f>IF(ISERROR(Q12),"×",IF(Q12="-","×","○"))</f>
        <v>×</v>
      </c>
      <c r="S12" s="343" t="e">
        <f>VLOOKUP($E12&amp;S$5,'②-2勤務時間数入力'!$D$7:$Q$106,$P12,FALSE)</f>
        <v>#N/A</v>
      </c>
      <c r="T12" s="343" t="str">
        <f>IF(ISERROR(S12),"×",IF(S12="-","×","○"))</f>
        <v>×</v>
      </c>
      <c r="U12" s="343" t="e">
        <f>VLOOKUP($E12&amp;U$5,'②-2勤務時間数入力'!$D$7:$Q$106,$P12,FALSE)</f>
        <v>#N/A</v>
      </c>
      <c r="V12" s="343" t="str">
        <f>IF(ISERROR(U12),"×",IF(U12="-","×","○"))</f>
        <v>×</v>
      </c>
      <c r="W12" s="343" t="e">
        <f>VLOOKUP($E12&amp;W$5,'②-2勤務時間数入力'!$D$7:$Q$106,$P12,FALSE)</f>
        <v>#N/A</v>
      </c>
      <c r="X12" s="343" t="str">
        <f>IF(ISERROR(W12),"×",IF(W12="-","×","○"))</f>
        <v>×</v>
      </c>
      <c r="AA12" s="455" t="str">
        <f>IFERROR(IF(AND(C12=1,E12="",E13="",E14="",E15="",E16=""),"×","〇"),"〇")</f>
        <v>〇</v>
      </c>
      <c r="AB12" s="455" t="str">
        <f t="shared" si="8"/>
        <v>〇</v>
      </c>
      <c r="AC12" s="455" t="str">
        <f t="shared" si="9"/>
        <v>〇</v>
      </c>
      <c r="AD12" s="455" t="str">
        <f t="shared" si="10"/>
        <v>〇</v>
      </c>
    </row>
    <row r="13" spans="1:30" ht="13.5" customHeight="1">
      <c r="A13" s="861"/>
      <c r="B13" s="864"/>
      <c r="C13" s="867"/>
      <c r="D13" s="859"/>
      <c r="E13" s="546" t="str">
        <f t="shared" ref="E13:F13" si="15">IF(E7="","",E7)</f>
        <v/>
      </c>
      <c r="F13" s="484" t="str">
        <f t="shared" si="15"/>
        <v/>
      </c>
      <c r="G13" s="494" t="str">
        <f t="shared" si="12"/>
        <v/>
      </c>
      <c r="H13" s="495" t="str">
        <f t="shared" si="13"/>
        <v/>
      </c>
      <c r="I13" s="545" t="str">
        <f>IF($E13="","",IF($G13="正規職員","-",IF(AND(EXACT($C6,$C12),EXACT($E7,$E13),EXACT($G7,$G13)),I7,"賃金単価を記載")))</f>
        <v/>
      </c>
      <c r="J13" s="545" t="str">
        <f t="shared" ref="J13:J16" si="16">IF($E13="","",IF($G13="正規職員","-","勤務日数を記載（定期利用の場合、1と記載)"))</f>
        <v/>
      </c>
      <c r="K13" s="545" t="str">
        <f>IF($E13="","",IF($G13="正規職員","-",IF(AND(EXACT($C6,$C12),EXACT($E7,$E13),EXACT($G7,$G13)),K7,"日額の交通費を記載（定期利用の場合は月額)")))</f>
        <v/>
      </c>
      <c r="L13" s="487" t="str">
        <f t="shared" si="14"/>
        <v/>
      </c>
      <c r="M13" s="487">
        <f>$M$6</f>
        <v>236166.66666667</v>
      </c>
      <c r="N13" s="487">
        <f>IFERROR(IF($C12="-","",IF(E13="","",IF(G13="正規職員",M13-M12,MIN(MIN(L13:M13),M12-N12)))),0)</f>
        <v>0</v>
      </c>
      <c r="O13" s="488" t="str">
        <f t="shared" ref="O13:O16" si="17">IF(E13="","",IF(COUNTIFS(E13,"*給食室*")=1,"○","エラー"))</f>
        <v/>
      </c>
      <c r="P13" s="343">
        <f t="shared" ref="P13:P16" si="18">P12</f>
        <v>4</v>
      </c>
      <c r="Q13" s="343" t="e">
        <f>VLOOKUP($E13&amp;Q$5,'②-2勤務時間数入力'!$D$7:$Q$106,$P13,FALSE)</f>
        <v>#N/A</v>
      </c>
      <c r="R13" s="343" t="str">
        <f>IF(ISERROR(Q13),"×",IF(Q13="-","×","○"))</f>
        <v>×</v>
      </c>
      <c r="S13" s="343" t="e">
        <f>VLOOKUP($E13&amp;S$5,'②-2勤務時間数入力'!$D$7:$Q$106,$P13,FALSE)</f>
        <v>#N/A</v>
      </c>
      <c r="T13" s="343" t="str">
        <f>IF(ISERROR(S13),"×",IF(S13="-","×","○"))</f>
        <v>×</v>
      </c>
      <c r="U13" s="343" t="e">
        <f>VLOOKUP($E13&amp;U$5,'②-2勤務時間数入力'!$D$7:$Q$106,$P13,FALSE)</f>
        <v>#N/A</v>
      </c>
      <c r="V13" s="343" t="str">
        <f>IF(ISERROR(U13),"×",IF(U13="-","×","○"))</f>
        <v>×</v>
      </c>
      <c r="W13" s="343" t="e">
        <f>VLOOKUP($E13&amp;W$5,'②-2勤務時間数入力'!$D$7:$Q$106,$P13,FALSE)</f>
        <v>#N/A</v>
      </c>
      <c r="X13" s="343" t="str">
        <f>IF(ISERROR(W13),"×",IF(W13="-","×","○"))</f>
        <v>×</v>
      </c>
      <c r="AB13" s="455" t="str">
        <f t="shared" si="8"/>
        <v>〇</v>
      </c>
      <c r="AC13" s="455" t="str">
        <f t="shared" si="9"/>
        <v>〇</v>
      </c>
      <c r="AD13" s="455" t="str">
        <f t="shared" si="10"/>
        <v>〇</v>
      </c>
    </row>
    <row r="14" spans="1:30" ht="13.5" customHeight="1">
      <c r="A14" s="861"/>
      <c r="B14" s="864"/>
      <c r="C14" s="867"/>
      <c r="D14" s="859"/>
      <c r="E14" s="546" t="str">
        <f t="shared" ref="E14:F14" si="19">IF(E8="","",E8)</f>
        <v/>
      </c>
      <c r="F14" s="484" t="str">
        <f t="shared" si="19"/>
        <v/>
      </c>
      <c r="G14" s="494" t="str">
        <f t="shared" si="12"/>
        <v/>
      </c>
      <c r="H14" s="495" t="str">
        <f t="shared" si="13"/>
        <v/>
      </c>
      <c r="I14" s="545" t="str">
        <f>IF($E14="","",IF($G14="正規職員","-",IF(AND(EXACT($C6,$C12),EXACT($E8,$E14),EXACT($G8,$G14)),I8,"賃金単価を記載")))</f>
        <v/>
      </c>
      <c r="J14" s="545" t="str">
        <f t="shared" si="16"/>
        <v/>
      </c>
      <c r="K14" s="545" t="str">
        <f>IF($E14="","",IF($G14="正規職員","-",IF(AND(EXACT($C6,$C12),EXACT($E8,$E14),EXACT($G8,$G14)),K8,"日額の交通費を記載（定期利用の場合は月額)")))</f>
        <v/>
      </c>
      <c r="L14" s="487" t="str">
        <f t="shared" si="14"/>
        <v/>
      </c>
      <c r="M14" s="487">
        <f>$M$6</f>
        <v>236166.66666667</v>
      </c>
      <c r="N14" s="487">
        <f>IFERROR(IF($C12="-","",IF(E14="","",IF(G14="正規職員",M14-M13,MIN(MIN(L14:M14),M13-N13)))),0)</f>
        <v>0</v>
      </c>
      <c r="O14" s="488" t="str">
        <f t="shared" si="17"/>
        <v/>
      </c>
      <c r="P14" s="343">
        <f t="shared" si="18"/>
        <v>4</v>
      </c>
      <c r="Q14" s="343" t="e">
        <f>VLOOKUP($E14&amp;Q$5,'②-2勤務時間数入力'!$D$7:$Q$106,$P14,FALSE)</f>
        <v>#N/A</v>
      </c>
      <c r="R14" s="343" t="str">
        <f>IF(ISERROR(Q14),"×",IF(Q14="-","×","○"))</f>
        <v>×</v>
      </c>
      <c r="S14" s="343" t="e">
        <f>VLOOKUP($E14&amp;S$5,'②-2勤務時間数入力'!$D$7:$Q$106,$P14,FALSE)</f>
        <v>#N/A</v>
      </c>
      <c r="T14" s="343" t="str">
        <f>IF(ISERROR(S14),"×",IF(S14="-","×","○"))</f>
        <v>×</v>
      </c>
      <c r="U14" s="343" t="e">
        <f>VLOOKUP($E14&amp;U$5,'②-2勤務時間数入力'!$D$7:$Q$106,$P14,FALSE)</f>
        <v>#N/A</v>
      </c>
      <c r="V14" s="343" t="str">
        <f>IF(ISERROR(U14),"×",IF(U14="-","×","○"))</f>
        <v>×</v>
      </c>
      <c r="W14" s="343" t="e">
        <f>VLOOKUP($E14&amp;W$5,'②-2勤務時間数入力'!$D$7:$Q$106,$P14,FALSE)</f>
        <v>#N/A</v>
      </c>
      <c r="X14" s="343" t="str">
        <f>IF(ISERROR(W14),"×",IF(W14="-","×","○"))</f>
        <v>×</v>
      </c>
      <c r="AB14" s="455" t="str">
        <f t="shared" si="8"/>
        <v>〇</v>
      </c>
      <c r="AC14" s="455" t="str">
        <f t="shared" si="9"/>
        <v>〇</v>
      </c>
      <c r="AD14" s="455" t="str">
        <f t="shared" si="10"/>
        <v>〇</v>
      </c>
    </row>
    <row r="15" spans="1:30" ht="13.5" customHeight="1">
      <c r="A15" s="861"/>
      <c r="B15" s="864"/>
      <c r="C15" s="867"/>
      <c r="D15" s="859"/>
      <c r="E15" s="546" t="str">
        <f t="shared" ref="E15:F15" si="20">IF(E9="","",E9)</f>
        <v/>
      </c>
      <c r="F15" s="484" t="str">
        <f t="shared" si="20"/>
        <v/>
      </c>
      <c r="G15" s="494" t="str">
        <f t="shared" si="12"/>
        <v/>
      </c>
      <c r="H15" s="495" t="str">
        <f t="shared" si="13"/>
        <v/>
      </c>
      <c r="I15" s="545" t="str">
        <f>IF($E15="","",IF($G15="正規職員","-",IF(AND(EXACT($C6,$C12),EXACT($E9,$E15),EXACT($G9,$G15)),I9,"賃金単価を記載")))</f>
        <v/>
      </c>
      <c r="J15" s="545" t="str">
        <f t="shared" si="16"/>
        <v/>
      </c>
      <c r="K15" s="545" t="str">
        <f>IF($E15="","",IF($G15="正規職員","-",IF(AND(EXACT($C6,$C12),EXACT($E9,$E15),EXACT($G9,$G15)),K9,"日額の交通費を記載（定期利用の場合は月額)")))</f>
        <v/>
      </c>
      <c r="L15" s="487" t="str">
        <f t="shared" si="14"/>
        <v/>
      </c>
      <c r="M15" s="487">
        <f>$M$6</f>
        <v>236166.66666667</v>
      </c>
      <c r="N15" s="487">
        <f>IFERROR(IF($C12="-","",IF(E15="","",IF(G15="正規職員",M15-M14,MIN(MIN(L15:M15),M14-N14)))),0)</f>
        <v>0</v>
      </c>
      <c r="O15" s="488" t="str">
        <f t="shared" si="17"/>
        <v/>
      </c>
      <c r="P15" s="343">
        <f t="shared" si="18"/>
        <v>4</v>
      </c>
      <c r="Q15" s="343" t="e">
        <f>VLOOKUP($E15&amp;Q$5,'②-2勤務時間数入力'!$D$7:$Q$106,$P15,FALSE)</f>
        <v>#N/A</v>
      </c>
      <c r="R15" s="343" t="str">
        <f>IF(ISERROR(Q15),"×",IF(Q15="-","×","○"))</f>
        <v>×</v>
      </c>
      <c r="S15" s="343" t="e">
        <f>VLOOKUP($E15&amp;S$5,'②-2勤務時間数入力'!$D$7:$Q$106,$P15,FALSE)</f>
        <v>#N/A</v>
      </c>
      <c r="T15" s="343" t="str">
        <f>IF(ISERROR(S15),"×",IF(S15="-","×","○"))</f>
        <v>×</v>
      </c>
      <c r="U15" s="343" t="e">
        <f>VLOOKUP($E15&amp;U$5,'②-2勤務時間数入力'!$D$7:$Q$106,$P15,FALSE)</f>
        <v>#N/A</v>
      </c>
      <c r="V15" s="343" t="str">
        <f>IF(ISERROR(U15),"×",IF(U15="-","×","○"))</f>
        <v>×</v>
      </c>
      <c r="W15" s="343" t="e">
        <f>VLOOKUP($E15&amp;W$5,'②-2勤務時間数入力'!$D$7:$Q$106,$P15,FALSE)</f>
        <v>#N/A</v>
      </c>
      <c r="X15" s="343" t="str">
        <f>IF(ISERROR(W15),"×",IF(W15="-","×","○"))</f>
        <v>×</v>
      </c>
      <c r="AB15" s="455" t="str">
        <f t="shared" si="8"/>
        <v>〇</v>
      </c>
      <c r="AC15" s="455" t="str">
        <f t="shared" si="9"/>
        <v>〇</v>
      </c>
      <c r="AD15" s="455" t="str">
        <f t="shared" si="10"/>
        <v>〇</v>
      </c>
    </row>
    <row r="16" spans="1:30" ht="13.5" customHeight="1">
      <c r="A16" s="861"/>
      <c r="B16" s="864"/>
      <c r="C16" s="867"/>
      <c r="D16" s="859"/>
      <c r="E16" s="546" t="str">
        <f t="shared" ref="E16:F16" si="21">IF(E10="","",E10)</f>
        <v/>
      </c>
      <c r="F16" s="484" t="str">
        <f t="shared" si="21"/>
        <v/>
      </c>
      <c r="G16" s="494" t="str">
        <f t="shared" si="12"/>
        <v/>
      </c>
      <c r="H16" s="495" t="str">
        <f t="shared" si="13"/>
        <v/>
      </c>
      <c r="I16" s="545" t="str">
        <f>IF($E16="","",IF($G16="正規職員","-",IF(AND(EXACT($C6,$C12),EXACT($E10,$E16),EXACT($G10,$G16)),I10,"賃金単価を記載")))</f>
        <v/>
      </c>
      <c r="J16" s="545" t="str">
        <f t="shared" si="16"/>
        <v/>
      </c>
      <c r="K16" s="545" t="str">
        <f>IF($E16="","",IF($G16="正規職員","-",IF(AND(EXACT($C6,$C12),EXACT($E10,$E16),EXACT($G10,$G16)),K10,"日額の交通費を記載（定期利用の場合は月額)")))</f>
        <v/>
      </c>
      <c r="L16" s="487" t="str">
        <f t="shared" si="14"/>
        <v/>
      </c>
      <c r="M16" s="487">
        <f>$M$6</f>
        <v>236166.66666667</v>
      </c>
      <c r="N16" s="487">
        <f>IFERROR(IF($C12="-","",IF(E16="","",IF(G16="正規職員",M16-M15,MIN(MIN(L16:M16),M15-N15)))),0)</f>
        <v>0</v>
      </c>
      <c r="O16" s="488" t="str">
        <f t="shared" si="17"/>
        <v/>
      </c>
      <c r="P16" s="343">
        <f t="shared" si="18"/>
        <v>4</v>
      </c>
      <c r="Q16" s="343" t="e">
        <f>VLOOKUP($E16&amp;Q$5,'②-2勤務時間数入力'!$D$7:$Q$106,$P16,FALSE)</f>
        <v>#N/A</v>
      </c>
      <c r="R16" s="343" t="str">
        <f>IF(ISERROR(Q16),"×",IF(Q16="-","×","○"))</f>
        <v>×</v>
      </c>
      <c r="S16" s="343" t="e">
        <f>VLOOKUP($E16&amp;S$5,'②-2勤務時間数入力'!$D$7:$Q$106,$P16,FALSE)</f>
        <v>#N/A</v>
      </c>
      <c r="T16" s="343" t="str">
        <f>IF(ISERROR(S16),"×",IF(S16="-","×","○"))</f>
        <v>×</v>
      </c>
      <c r="U16" s="343" t="e">
        <f>VLOOKUP($E16&amp;U$5,'②-2勤務時間数入力'!$D$7:$Q$106,$P16,FALSE)</f>
        <v>#N/A</v>
      </c>
      <c r="V16" s="343" t="str">
        <f>IF(ISERROR(U16),"×",IF(U16="-","×","○"))</f>
        <v>×</v>
      </c>
      <c r="W16" s="343" t="e">
        <f>VLOOKUP($E16&amp;W$5,'②-2勤務時間数入力'!$D$7:$Q$106,$P16,FALSE)</f>
        <v>#N/A</v>
      </c>
      <c r="X16" s="343" t="str">
        <f>IF(ISERROR(W16),"×",IF(W16="-","×","○"))</f>
        <v>×</v>
      </c>
      <c r="AB16" s="455" t="str">
        <f t="shared" si="8"/>
        <v>〇</v>
      </c>
      <c r="AC16" s="455" t="str">
        <f t="shared" si="9"/>
        <v>〇</v>
      </c>
      <c r="AD16" s="455" t="str">
        <f t="shared" si="10"/>
        <v>〇</v>
      </c>
    </row>
    <row r="17" spans="1:30" ht="13.5" customHeight="1">
      <c r="A17" s="862"/>
      <c r="B17" s="865"/>
      <c r="C17" s="868"/>
      <c r="D17" s="860"/>
      <c r="E17" s="342" t="s">
        <v>256</v>
      </c>
      <c r="F17" s="342"/>
      <c r="G17" s="494" t="s">
        <v>255</v>
      </c>
      <c r="H17" s="498"/>
      <c r="I17" s="486" t="s">
        <v>255</v>
      </c>
      <c r="J17" s="486"/>
      <c r="K17" s="486"/>
      <c r="L17" s="486" t="s">
        <v>255</v>
      </c>
      <c r="M17" s="486" t="s">
        <v>255</v>
      </c>
      <c r="N17" s="487">
        <f>MIN(IFERROR(IF(C12=1,IF(AND(B12="配置",OR(D12="調理師等",D12="栄養士")),MAX(SUM(N12:N16)-①基本情報!G38+10000,0),SUM(N12:N16)),0),0),$M$6)</f>
        <v>0</v>
      </c>
      <c r="O17" s="488" t="e">
        <f>IF(SUM(N12:N16)&gt;#REF!*$M$6,MIN($M$6,SUM(N12:N16)-ROUNDDOWN(#REF!*$M$6,0)),0)</f>
        <v>#REF!</v>
      </c>
      <c r="P17" s="343"/>
      <c r="Q17" s="343"/>
      <c r="R17" s="343"/>
      <c r="S17" s="343"/>
      <c r="T17" s="343"/>
      <c r="U17" s="343"/>
      <c r="V17" s="343"/>
      <c r="W17" s="343"/>
      <c r="X17" s="343"/>
      <c r="AB17" s="455"/>
      <c r="AC17" s="455"/>
      <c r="AD17" s="455"/>
    </row>
    <row r="18" spans="1:30" ht="13.5" customHeight="1">
      <c r="A18" s="844">
        <v>6</v>
      </c>
      <c r="B18" s="863" t="str">
        <f>IF(①基本情報!H36="有",①基本情報!H37,"無")</f>
        <v>無</v>
      </c>
      <c r="C18" s="866" t="e">
        <f>加算判定!I6</f>
        <v>#N/A</v>
      </c>
      <c r="D18" s="855" t="e">
        <f>加算判定!J6</f>
        <v>#N/A</v>
      </c>
      <c r="E18" s="546" t="str">
        <f>IF(E12="","",E12)</f>
        <v/>
      </c>
      <c r="F18" s="484" t="str">
        <f>IF(F12="","",F12)</f>
        <v/>
      </c>
      <c r="G18" s="494" t="str">
        <f t="shared" ref="G18:G22" si="22">IF(E18="","",IF(R18="○",Q$5,IF(T18="○",S$5,IF(V18="○",U$5,IF(X18="○",W$5,"ERROR")))))</f>
        <v/>
      </c>
      <c r="H18" s="495" t="str">
        <f t="shared" ref="H18:H22" si="23">IF(E18="","",IF(R18="○",Q18,IF(T18="○",S18,IF(V18="○",U18,IF(X18="○",W18,"ERROR")))))</f>
        <v/>
      </c>
      <c r="I18" s="545" t="str">
        <f>IF($E18="","",IF($G18="正規職員","-",IF(AND(EXACT($C12,$C18),EXACT($E12,$E18),EXACT($G12,$G18)),I12,"賃金単価を記載")))</f>
        <v/>
      </c>
      <c r="J18" s="545" t="str">
        <f>IF($E18="","",IF($G18="正規職員","-","勤務日数を記載（定期利用の場合、1と記載)"))</f>
        <v/>
      </c>
      <c r="K18" s="545" t="str">
        <f>IF($E18="","",IF($G18="正規職員","-",IF(AND(EXACT($C12,$C18),EXACT($E12,$E18),EXACT($G12,$G18)),K12,"日額の交通費を記載（定期利用の場合は月額)")))</f>
        <v/>
      </c>
      <c r="L18" s="487" t="str">
        <f t="shared" ref="L18:L22" si="24">IF($E18="","",IF($G18="正規職員","-",(H18*I18+J18*K18)))</f>
        <v/>
      </c>
      <c r="M18" s="487">
        <f>$M$6</f>
        <v>236166.66666667</v>
      </c>
      <c r="N18" s="487">
        <f>IFERROR(IF($C18="-","",IF(E18="",0,IF(G18="正規職員",M18,MIN(L18:M18)))),0)</f>
        <v>0</v>
      </c>
      <c r="O18" s="488" t="str">
        <f>IF(E18="","",IF(COUNTIFS(E18,"*給食室*")=1,"○","エラー"))</f>
        <v/>
      </c>
      <c r="P18" s="343">
        <v>5</v>
      </c>
      <c r="Q18" s="343" t="e">
        <f>VLOOKUP($E18&amp;Q$5,'②-2勤務時間数入力'!$D$7:$Q$106,$P18,FALSE)</f>
        <v>#N/A</v>
      </c>
      <c r="R18" s="343" t="str">
        <f>IF(ISERROR(Q18),"×",IF(Q18="-","×","○"))</f>
        <v>×</v>
      </c>
      <c r="S18" s="343" t="e">
        <f>VLOOKUP($E18&amp;S$5,'②-2勤務時間数入力'!$D$7:$Q$106,$P18,FALSE)</f>
        <v>#N/A</v>
      </c>
      <c r="T18" s="343" t="str">
        <f>IF(ISERROR(S18),"×",IF(S18="-","×","○"))</f>
        <v>×</v>
      </c>
      <c r="U18" s="343" t="e">
        <f>VLOOKUP($E18&amp;U$5,'②-2勤務時間数入力'!$D$7:$Q$106,$P18,FALSE)</f>
        <v>#N/A</v>
      </c>
      <c r="V18" s="343" t="str">
        <f>IF(ISERROR(U18),"×",IF(U18="-","×","○"))</f>
        <v>×</v>
      </c>
      <c r="W18" s="343" t="e">
        <f>VLOOKUP($E18&amp;W$5,'②-2勤務時間数入力'!$D$7:$Q$106,$P18,FALSE)</f>
        <v>#N/A</v>
      </c>
      <c r="X18" s="343" t="str">
        <f>IF(ISERROR(W18),"×",IF(W18="-","×","○"))</f>
        <v>×</v>
      </c>
      <c r="AA18" s="455" t="str">
        <f>IFERROR(IF(AND(C18=1,E18="",E19="",E20="",E21="",E22=""),"×","〇"),"〇")</f>
        <v>〇</v>
      </c>
      <c r="AB18" s="455" t="str">
        <f t="shared" si="8"/>
        <v>〇</v>
      </c>
      <c r="AC18" s="455" t="str">
        <f t="shared" si="9"/>
        <v>〇</v>
      </c>
      <c r="AD18" s="455" t="str">
        <f t="shared" si="10"/>
        <v>〇</v>
      </c>
    </row>
    <row r="19" spans="1:30" ht="13.5" customHeight="1">
      <c r="A19" s="861"/>
      <c r="B19" s="864"/>
      <c r="C19" s="867"/>
      <c r="D19" s="856"/>
      <c r="E19" s="546" t="str">
        <f t="shared" ref="E19:F19" si="25">IF(E13="","",E13)</f>
        <v/>
      </c>
      <c r="F19" s="484" t="str">
        <f t="shared" si="25"/>
        <v/>
      </c>
      <c r="G19" s="494" t="str">
        <f t="shared" si="22"/>
        <v/>
      </c>
      <c r="H19" s="495" t="str">
        <f t="shared" si="23"/>
        <v/>
      </c>
      <c r="I19" s="545" t="str">
        <f>IF($E19="","",IF($G19="正規職員","-",IF(AND(EXACT($C12,$C18),EXACT($E13,$E19),EXACT($G13,$G19)),I13,"賃金単価を記載")))</f>
        <v/>
      </c>
      <c r="J19" s="545" t="str">
        <f t="shared" ref="J19:J22" si="26">IF($E19="","",IF($G19="正規職員","-","勤務日数を記載（定期利用の場合、1と記載)"))</f>
        <v/>
      </c>
      <c r="K19" s="545" t="str">
        <f>IF($E19="","",IF($G19="正規職員","-",IF(AND(EXACT($C12,$C18),EXACT($E13,$E19),EXACT($G13,$G19)),K13,"日額の交通費を記載（定期利用の場合は月額)")))</f>
        <v/>
      </c>
      <c r="L19" s="487" t="str">
        <f t="shared" si="24"/>
        <v/>
      </c>
      <c r="M19" s="487">
        <f>$M$6</f>
        <v>236166.66666667</v>
      </c>
      <c r="N19" s="487">
        <f>IFERROR(IF($C18="-","",IF(E19="","",IF(G19="正規職員",M19-M18,MIN(MIN(L19:M19),M18-N18)))),0)</f>
        <v>0</v>
      </c>
      <c r="O19" s="488" t="str">
        <f t="shared" ref="O19:O22" si="27">IF(E19="","",IF(COUNTIFS(E19,"*給食室*")=1,"○","エラー"))</f>
        <v/>
      </c>
      <c r="P19" s="343">
        <f t="shared" ref="P19:P22" si="28">P18</f>
        <v>5</v>
      </c>
      <c r="Q19" s="343" t="e">
        <f>VLOOKUP($E19&amp;Q$5,'②-2勤務時間数入力'!$D$7:$Q$106,$P19,FALSE)</f>
        <v>#N/A</v>
      </c>
      <c r="R19" s="343" t="str">
        <f>IF(ISERROR(Q19),"×",IF(Q19="-","×","○"))</f>
        <v>×</v>
      </c>
      <c r="S19" s="343" t="e">
        <f>VLOOKUP($E19&amp;S$5,'②-2勤務時間数入力'!$D$7:$Q$106,$P19,FALSE)</f>
        <v>#N/A</v>
      </c>
      <c r="T19" s="343" t="str">
        <f>IF(ISERROR(S19),"×",IF(S19="-","×","○"))</f>
        <v>×</v>
      </c>
      <c r="U19" s="343" t="e">
        <f>VLOOKUP($E19&amp;U$5,'②-2勤務時間数入力'!$D$7:$Q$106,$P19,FALSE)</f>
        <v>#N/A</v>
      </c>
      <c r="V19" s="343" t="str">
        <f>IF(ISERROR(U19),"×",IF(U19="-","×","○"))</f>
        <v>×</v>
      </c>
      <c r="W19" s="343" t="e">
        <f>VLOOKUP($E19&amp;W$5,'②-2勤務時間数入力'!$D$7:$Q$106,$P19,FALSE)</f>
        <v>#N/A</v>
      </c>
      <c r="X19" s="343" t="str">
        <f>IF(ISERROR(W19),"×",IF(W19="-","×","○"))</f>
        <v>×</v>
      </c>
      <c r="AB19" s="455" t="str">
        <f t="shared" si="8"/>
        <v>〇</v>
      </c>
      <c r="AC19" s="455" t="str">
        <f t="shared" si="9"/>
        <v>〇</v>
      </c>
      <c r="AD19" s="455" t="str">
        <f t="shared" si="10"/>
        <v>〇</v>
      </c>
    </row>
    <row r="20" spans="1:30" ht="13.5" customHeight="1">
      <c r="A20" s="861"/>
      <c r="B20" s="864"/>
      <c r="C20" s="867"/>
      <c r="D20" s="856"/>
      <c r="E20" s="546" t="str">
        <f t="shared" ref="E20:F20" si="29">IF(E14="","",E14)</f>
        <v/>
      </c>
      <c r="F20" s="484" t="str">
        <f t="shared" si="29"/>
        <v/>
      </c>
      <c r="G20" s="494" t="str">
        <f t="shared" si="22"/>
        <v/>
      </c>
      <c r="H20" s="495" t="str">
        <f t="shared" si="23"/>
        <v/>
      </c>
      <c r="I20" s="545" t="str">
        <f>IF($E20="","",IF($G20="正規職員","-",IF(AND(EXACT($C12,$C18),EXACT($E14,$E20),EXACT($G14,$G20)),I14,"賃金単価を記載")))</f>
        <v/>
      </c>
      <c r="J20" s="545" t="str">
        <f t="shared" si="26"/>
        <v/>
      </c>
      <c r="K20" s="545" t="str">
        <f>IF($E20="","",IF($G20="正規職員","-",IF(AND(EXACT($C12,$C18),EXACT($E14,$E20),EXACT($G14,$G20)),K14,"日額の交通費を記載（定期利用の場合は月額)")))</f>
        <v/>
      </c>
      <c r="L20" s="487" t="str">
        <f t="shared" si="24"/>
        <v/>
      </c>
      <c r="M20" s="487">
        <f>$M$6</f>
        <v>236166.66666667</v>
      </c>
      <c r="N20" s="487">
        <f>IFERROR(IF($C18="-","",IF(E20="","",IF(G20="正規職員",M20-M19,MIN(MIN(L20:M20),M19-N19)))),0)</f>
        <v>0</v>
      </c>
      <c r="O20" s="488" t="str">
        <f t="shared" si="27"/>
        <v/>
      </c>
      <c r="P20" s="343">
        <f t="shared" si="28"/>
        <v>5</v>
      </c>
      <c r="Q20" s="343" t="e">
        <f>VLOOKUP($E20&amp;Q$5,'②-2勤務時間数入力'!$D$7:$Q$106,$P20,FALSE)</f>
        <v>#N/A</v>
      </c>
      <c r="R20" s="343" t="str">
        <f>IF(ISERROR(Q20),"×",IF(Q20="-","×","○"))</f>
        <v>×</v>
      </c>
      <c r="S20" s="343" t="e">
        <f>VLOOKUP($E20&amp;S$5,'②-2勤務時間数入力'!$D$7:$Q$106,$P20,FALSE)</f>
        <v>#N/A</v>
      </c>
      <c r="T20" s="343" t="str">
        <f>IF(ISERROR(S20),"×",IF(S20="-","×","○"))</f>
        <v>×</v>
      </c>
      <c r="U20" s="343" t="e">
        <f>VLOOKUP($E20&amp;U$5,'②-2勤務時間数入力'!$D$7:$Q$106,$P20,FALSE)</f>
        <v>#N/A</v>
      </c>
      <c r="V20" s="343" t="str">
        <f>IF(ISERROR(U20),"×",IF(U20="-","×","○"))</f>
        <v>×</v>
      </c>
      <c r="W20" s="343" t="e">
        <f>VLOOKUP($E20&amp;W$5,'②-2勤務時間数入力'!$D$7:$Q$106,$P20,FALSE)</f>
        <v>#N/A</v>
      </c>
      <c r="X20" s="343" t="str">
        <f>IF(ISERROR(W20),"×",IF(W20="-","×","○"))</f>
        <v>×</v>
      </c>
      <c r="AB20" s="455" t="str">
        <f t="shared" si="8"/>
        <v>〇</v>
      </c>
      <c r="AC20" s="455" t="str">
        <f t="shared" si="9"/>
        <v>〇</v>
      </c>
      <c r="AD20" s="455" t="str">
        <f t="shared" si="10"/>
        <v>〇</v>
      </c>
    </row>
    <row r="21" spans="1:30" ht="13.5" customHeight="1">
      <c r="A21" s="861"/>
      <c r="B21" s="864"/>
      <c r="C21" s="867"/>
      <c r="D21" s="856"/>
      <c r="E21" s="546" t="str">
        <f t="shared" ref="E21:F21" si="30">IF(E15="","",E15)</f>
        <v/>
      </c>
      <c r="F21" s="484" t="str">
        <f t="shared" si="30"/>
        <v/>
      </c>
      <c r="G21" s="494" t="str">
        <f t="shared" si="22"/>
        <v/>
      </c>
      <c r="H21" s="495" t="str">
        <f t="shared" si="23"/>
        <v/>
      </c>
      <c r="I21" s="545" t="str">
        <f>IF($E21="","",IF($G21="正規職員","-",IF(AND(EXACT($C12,$C18),EXACT($E15,$E21),EXACT($G15,$G21)),I15,"賃金単価を記載")))</f>
        <v/>
      </c>
      <c r="J21" s="545" t="str">
        <f t="shared" si="26"/>
        <v/>
      </c>
      <c r="K21" s="545" t="str">
        <f>IF($E21="","",IF($G21="正規職員","-",IF(AND(EXACT($C12,$C18),EXACT($E15,$E21),EXACT($G15,$G21)),K15,"日額の交通費を記載（定期利用の場合は月額)")))</f>
        <v/>
      </c>
      <c r="L21" s="487" t="str">
        <f t="shared" si="24"/>
        <v/>
      </c>
      <c r="M21" s="487">
        <f>$M$6</f>
        <v>236166.66666667</v>
      </c>
      <c r="N21" s="487">
        <f>IFERROR(IF($C18="-","",IF(E21="","",IF(G21="正規職員",M21-M20,MIN(MIN(L21:M21),M20-N20)))),0)</f>
        <v>0</v>
      </c>
      <c r="O21" s="488" t="str">
        <f t="shared" si="27"/>
        <v/>
      </c>
      <c r="P21" s="343">
        <f t="shared" si="28"/>
        <v>5</v>
      </c>
      <c r="Q21" s="343" t="e">
        <f>VLOOKUP($E21&amp;Q$5,'②-2勤務時間数入力'!$D$7:$Q$106,$P21,FALSE)</f>
        <v>#N/A</v>
      </c>
      <c r="R21" s="343" t="str">
        <f>IF(ISERROR(Q21),"×",IF(Q21="-","×","○"))</f>
        <v>×</v>
      </c>
      <c r="S21" s="343" t="e">
        <f>VLOOKUP($E21&amp;S$5,'②-2勤務時間数入力'!$D$7:$Q$106,$P21,FALSE)</f>
        <v>#N/A</v>
      </c>
      <c r="T21" s="343" t="str">
        <f>IF(ISERROR(S21),"×",IF(S21="-","×","○"))</f>
        <v>×</v>
      </c>
      <c r="U21" s="343" t="e">
        <f>VLOOKUP($E21&amp;U$5,'②-2勤務時間数入力'!$D$7:$Q$106,$P21,FALSE)</f>
        <v>#N/A</v>
      </c>
      <c r="V21" s="343" t="str">
        <f>IF(ISERROR(U21),"×",IF(U21="-","×","○"))</f>
        <v>×</v>
      </c>
      <c r="W21" s="343" t="e">
        <f>VLOOKUP($E21&amp;W$5,'②-2勤務時間数入力'!$D$7:$Q$106,$P21,FALSE)</f>
        <v>#N/A</v>
      </c>
      <c r="X21" s="343" t="str">
        <f>IF(ISERROR(W21),"×",IF(W21="-","×","○"))</f>
        <v>×</v>
      </c>
      <c r="AB21" s="455" t="str">
        <f t="shared" si="8"/>
        <v>〇</v>
      </c>
      <c r="AC21" s="455" t="str">
        <f t="shared" si="9"/>
        <v>〇</v>
      </c>
      <c r="AD21" s="455" t="str">
        <f t="shared" si="10"/>
        <v>〇</v>
      </c>
    </row>
    <row r="22" spans="1:30" ht="13.5" customHeight="1">
      <c r="A22" s="861"/>
      <c r="B22" s="864"/>
      <c r="C22" s="867"/>
      <c r="D22" s="856"/>
      <c r="E22" s="546" t="str">
        <f t="shared" ref="E22:F22" si="31">IF(E16="","",E16)</f>
        <v/>
      </c>
      <c r="F22" s="484" t="str">
        <f t="shared" si="31"/>
        <v/>
      </c>
      <c r="G22" s="494" t="str">
        <f t="shared" si="22"/>
        <v/>
      </c>
      <c r="H22" s="495" t="str">
        <f t="shared" si="23"/>
        <v/>
      </c>
      <c r="I22" s="545" t="str">
        <f>IF($E22="","",IF($G22="正規職員","-",IF(AND(EXACT($C12,$C18),EXACT($E16,$E22),EXACT($G16,$G22)),I16,"賃金単価を記載")))</f>
        <v/>
      </c>
      <c r="J22" s="545" t="str">
        <f t="shared" si="26"/>
        <v/>
      </c>
      <c r="K22" s="545" t="str">
        <f>IF($E22="","",IF($G22="正規職員","-",IF(AND(EXACT($C12,$C18),EXACT($E16,$E22),EXACT($G16,$G22)),K16,"日額の交通費を記載（定期利用の場合は月額)")))</f>
        <v/>
      </c>
      <c r="L22" s="487" t="str">
        <f t="shared" si="24"/>
        <v/>
      </c>
      <c r="M22" s="487">
        <f>$M$6</f>
        <v>236166.66666667</v>
      </c>
      <c r="N22" s="487">
        <f>IFERROR(IF($C18="-","",IF(E22="","",IF(G22="正規職員",M22-M21,MIN(MIN(L22:M22),M21-N21)))),0)</f>
        <v>0</v>
      </c>
      <c r="O22" s="488" t="str">
        <f t="shared" si="27"/>
        <v/>
      </c>
      <c r="P22" s="343">
        <f t="shared" si="28"/>
        <v>5</v>
      </c>
      <c r="Q22" s="343" t="e">
        <f>VLOOKUP($E22&amp;Q$5,'②-2勤務時間数入力'!$D$7:$Q$106,$P22,FALSE)</f>
        <v>#N/A</v>
      </c>
      <c r="R22" s="343" t="str">
        <f>IF(ISERROR(Q22),"×",IF(Q22="-","×","○"))</f>
        <v>×</v>
      </c>
      <c r="S22" s="343" t="e">
        <f>VLOOKUP($E22&amp;S$5,'②-2勤務時間数入力'!$D$7:$Q$106,$P22,FALSE)</f>
        <v>#N/A</v>
      </c>
      <c r="T22" s="343" t="str">
        <f>IF(ISERROR(S22),"×",IF(S22="-","×","○"))</f>
        <v>×</v>
      </c>
      <c r="U22" s="343" t="e">
        <f>VLOOKUP($E22&amp;U$5,'②-2勤務時間数入力'!$D$7:$Q$106,$P22,FALSE)</f>
        <v>#N/A</v>
      </c>
      <c r="V22" s="343" t="str">
        <f>IF(ISERROR(U22),"×",IF(U22="-","×","○"))</f>
        <v>×</v>
      </c>
      <c r="W22" s="343" t="e">
        <f>VLOOKUP($E22&amp;W$5,'②-2勤務時間数入力'!$D$7:$Q$106,$P22,FALSE)</f>
        <v>#N/A</v>
      </c>
      <c r="X22" s="343" t="str">
        <f>IF(ISERROR(W22),"×",IF(W22="-","×","○"))</f>
        <v>×</v>
      </c>
      <c r="AB22" s="455" t="str">
        <f t="shared" si="8"/>
        <v>〇</v>
      </c>
      <c r="AC22" s="455" t="str">
        <f t="shared" si="9"/>
        <v>〇</v>
      </c>
      <c r="AD22" s="455" t="str">
        <f t="shared" si="10"/>
        <v>〇</v>
      </c>
    </row>
    <row r="23" spans="1:30" ht="13.5" customHeight="1">
      <c r="A23" s="862"/>
      <c r="B23" s="865"/>
      <c r="C23" s="868"/>
      <c r="D23" s="857"/>
      <c r="E23" s="342" t="s">
        <v>257</v>
      </c>
      <c r="F23" s="342"/>
      <c r="G23" s="494" t="s">
        <v>255</v>
      </c>
      <c r="H23" s="498"/>
      <c r="I23" s="486" t="s">
        <v>255</v>
      </c>
      <c r="J23" s="486"/>
      <c r="K23" s="486"/>
      <c r="L23" s="486" t="s">
        <v>255</v>
      </c>
      <c r="M23" s="486" t="s">
        <v>255</v>
      </c>
      <c r="N23" s="487">
        <f>MIN(IFERROR(IF(C18=1,IF(AND(B18="配置",OR(D18="調理師等",D18="栄養士")),MAX(SUM(N18:N22)-①基本情報!H38+10000,0),SUM(N18:N22)),0),0),$M$6)</f>
        <v>0</v>
      </c>
      <c r="O23" s="488" t="e">
        <f>IF(SUM(N18:N22)&gt;#REF!*$M$6,MIN($M$6,SUM(N18:N22)-ROUNDDOWN(#REF!*$M$6,0)),0)</f>
        <v>#REF!</v>
      </c>
      <c r="P23" s="343"/>
      <c r="Q23" s="343"/>
      <c r="R23" s="343"/>
      <c r="S23" s="343"/>
      <c r="T23" s="343"/>
      <c r="U23" s="343"/>
      <c r="V23" s="343"/>
      <c r="W23" s="343"/>
      <c r="X23" s="343"/>
      <c r="AB23" s="455"/>
      <c r="AC23" s="455"/>
      <c r="AD23" s="455"/>
    </row>
    <row r="24" spans="1:30" ht="13.5" customHeight="1">
      <c r="A24" s="844">
        <v>7</v>
      </c>
      <c r="B24" s="863" t="str">
        <f>IF(①基本情報!I36="有",①基本情報!I37,"無")</f>
        <v>無</v>
      </c>
      <c r="C24" s="866" t="e">
        <f>加算判定!I7</f>
        <v>#N/A</v>
      </c>
      <c r="D24" s="855" t="e">
        <f>加算判定!J7</f>
        <v>#N/A</v>
      </c>
      <c r="E24" s="546" t="str">
        <f>IF(E18="","",E18)</f>
        <v/>
      </c>
      <c r="F24" s="484" t="str">
        <f>IF(F18="","",F18)</f>
        <v/>
      </c>
      <c r="G24" s="494" t="str">
        <f t="shared" ref="G24:G28" si="32">IF(E24="","",IF(R24="○",Q$5,IF(T24="○",S$5,IF(V24="○",U$5,IF(X24="○",W$5,"ERROR")))))</f>
        <v/>
      </c>
      <c r="H24" s="495" t="str">
        <f t="shared" ref="H24:H28" si="33">IF(E24="","",IF(R24="○",Q24,IF(T24="○",S24,IF(V24="○",U24,IF(X24="○",W24,"ERROR")))))</f>
        <v/>
      </c>
      <c r="I24" s="545" t="str">
        <f>IF($E24="","",IF($G24="正規職員","-",IF(AND(EXACT($C18,$C24),EXACT($E18,$E24),EXACT($G18,$G24)),I18,"賃金単価を記載")))</f>
        <v/>
      </c>
      <c r="J24" s="545" t="str">
        <f>IF($E24="","",IF($G24="正規職員","-","勤務日数を記載（定期利用の場合、1と記載)"))</f>
        <v/>
      </c>
      <c r="K24" s="545" t="str">
        <f>IF($E24="","",IF($G24="正規職員","-",IF(AND(EXACT($C18,$C24),EXACT($E18,$E24),EXACT($G18,$G24)),K18,"日額の交通費を記載（定期利用の場合は月額)")))</f>
        <v/>
      </c>
      <c r="L24" s="487" t="str">
        <f t="shared" ref="L24:L28" si="34">IF($E24="","",IF($G24="正規職員","-",(H24*I24+J24*K24)))</f>
        <v/>
      </c>
      <c r="M24" s="487">
        <f>$M$6</f>
        <v>236166.66666667</v>
      </c>
      <c r="N24" s="487">
        <f>IFERROR(IF($C24="-","",IF(E24="",0,IF(G24="正規職員",M24,MIN(L24:M24)))),0)</f>
        <v>0</v>
      </c>
      <c r="O24" s="488" t="str">
        <f>IF(E24="","",IF(COUNTIFS(E24,"*給食室*")=1,"○","エラー"))</f>
        <v/>
      </c>
      <c r="P24" s="343">
        <v>6</v>
      </c>
      <c r="Q24" s="343" t="e">
        <f>VLOOKUP($E24&amp;Q$5,'②-2勤務時間数入力'!$D$7:$Q$106,$P24,FALSE)</f>
        <v>#N/A</v>
      </c>
      <c r="R24" s="343" t="str">
        <f>IF(ISERROR(Q24),"×",IF(Q24="-","×","○"))</f>
        <v>×</v>
      </c>
      <c r="S24" s="343" t="e">
        <f>VLOOKUP($E24&amp;S$5,'②-2勤務時間数入力'!$D$7:$Q$106,$P24,FALSE)</f>
        <v>#N/A</v>
      </c>
      <c r="T24" s="343" t="str">
        <f>IF(ISERROR(S24),"×",IF(S24="-","×","○"))</f>
        <v>×</v>
      </c>
      <c r="U24" s="343" t="e">
        <f>VLOOKUP($E24&amp;U$5,'②-2勤務時間数入力'!$D$7:$Q$106,$P24,FALSE)</f>
        <v>#N/A</v>
      </c>
      <c r="V24" s="343" t="str">
        <f>IF(ISERROR(U24),"×",IF(U24="-","×","○"))</f>
        <v>×</v>
      </c>
      <c r="W24" s="343" t="e">
        <f>VLOOKUP($E24&amp;W$5,'②-2勤務時間数入力'!$D$7:$Q$106,$P24,FALSE)</f>
        <v>#N/A</v>
      </c>
      <c r="X24" s="343" t="str">
        <f>IF(ISERROR(W24),"×",IF(W24="-","×","○"))</f>
        <v>×</v>
      </c>
      <c r="AA24" s="455" t="str">
        <f>IFERROR(IF(AND(C24=1,E24="",E25="",E26="",E27="",E28=""),"×","〇"),"〇")</f>
        <v>〇</v>
      </c>
      <c r="AB24" s="455" t="str">
        <f t="shared" si="8"/>
        <v>〇</v>
      </c>
      <c r="AC24" s="455" t="str">
        <f t="shared" si="9"/>
        <v>〇</v>
      </c>
      <c r="AD24" s="455" t="str">
        <f t="shared" si="10"/>
        <v>〇</v>
      </c>
    </row>
    <row r="25" spans="1:30" ht="13.5" customHeight="1">
      <c r="A25" s="861"/>
      <c r="B25" s="864"/>
      <c r="C25" s="867"/>
      <c r="D25" s="856"/>
      <c r="E25" s="546" t="str">
        <f t="shared" ref="E25:F25" si="35">IF(E19="","",E19)</f>
        <v/>
      </c>
      <c r="F25" s="484" t="str">
        <f t="shared" si="35"/>
        <v/>
      </c>
      <c r="G25" s="494" t="str">
        <f t="shared" si="32"/>
        <v/>
      </c>
      <c r="H25" s="495" t="str">
        <f t="shared" si="33"/>
        <v/>
      </c>
      <c r="I25" s="545" t="str">
        <f>IF($E25="","",IF($G25="正規職員","-",IF(AND(EXACT($C18,$C24),EXACT($E19,$E25),EXACT($G19,$G25)),I19,"賃金単価を記載")))</f>
        <v/>
      </c>
      <c r="J25" s="545" t="str">
        <f t="shared" ref="J25:J28" si="36">IF($E25="","",IF($G25="正規職員","-","勤務日数を記載（定期利用の場合、1と記載)"))</f>
        <v/>
      </c>
      <c r="K25" s="545" t="str">
        <f>IF($E25="","",IF($G25="正規職員","-",IF(AND(EXACT($C18,$C24),EXACT($E19,$E25),EXACT($G19,$G25)),K19,"日額の交通費を記載（定期利用の場合は月額)")))</f>
        <v/>
      </c>
      <c r="L25" s="487" t="str">
        <f t="shared" si="34"/>
        <v/>
      </c>
      <c r="M25" s="487">
        <f>$M$6</f>
        <v>236166.66666667</v>
      </c>
      <c r="N25" s="487">
        <f>IFERROR(IF($C24="-","",IF(E25="","",IF(G25="正規職員",M25-M24,MIN(MIN(L25:M25),M24-N24)))),0)</f>
        <v>0</v>
      </c>
      <c r="O25" s="488" t="str">
        <f t="shared" ref="O25:O28" si="37">IF(E25="","",IF(COUNTIFS(E25,"*給食室*")=1,"○","エラー"))</f>
        <v/>
      </c>
      <c r="P25" s="343">
        <f t="shared" ref="P25:P28" si="38">P24</f>
        <v>6</v>
      </c>
      <c r="Q25" s="343" t="e">
        <f>VLOOKUP($E25&amp;Q$5,'②-2勤務時間数入力'!$D$7:$Q$106,$P25,FALSE)</f>
        <v>#N/A</v>
      </c>
      <c r="R25" s="343" t="str">
        <f>IF(ISERROR(Q25),"×",IF(Q25="-","×","○"))</f>
        <v>×</v>
      </c>
      <c r="S25" s="343" t="e">
        <f>VLOOKUP($E25&amp;S$5,'②-2勤務時間数入力'!$D$7:$Q$106,$P25,FALSE)</f>
        <v>#N/A</v>
      </c>
      <c r="T25" s="343" t="str">
        <f>IF(ISERROR(S25),"×",IF(S25="-","×","○"))</f>
        <v>×</v>
      </c>
      <c r="U25" s="343" t="e">
        <f>VLOOKUP($E25&amp;U$5,'②-2勤務時間数入力'!$D$7:$Q$106,$P25,FALSE)</f>
        <v>#N/A</v>
      </c>
      <c r="V25" s="343" t="str">
        <f>IF(ISERROR(U25),"×",IF(U25="-","×","○"))</f>
        <v>×</v>
      </c>
      <c r="W25" s="343" t="e">
        <f>VLOOKUP($E25&amp;W$5,'②-2勤務時間数入力'!$D$7:$Q$106,$P25,FALSE)</f>
        <v>#N/A</v>
      </c>
      <c r="X25" s="343" t="str">
        <f>IF(ISERROR(W25),"×",IF(W25="-","×","○"))</f>
        <v>×</v>
      </c>
      <c r="AB25" s="455" t="str">
        <f t="shared" si="8"/>
        <v>〇</v>
      </c>
      <c r="AC25" s="455" t="str">
        <f t="shared" si="9"/>
        <v>〇</v>
      </c>
      <c r="AD25" s="455" t="str">
        <f t="shared" si="10"/>
        <v>〇</v>
      </c>
    </row>
    <row r="26" spans="1:30" ht="13.5" customHeight="1">
      <c r="A26" s="861"/>
      <c r="B26" s="864"/>
      <c r="C26" s="867"/>
      <c r="D26" s="856"/>
      <c r="E26" s="546" t="str">
        <f t="shared" ref="E26:F26" si="39">IF(E20="","",E20)</f>
        <v/>
      </c>
      <c r="F26" s="484" t="str">
        <f t="shared" si="39"/>
        <v/>
      </c>
      <c r="G26" s="494" t="str">
        <f t="shared" si="32"/>
        <v/>
      </c>
      <c r="H26" s="495" t="str">
        <f t="shared" si="33"/>
        <v/>
      </c>
      <c r="I26" s="545" t="str">
        <f>IF($E26="","",IF($G26="正規職員","-",IF(AND(EXACT($C18,$C24),EXACT($E20,$E26),EXACT($G20,$G26)),I20,"賃金単価を記載")))</f>
        <v/>
      </c>
      <c r="J26" s="545" t="str">
        <f t="shared" si="36"/>
        <v/>
      </c>
      <c r="K26" s="545" t="str">
        <f>IF($E26="","",IF($G26="正規職員","-",IF(AND(EXACT($C18,$C24),EXACT($E20,$E26),EXACT($G20,$G26)),K20,"日額の交通費を記載（定期利用の場合は月額)")))</f>
        <v/>
      </c>
      <c r="L26" s="487" t="str">
        <f t="shared" si="34"/>
        <v/>
      </c>
      <c r="M26" s="487">
        <f>$M$6</f>
        <v>236166.66666667</v>
      </c>
      <c r="N26" s="487">
        <f>IFERROR(IF($C24="-","",IF(E26="","",IF(G26="正規職員",M26-M25,MIN(MIN(L26:M26),M25-N25)))),0)</f>
        <v>0</v>
      </c>
      <c r="O26" s="488" t="str">
        <f>IF(E26="","",IF(COUNTIFS(E26,"*給食室*")=1,"○","エラー"))</f>
        <v/>
      </c>
      <c r="P26" s="343">
        <f t="shared" si="38"/>
        <v>6</v>
      </c>
      <c r="Q26" s="343" t="e">
        <f>VLOOKUP($E26&amp;Q$5,'②-2勤務時間数入力'!$D$7:$Q$106,$P26,FALSE)</f>
        <v>#N/A</v>
      </c>
      <c r="R26" s="343" t="str">
        <f>IF(ISERROR(Q26),"×",IF(Q26="-","×","○"))</f>
        <v>×</v>
      </c>
      <c r="S26" s="343" t="e">
        <f>VLOOKUP($E26&amp;S$5,'②-2勤務時間数入力'!$D$7:$Q$106,$P26,FALSE)</f>
        <v>#N/A</v>
      </c>
      <c r="T26" s="343" t="str">
        <f>IF(ISERROR(S26),"×",IF(S26="-","×","○"))</f>
        <v>×</v>
      </c>
      <c r="U26" s="343" t="e">
        <f>VLOOKUP($E26&amp;U$5,'②-2勤務時間数入力'!$D$7:$Q$106,$P26,FALSE)</f>
        <v>#N/A</v>
      </c>
      <c r="V26" s="343" t="str">
        <f>IF(ISERROR(U26),"×",IF(U26="-","×","○"))</f>
        <v>×</v>
      </c>
      <c r="W26" s="343" t="e">
        <f>VLOOKUP($E26&amp;W$5,'②-2勤務時間数入力'!$D$7:$Q$106,$P26,FALSE)</f>
        <v>#N/A</v>
      </c>
      <c r="X26" s="343" t="str">
        <f>IF(ISERROR(W26),"×",IF(W26="-","×","○"))</f>
        <v>×</v>
      </c>
      <c r="AB26" s="455" t="str">
        <f t="shared" si="8"/>
        <v>〇</v>
      </c>
      <c r="AC26" s="455" t="str">
        <f t="shared" si="9"/>
        <v>〇</v>
      </c>
      <c r="AD26" s="455" t="str">
        <f t="shared" si="10"/>
        <v>〇</v>
      </c>
    </row>
    <row r="27" spans="1:30" ht="13.5" customHeight="1">
      <c r="A27" s="861"/>
      <c r="B27" s="864"/>
      <c r="C27" s="867"/>
      <c r="D27" s="856"/>
      <c r="E27" s="546" t="str">
        <f t="shared" ref="E27:F27" si="40">IF(E21="","",E21)</f>
        <v/>
      </c>
      <c r="F27" s="484" t="str">
        <f t="shared" si="40"/>
        <v/>
      </c>
      <c r="G27" s="494" t="str">
        <f t="shared" si="32"/>
        <v/>
      </c>
      <c r="H27" s="495" t="str">
        <f t="shared" si="33"/>
        <v/>
      </c>
      <c r="I27" s="545" t="str">
        <f>IF($E27="","",IF($G27="正規職員","-",IF(AND(EXACT($C18,$C24),EXACT($E21,$E27),EXACT($G21,$G27)),I21,"賃金単価を記載")))</f>
        <v/>
      </c>
      <c r="J27" s="545" t="str">
        <f t="shared" si="36"/>
        <v/>
      </c>
      <c r="K27" s="545" t="str">
        <f>IF($E27="","",IF($G27="正規職員","-",IF(AND(EXACT($C18,$C24),EXACT($E21,$E27),EXACT($G21,$G27)),K21,"日額の交通費を記載（定期利用の場合は月額)")))</f>
        <v/>
      </c>
      <c r="L27" s="487" t="str">
        <f t="shared" si="34"/>
        <v/>
      </c>
      <c r="M27" s="487">
        <f>$M$6</f>
        <v>236166.66666667</v>
      </c>
      <c r="N27" s="487">
        <f>IFERROR(IF($C24="-","",IF(E27="","",IF(G27="正規職員",M27-M26,MIN(MIN(L27:M27),M26-N26)))),0)</f>
        <v>0</v>
      </c>
      <c r="O27" s="488" t="str">
        <f t="shared" si="37"/>
        <v/>
      </c>
      <c r="P27" s="343">
        <f t="shared" si="38"/>
        <v>6</v>
      </c>
      <c r="Q27" s="343" t="e">
        <f>VLOOKUP($E27&amp;Q$5,'②-2勤務時間数入力'!$D$7:$Q$106,$P27,FALSE)</f>
        <v>#N/A</v>
      </c>
      <c r="R27" s="343" t="str">
        <f>IF(ISERROR(Q27),"×",IF(Q27="-","×","○"))</f>
        <v>×</v>
      </c>
      <c r="S27" s="343" t="e">
        <f>VLOOKUP($E27&amp;S$5,'②-2勤務時間数入力'!$D$7:$Q$106,$P27,FALSE)</f>
        <v>#N/A</v>
      </c>
      <c r="T27" s="343" t="str">
        <f>IF(ISERROR(S27),"×",IF(S27="-","×","○"))</f>
        <v>×</v>
      </c>
      <c r="U27" s="343" t="e">
        <f>VLOOKUP($E27&amp;U$5,'②-2勤務時間数入力'!$D$7:$Q$106,$P27,FALSE)</f>
        <v>#N/A</v>
      </c>
      <c r="V27" s="343" t="str">
        <f>IF(ISERROR(U27),"×",IF(U27="-","×","○"))</f>
        <v>×</v>
      </c>
      <c r="W27" s="343" t="e">
        <f>VLOOKUP($E27&amp;W$5,'②-2勤務時間数入力'!$D$7:$Q$106,$P27,FALSE)</f>
        <v>#N/A</v>
      </c>
      <c r="X27" s="343" t="str">
        <f>IF(ISERROR(W27),"×",IF(W27="-","×","○"))</f>
        <v>×</v>
      </c>
      <c r="AB27" s="455" t="str">
        <f t="shared" si="8"/>
        <v>〇</v>
      </c>
      <c r="AC27" s="455" t="str">
        <f t="shared" si="9"/>
        <v>〇</v>
      </c>
      <c r="AD27" s="455" t="str">
        <f t="shared" si="10"/>
        <v>〇</v>
      </c>
    </row>
    <row r="28" spans="1:30" ht="13.5" customHeight="1">
      <c r="A28" s="861"/>
      <c r="B28" s="864"/>
      <c r="C28" s="867"/>
      <c r="D28" s="856"/>
      <c r="E28" s="546" t="str">
        <f t="shared" ref="E28:F28" si="41">IF(E22="","",E22)</f>
        <v/>
      </c>
      <c r="F28" s="484" t="str">
        <f t="shared" si="41"/>
        <v/>
      </c>
      <c r="G28" s="494" t="str">
        <f t="shared" si="32"/>
        <v/>
      </c>
      <c r="H28" s="495" t="str">
        <f t="shared" si="33"/>
        <v/>
      </c>
      <c r="I28" s="545" t="str">
        <f>IF($E28="","",IF($G28="正規職員","-",IF(AND(EXACT($C18,$C24),EXACT($E22,$E28),EXACT($G22,$G28)),I22,"賃金単価を記載")))</f>
        <v/>
      </c>
      <c r="J28" s="545" t="str">
        <f t="shared" si="36"/>
        <v/>
      </c>
      <c r="K28" s="545" t="str">
        <f>IF($E28="","",IF($G28="正規職員","-",IF(AND(EXACT($C18,$C24),EXACT($E22,$E28),EXACT($G22,$G28)),K22,"日額の交通費を記載（定期利用の場合は月額)")))</f>
        <v/>
      </c>
      <c r="L28" s="487" t="str">
        <f t="shared" si="34"/>
        <v/>
      </c>
      <c r="M28" s="487">
        <f>$M$6</f>
        <v>236166.66666667</v>
      </c>
      <c r="N28" s="487">
        <f>IFERROR(IF($C24="-","",IF(E28="","",IF(G28="正規職員",M28-M27,MIN(MIN(L28:M28),M27-N27)))),0)</f>
        <v>0</v>
      </c>
      <c r="O28" s="488" t="str">
        <f t="shared" si="37"/>
        <v/>
      </c>
      <c r="P28" s="343">
        <f t="shared" si="38"/>
        <v>6</v>
      </c>
      <c r="Q28" s="343" t="e">
        <f>VLOOKUP($E28&amp;Q$5,'②-2勤務時間数入力'!$D$7:$Q$106,$P28,FALSE)</f>
        <v>#N/A</v>
      </c>
      <c r="R28" s="343" t="str">
        <f>IF(ISERROR(Q28),"×",IF(Q28="-","×","○"))</f>
        <v>×</v>
      </c>
      <c r="S28" s="343" t="e">
        <f>VLOOKUP($E28&amp;S$5,'②-2勤務時間数入力'!$D$7:$Q$106,$P28,FALSE)</f>
        <v>#N/A</v>
      </c>
      <c r="T28" s="343" t="str">
        <f>IF(ISERROR(S28),"×",IF(S28="-","×","○"))</f>
        <v>×</v>
      </c>
      <c r="U28" s="343" t="e">
        <f>VLOOKUP($E28&amp;U$5,'②-2勤務時間数入力'!$D$7:$Q$106,$P28,FALSE)</f>
        <v>#N/A</v>
      </c>
      <c r="V28" s="343" t="str">
        <f>IF(ISERROR(U28),"×",IF(U28="-","×","○"))</f>
        <v>×</v>
      </c>
      <c r="W28" s="343" t="e">
        <f>VLOOKUP($E28&amp;W$5,'②-2勤務時間数入力'!$D$7:$Q$106,$P28,FALSE)</f>
        <v>#N/A</v>
      </c>
      <c r="X28" s="343" t="str">
        <f>IF(ISERROR(W28),"×",IF(W28="-","×","○"))</f>
        <v>×</v>
      </c>
      <c r="AB28" s="455" t="str">
        <f t="shared" si="8"/>
        <v>〇</v>
      </c>
      <c r="AC28" s="455" t="str">
        <f t="shared" si="9"/>
        <v>〇</v>
      </c>
      <c r="AD28" s="455" t="str">
        <f t="shared" si="10"/>
        <v>〇</v>
      </c>
    </row>
    <row r="29" spans="1:30" ht="13.5" customHeight="1">
      <c r="A29" s="862"/>
      <c r="B29" s="865"/>
      <c r="C29" s="868"/>
      <c r="D29" s="857"/>
      <c r="E29" s="342" t="s">
        <v>258</v>
      </c>
      <c r="F29" s="342"/>
      <c r="G29" s="494" t="s">
        <v>255</v>
      </c>
      <c r="H29" s="498"/>
      <c r="I29" s="486" t="s">
        <v>255</v>
      </c>
      <c r="J29" s="486"/>
      <c r="K29" s="486"/>
      <c r="L29" s="486" t="s">
        <v>255</v>
      </c>
      <c r="M29" s="486" t="s">
        <v>255</v>
      </c>
      <c r="N29" s="487">
        <f>MIN(IFERROR(IF(C24=1,IF(AND(B24="配置",OR(D24="調理師等",D24="栄養士")),MAX(SUM(N24:N28)-①基本情報!I38+10000,0),SUM(N24:N28)),0),0),$M$6)</f>
        <v>0</v>
      </c>
      <c r="O29" s="488" t="e">
        <f>IF(SUM(N24:N28)&gt;#REF!*$M$6,MIN($M$6,SUM(N24:N28)-ROUNDDOWN(#REF!*$M$6,0)),0)</f>
        <v>#REF!</v>
      </c>
      <c r="P29" s="343"/>
      <c r="Q29" s="343"/>
      <c r="R29" s="343"/>
      <c r="S29" s="343"/>
      <c r="T29" s="343"/>
      <c r="U29" s="343"/>
      <c r="V29" s="343"/>
      <c r="W29" s="343"/>
      <c r="X29" s="343"/>
      <c r="AB29" s="455"/>
      <c r="AC29" s="455"/>
      <c r="AD29" s="455"/>
    </row>
    <row r="30" spans="1:30" ht="13.5" customHeight="1">
      <c r="A30" s="844">
        <v>8</v>
      </c>
      <c r="B30" s="863" t="str">
        <f>IF(①基本情報!J36="有",①基本情報!J37,"無")</f>
        <v>無</v>
      </c>
      <c r="C30" s="866" t="e">
        <f>加算判定!I8</f>
        <v>#N/A</v>
      </c>
      <c r="D30" s="855" t="e">
        <f>加算判定!J8</f>
        <v>#N/A</v>
      </c>
      <c r="E30" s="546" t="str">
        <f>IF(E24="","",E24)</f>
        <v/>
      </c>
      <c r="F30" s="484" t="str">
        <f>IF(F24="","",F24)</f>
        <v/>
      </c>
      <c r="G30" s="494" t="str">
        <f t="shared" ref="G30:G34" si="42">IF(E30="","",IF(R30="○",Q$5,IF(T30="○",S$5,IF(V30="○",U$5,IF(X30="○",W$5,"ERROR")))))</f>
        <v/>
      </c>
      <c r="H30" s="495" t="str">
        <f t="shared" ref="H30:H34" si="43">IF(E30="","",IF(R30="○",Q30,IF(T30="○",S30,IF(V30="○",U30,IF(X30="○",W30,"ERROR")))))</f>
        <v/>
      </c>
      <c r="I30" s="545" t="str">
        <f>IF($E30="","",IF($G30="正規職員","-",IF(AND(EXACT($C24,$C30),EXACT($E24,$E30),EXACT($G24,$G30)),I24,"賃金単価を記載")))</f>
        <v/>
      </c>
      <c r="J30" s="545" t="str">
        <f>IF($E30="","",IF($G30="正規職員","-","勤務日数を記載（定期利用の場合、1と記載)"))</f>
        <v/>
      </c>
      <c r="K30" s="545" t="str">
        <f>IF($E30="","",IF($G30="正規職員","-",IF(AND(EXACT($C24,$C30),EXACT($E24,$E30),EXACT($G24,$G30)),K24,"日額の交通費を記載（定期利用の場合は月額)")))</f>
        <v/>
      </c>
      <c r="L30" s="487" t="str">
        <f t="shared" ref="L30:L34" si="44">IF($E30="","",IF($G30="正規職員","-",(H30*I30+J30*K30)))</f>
        <v/>
      </c>
      <c r="M30" s="487">
        <f>$M$6</f>
        <v>236166.66666667</v>
      </c>
      <c r="N30" s="487">
        <f>IFERROR(IF($C30="-","",IF(E30="",0,IF(G30="正規職員",M30,MIN(L30:M30)))),0)</f>
        <v>0</v>
      </c>
      <c r="O30" s="488" t="str">
        <f>IF(E30="","",IF(COUNTIFS(E30,"*給食室*")=1,"○","エラー"))</f>
        <v/>
      </c>
      <c r="P30" s="343">
        <v>7</v>
      </c>
      <c r="Q30" s="343" t="e">
        <f>VLOOKUP($E30&amp;Q$5,'②-2勤務時間数入力'!$D$7:$Q$106,$P30,FALSE)</f>
        <v>#N/A</v>
      </c>
      <c r="R30" s="343" t="str">
        <f>IF(ISERROR(Q30),"×",IF(Q30="-","×","○"))</f>
        <v>×</v>
      </c>
      <c r="S30" s="343" t="e">
        <f>VLOOKUP($E30&amp;S$5,'②-2勤務時間数入力'!$D$7:$Q$106,$P30,FALSE)</f>
        <v>#N/A</v>
      </c>
      <c r="T30" s="343" t="str">
        <f>IF(ISERROR(S30),"×",IF(S30="-","×","○"))</f>
        <v>×</v>
      </c>
      <c r="U30" s="343" t="e">
        <f>VLOOKUP($E30&amp;U$5,'②-2勤務時間数入力'!$D$7:$Q$106,$P30,FALSE)</f>
        <v>#N/A</v>
      </c>
      <c r="V30" s="343" t="str">
        <f>IF(ISERROR(U30),"×",IF(U30="-","×","○"))</f>
        <v>×</v>
      </c>
      <c r="W30" s="343" t="e">
        <f>VLOOKUP($E30&amp;W$5,'②-2勤務時間数入力'!$D$7:$Q$106,$P30,FALSE)</f>
        <v>#N/A</v>
      </c>
      <c r="X30" s="343" t="str">
        <f>IF(ISERROR(W30),"×",IF(W30="-","×","○"))</f>
        <v>×</v>
      </c>
      <c r="AA30" s="455" t="str">
        <f>IFERROR(IF(AND(C30=1,E30="",E31="",E32="",E33="",E34=""),"×","〇"),"〇")</f>
        <v>〇</v>
      </c>
      <c r="AB30" s="455" t="str">
        <f t="shared" si="8"/>
        <v>〇</v>
      </c>
      <c r="AC30" s="455" t="str">
        <f t="shared" si="9"/>
        <v>〇</v>
      </c>
      <c r="AD30" s="455" t="str">
        <f t="shared" si="10"/>
        <v>〇</v>
      </c>
    </row>
    <row r="31" spans="1:30" ht="13.5" customHeight="1">
      <c r="A31" s="861"/>
      <c r="B31" s="864"/>
      <c r="C31" s="867"/>
      <c r="D31" s="856"/>
      <c r="E31" s="546" t="str">
        <f t="shared" ref="E31:F31" si="45">IF(E25="","",E25)</f>
        <v/>
      </c>
      <c r="F31" s="484" t="str">
        <f t="shared" si="45"/>
        <v/>
      </c>
      <c r="G31" s="494" t="str">
        <f t="shared" si="42"/>
        <v/>
      </c>
      <c r="H31" s="495" t="str">
        <f t="shared" si="43"/>
        <v/>
      </c>
      <c r="I31" s="545" t="str">
        <f>IF($E31="","",IF($G31="正規職員","-",IF(AND(EXACT($C24,$C30),EXACT($E25,$E31),EXACT($G25,$G31)),I25,"賃金単価を記載")))</f>
        <v/>
      </c>
      <c r="J31" s="545" t="str">
        <f t="shared" ref="J31:J34" si="46">IF($E31="","",IF($G31="正規職員","-","勤務日数を記載（定期利用の場合、1と記載)"))</f>
        <v/>
      </c>
      <c r="K31" s="545" t="str">
        <f>IF($E31="","",IF($G31="正規職員","-",IF(AND(EXACT($C24,$C30),EXACT($E25,$E31),EXACT($G25,$G31)),K25,"日額の交通費を記載（定期利用の場合は月額)")))</f>
        <v/>
      </c>
      <c r="L31" s="487" t="str">
        <f t="shared" si="44"/>
        <v/>
      </c>
      <c r="M31" s="487">
        <f>$M$6</f>
        <v>236166.66666667</v>
      </c>
      <c r="N31" s="487">
        <f>IFERROR(IF($C30="-","",IF(E31="","",IF(G31="正規職員",M31-M30,MIN(MIN(L31:M31),M30-N30)))),0)</f>
        <v>0</v>
      </c>
      <c r="O31" s="488" t="str">
        <f t="shared" ref="O31:O34" si="47">IF(E31="","",IF(COUNTIFS(E31,"*給食室*")=1,"○","エラー"))</f>
        <v/>
      </c>
      <c r="P31" s="343">
        <f t="shared" ref="P31:P34" si="48">P30</f>
        <v>7</v>
      </c>
      <c r="Q31" s="343" t="e">
        <f>VLOOKUP($E31&amp;Q$5,'②-2勤務時間数入力'!$D$7:$Q$106,$P31,FALSE)</f>
        <v>#N/A</v>
      </c>
      <c r="R31" s="343" t="str">
        <f>IF(ISERROR(Q31),"×",IF(Q31="-","×","○"))</f>
        <v>×</v>
      </c>
      <c r="S31" s="343" t="e">
        <f>VLOOKUP($E31&amp;S$5,'②-2勤務時間数入力'!$D$7:$Q$106,$P31,FALSE)</f>
        <v>#N/A</v>
      </c>
      <c r="T31" s="343" t="str">
        <f>IF(ISERROR(S31),"×",IF(S31="-","×","○"))</f>
        <v>×</v>
      </c>
      <c r="U31" s="343" t="e">
        <f>VLOOKUP($E31&amp;U$5,'②-2勤務時間数入力'!$D$7:$Q$106,$P31,FALSE)</f>
        <v>#N/A</v>
      </c>
      <c r="V31" s="343" t="str">
        <f>IF(ISERROR(U31),"×",IF(U31="-","×","○"))</f>
        <v>×</v>
      </c>
      <c r="W31" s="343" t="e">
        <f>VLOOKUP($E31&amp;W$5,'②-2勤務時間数入力'!$D$7:$Q$106,$P31,FALSE)</f>
        <v>#N/A</v>
      </c>
      <c r="X31" s="343" t="str">
        <f>IF(ISERROR(W31),"×",IF(W31="-","×","○"))</f>
        <v>×</v>
      </c>
      <c r="AB31" s="455" t="str">
        <f t="shared" si="8"/>
        <v>〇</v>
      </c>
      <c r="AC31" s="455" t="str">
        <f t="shared" si="9"/>
        <v>〇</v>
      </c>
      <c r="AD31" s="455" t="str">
        <f t="shared" si="10"/>
        <v>〇</v>
      </c>
    </row>
    <row r="32" spans="1:30" ht="13.5" customHeight="1">
      <c r="A32" s="861"/>
      <c r="B32" s="864"/>
      <c r="C32" s="867"/>
      <c r="D32" s="856"/>
      <c r="E32" s="546" t="str">
        <f t="shared" ref="E32:F32" si="49">IF(E26="","",E26)</f>
        <v/>
      </c>
      <c r="F32" s="484" t="str">
        <f t="shared" si="49"/>
        <v/>
      </c>
      <c r="G32" s="494" t="str">
        <f t="shared" si="42"/>
        <v/>
      </c>
      <c r="H32" s="495" t="str">
        <f t="shared" si="43"/>
        <v/>
      </c>
      <c r="I32" s="545" t="str">
        <f>IF($E32="","",IF($G32="正規職員","-",IF(AND(EXACT($C24,$C30),EXACT($E26,$E32),EXACT($G26,$G32)),I26,"賃金単価を記載")))</f>
        <v/>
      </c>
      <c r="J32" s="545" t="str">
        <f t="shared" si="46"/>
        <v/>
      </c>
      <c r="K32" s="545" t="str">
        <f>IF($E32="","",IF($G32="正規職員","-",IF(AND(EXACT($C24,$C30),EXACT($E26,$E32),EXACT($G26,$G32)),K26,"日額の交通費を記載（定期利用の場合は月額)")))</f>
        <v/>
      </c>
      <c r="L32" s="487" t="str">
        <f t="shared" si="44"/>
        <v/>
      </c>
      <c r="M32" s="487">
        <f>$M$6</f>
        <v>236166.66666667</v>
      </c>
      <c r="N32" s="487">
        <f>IFERROR(IF($C30="-","",IF(E32="","",IF(G32="正規職員",M32-M31,MIN(MIN(L32:M32),M31-N31)))),0)</f>
        <v>0</v>
      </c>
      <c r="O32" s="488" t="str">
        <f t="shared" si="47"/>
        <v/>
      </c>
      <c r="P32" s="343">
        <f t="shared" si="48"/>
        <v>7</v>
      </c>
      <c r="Q32" s="343" t="e">
        <f>VLOOKUP($E32&amp;Q$5,'②-2勤務時間数入力'!$D$7:$Q$106,$P32,FALSE)</f>
        <v>#N/A</v>
      </c>
      <c r="R32" s="343" t="str">
        <f>IF(ISERROR(Q32),"×",IF(Q32="-","×","○"))</f>
        <v>×</v>
      </c>
      <c r="S32" s="343" t="e">
        <f>VLOOKUP($E32&amp;S$5,'②-2勤務時間数入力'!$D$7:$Q$106,$P32,FALSE)</f>
        <v>#N/A</v>
      </c>
      <c r="T32" s="343" t="str">
        <f>IF(ISERROR(S32),"×",IF(S32="-","×","○"))</f>
        <v>×</v>
      </c>
      <c r="U32" s="343" t="e">
        <f>VLOOKUP($E32&amp;U$5,'②-2勤務時間数入力'!$D$7:$Q$106,$P32,FALSE)</f>
        <v>#N/A</v>
      </c>
      <c r="V32" s="343" t="str">
        <f>IF(ISERROR(U32),"×",IF(U32="-","×","○"))</f>
        <v>×</v>
      </c>
      <c r="W32" s="343" t="e">
        <f>VLOOKUP($E32&amp;W$5,'②-2勤務時間数入力'!$D$7:$Q$106,$P32,FALSE)</f>
        <v>#N/A</v>
      </c>
      <c r="X32" s="343" t="str">
        <f>IF(ISERROR(W32),"×",IF(W32="-","×","○"))</f>
        <v>×</v>
      </c>
      <c r="AB32" s="455" t="str">
        <f t="shared" si="8"/>
        <v>〇</v>
      </c>
      <c r="AC32" s="455" t="str">
        <f t="shared" si="9"/>
        <v>〇</v>
      </c>
      <c r="AD32" s="455" t="str">
        <f t="shared" si="10"/>
        <v>〇</v>
      </c>
    </row>
    <row r="33" spans="1:30" ht="13.5" customHeight="1">
      <c r="A33" s="861"/>
      <c r="B33" s="864"/>
      <c r="C33" s="867"/>
      <c r="D33" s="856"/>
      <c r="E33" s="546" t="str">
        <f t="shared" ref="E33:F33" si="50">IF(E27="","",E27)</f>
        <v/>
      </c>
      <c r="F33" s="484" t="str">
        <f t="shared" si="50"/>
        <v/>
      </c>
      <c r="G33" s="494" t="str">
        <f t="shared" si="42"/>
        <v/>
      </c>
      <c r="H33" s="495" t="str">
        <f t="shared" si="43"/>
        <v/>
      </c>
      <c r="I33" s="545" t="str">
        <f>IF($E33="","",IF($G33="正規職員","-",IF(AND(EXACT($C24,$C30),EXACT($E27,$E33),EXACT($G27,$G33)),I27,"賃金単価を記載")))</f>
        <v/>
      </c>
      <c r="J33" s="545" t="str">
        <f t="shared" si="46"/>
        <v/>
      </c>
      <c r="K33" s="545" t="str">
        <f>IF($E33="","",IF($G33="正規職員","-",IF(AND(EXACT($C24,$C30),EXACT($E27,$E33),EXACT($G27,$G33)),K27,"日額の交通費を記載（定期利用の場合は月額)")))</f>
        <v/>
      </c>
      <c r="L33" s="487" t="str">
        <f t="shared" si="44"/>
        <v/>
      </c>
      <c r="M33" s="487">
        <f>$M$6</f>
        <v>236166.66666667</v>
      </c>
      <c r="N33" s="487">
        <f>IFERROR(IF($C30="-","",IF(E33="","",IF(G33="正規職員",M33-M32,MIN(MIN(L33:M33),M32-N32)))),0)</f>
        <v>0</v>
      </c>
      <c r="O33" s="488" t="str">
        <f t="shared" si="47"/>
        <v/>
      </c>
      <c r="P33" s="343">
        <f t="shared" si="48"/>
        <v>7</v>
      </c>
      <c r="Q33" s="343" t="e">
        <f>VLOOKUP($E33&amp;Q$5,'②-2勤務時間数入力'!$D$7:$Q$106,$P33,FALSE)</f>
        <v>#N/A</v>
      </c>
      <c r="R33" s="343" t="str">
        <f>IF(ISERROR(Q33),"×",IF(Q33="-","×","○"))</f>
        <v>×</v>
      </c>
      <c r="S33" s="343" t="e">
        <f>VLOOKUP($E33&amp;S$5,'②-2勤務時間数入力'!$D$7:$Q$106,$P33,FALSE)</f>
        <v>#N/A</v>
      </c>
      <c r="T33" s="343" t="str">
        <f>IF(ISERROR(S33),"×",IF(S33="-","×","○"))</f>
        <v>×</v>
      </c>
      <c r="U33" s="343" t="e">
        <f>VLOOKUP($E33&amp;U$5,'②-2勤務時間数入力'!$D$7:$Q$106,$P33,FALSE)</f>
        <v>#N/A</v>
      </c>
      <c r="V33" s="343" t="str">
        <f>IF(ISERROR(U33),"×",IF(U33="-","×","○"))</f>
        <v>×</v>
      </c>
      <c r="W33" s="343" t="e">
        <f>VLOOKUP($E33&amp;W$5,'②-2勤務時間数入力'!$D$7:$Q$106,$P33,FALSE)</f>
        <v>#N/A</v>
      </c>
      <c r="X33" s="343" t="str">
        <f>IF(ISERROR(W33),"×",IF(W33="-","×","○"))</f>
        <v>×</v>
      </c>
      <c r="AB33" s="455" t="str">
        <f t="shared" si="8"/>
        <v>〇</v>
      </c>
      <c r="AC33" s="455" t="str">
        <f t="shared" si="9"/>
        <v>〇</v>
      </c>
      <c r="AD33" s="455" t="str">
        <f t="shared" si="10"/>
        <v>〇</v>
      </c>
    </row>
    <row r="34" spans="1:30" ht="13.5" customHeight="1">
      <c r="A34" s="861"/>
      <c r="B34" s="864"/>
      <c r="C34" s="867"/>
      <c r="D34" s="856"/>
      <c r="E34" s="546" t="str">
        <f t="shared" ref="E34:F34" si="51">IF(E28="","",E28)</f>
        <v/>
      </c>
      <c r="F34" s="484" t="str">
        <f t="shared" si="51"/>
        <v/>
      </c>
      <c r="G34" s="494" t="str">
        <f t="shared" si="42"/>
        <v/>
      </c>
      <c r="H34" s="495" t="str">
        <f t="shared" si="43"/>
        <v/>
      </c>
      <c r="I34" s="545" t="str">
        <f>IF($E34="","",IF($G34="正規職員","-",IF(AND(EXACT($C24,$C30),EXACT($E28,$E34),EXACT($G28,$G34)),I28,"賃金単価を記載")))</f>
        <v/>
      </c>
      <c r="J34" s="545" t="str">
        <f t="shared" si="46"/>
        <v/>
      </c>
      <c r="K34" s="545" t="str">
        <f>IF($E34="","",IF($G34="正規職員","-",IF(AND(EXACT($C24,$C30),EXACT($E28,$E34),EXACT($G28,$G34)),K28,"日額の交通費を記載（定期利用の場合は月額)")))</f>
        <v/>
      </c>
      <c r="L34" s="487" t="str">
        <f t="shared" si="44"/>
        <v/>
      </c>
      <c r="M34" s="487">
        <f>$M$6</f>
        <v>236166.66666667</v>
      </c>
      <c r="N34" s="487">
        <f>IFERROR(IF($C30="-","",IF(E34="","",IF(G34="正規職員",M34-M33,MIN(MIN(L34:M34),M33-N33)))),0)</f>
        <v>0</v>
      </c>
      <c r="O34" s="488" t="str">
        <f t="shared" si="47"/>
        <v/>
      </c>
      <c r="P34" s="343">
        <f t="shared" si="48"/>
        <v>7</v>
      </c>
      <c r="Q34" s="343" t="e">
        <f>VLOOKUP($E34&amp;Q$5,'②-2勤務時間数入力'!$D$7:$Q$106,$P34,FALSE)</f>
        <v>#N/A</v>
      </c>
      <c r="R34" s="343" t="str">
        <f>IF(ISERROR(Q34),"×",IF(Q34="-","×","○"))</f>
        <v>×</v>
      </c>
      <c r="S34" s="343" t="e">
        <f>VLOOKUP($E34&amp;S$5,'②-2勤務時間数入力'!$D$7:$Q$106,$P34,FALSE)</f>
        <v>#N/A</v>
      </c>
      <c r="T34" s="343" t="str">
        <f>IF(ISERROR(S34),"×",IF(S34="-","×","○"))</f>
        <v>×</v>
      </c>
      <c r="U34" s="343" t="e">
        <f>VLOOKUP($E34&amp;U$5,'②-2勤務時間数入力'!$D$7:$Q$106,$P34,FALSE)</f>
        <v>#N/A</v>
      </c>
      <c r="V34" s="343" t="str">
        <f>IF(ISERROR(U34),"×",IF(U34="-","×","○"))</f>
        <v>×</v>
      </c>
      <c r="W34" s="343" t="e">
        <f>VLOOKUP($E34&amp;W$5,'②-2勤務時間数入力'!$D$7:$Q$106,$P34,FALSE)</f>
        <v>#N/A</v>
      </c>
      <c r="X34" s="343" t="str">
        <f>IF(ISERROR(W34),"×",IF(W34="-","×","○"))</f>
        <v>×</v>
      </c>
      <c r="AB34" s="455" t="str">
        <f t="shared" si="8"/>
        <v>〇</v>
      </c>
      <c r="AC34" s="455" t="str">
        <f t="shared" si="9"/>
        <v>〇</v>
      </c>
      <c r="AD34" s="455" t="str">
        <f t="shared" si="10"/>
        <v>〇</v>
      </c>
    </row>
    <row r="35" spans="1:30" ht="13.5" customHeight="1">
      <c r="A35" s="862"/>
      <c r="B35" s="865"/>
      <c r="C35" s="868"/>
      <c r="D35" s="857"/>
      <c r="E35" s="342" t="s">
        <v>259</v>
      </c>
      <c r="F35" s="342"/>
      <c r="G35" s="494" t="s">
        <v>255</v>
      </c>
      <c r="H35" s="498"/>
      <c r="I35" s="486" t="s">
        <v>255</v>
      </c>
      <c r="J35" s="486"/>
      <c r="K35" s="486"/>
      <c r="L35" s="486" t="s">
        <v>255</v>
      </c>
      <c r="M35" s="486" t="s">
        <v>255</v>
      </c>
      <c r="N35" s="487">
        <f>MIN(IFERROR(IF(C30=1,IF(AND(B30="配置",OR(D30="調理師等",D30="栄養士")),MAX(SUM(N30:N34)-①基本情報!J38+10000,0),SUM(N30:N34)),0),0),$M$6)</f>
        <v>0</v>
      </c>
      <c r="O35" s="488" t="e">
        <f>IF(SUM(N30:N34)&gt;#REF!*$M$6,MIN($M$6,SUM(N30:N34)-ROUNDDOWN(#REF!*$M$6,0)),0)</f>
        <v>#REF!</v>
      </c>
      <c r="P35" s="343"/>
      <c r="Q35" s="343"/>
      <c r="R35" s="343"/>
      <c r="S35" s="343"/>
      <c r="T35" s="343"/>
      <c r="U35" s="343"/>
      <c r="V35" s="343"/>
      <c r="W35" s="343"/>
      <c r="X35" s="343"/>
      <c r="AB35" s="455"/>
      <c r="AC35" s="455"/>
      <c r="AD35" s="455"/>
    </row>
    <row r="36" spans="1:30" ht="13.5" customHeight="1">
      <c r="A36" s="844">
        <v>9</v>
      </c>
      <c r="B36" s="863" t="str">
        <f>IF(①基本情報!K36="有",①基本情報!K37,"無")</f>
        <v>無</v>
      </c>
      <c r="C36" s="866" t="e">
        <f>加算判定!I9</f>
        <v>#N/A</v>
      </c>
      <c r="D36" s="855" t="e">
        <f>加算判定!J9</f>
        <v>#N/A</v>
      </c>
      <c r="E36" s="546" t="str">
        <f>IF(E30="","",E30)</f>
        <v/>
      </c>
      <c r="F36" s="484" t="str">
        <f>IF(F30="","",F30)</f>
        <v/>
      </c>
      <c r="G36" s="494" t="str">
        <f t="shared" ref="G36:G40" si="52">IF(E36="","",IF(R36="○",Q$5,IF(T36="○",S$5,IF(V36="○",U$5,IF(X36="○",W$5,"ERROR")))))</f>
        <v/>
      </c>
      <c r="H36" s="495" t="str">
        <f t="shared" ref="H36:H40" si="53">IF(E36="","",IF(R36="○",Q36,IF(T36="○",S36,IF(V36="○",U36,IF(X36="○",W36,"ERROR")))))</f>
        <v/>
      </c>
      <c r="I36" s="545" t="str">
        <f>IF($E36="","",IF($G36="正規職員","-",IF(AND(EXACT($C30,$C36),EXACT($E30,$E36),EXACT($G30,$G36)),I30,"賃金単価を記載")))</f>
        <v/>
      </c>
      <c r="J36" s="545" t="str">
        <f>IF($E36="","",IF($G36="正規職員","-","勤務日数を記載（定期利用の場合、1と記載)"))</f>
        <v/>
      </c>
      <c r="K36" s="545" t="str">
        <f>IF($E36="","",IF($G36="正規職員","-",IF(AND(EXACT($C30,$C36),EXACT($E30,$E36),EXACT($G30,$G36)),K30,"日額の交通費を記載（定期利用の場合は月額)")))</f>
        <v/>
      </c>
      <c r="L36" s="487" t="str">
        <f t="shared" ref="L36:L40" si="54">IF($E36="","",IF($G36="正規職員","-",(H36*I36+J36*K36)))</f>
        <v/>
      </c>
      <c r="M36" s="487">
        <f>$M$6</f>
        <v>236166.66666667</v>
      </c>
      <c r="N36" s="487">
        <f>IFERROR(IF($C36="-","",IF(E36="",0,IF(G36="正規職員",M36,MIN(L36:M36)))),0)</f>
        <v>0</v>
      </c>
      <c r="O36" s="488" t="str">
        <f>IF(E36="","",IF(COUNTIFS(E36,"*給食室*")=1,"○","エラー"))</f>
        <v/>
      </c>
      <c r="P36" s="343">
        <v>8</v>
      </c>
      <c r="Q36" s="343" t="e">
        <f>VLOOKUP($E36&amp;Q$5,'②-2勤務時間数入力'!$D$7:$Q$106,$P36,FALSE)</f>
        <v>#N/A</v>
      </c>
      <c r="R36" s="343" t="str">
        <f>IF(ISERROR(Q36),"×",IF(Q36="-","×","○"))</f>
        <v>×</v>
      </c>
      <c r="S36" s="343" t="e">
        <f>VLOOKUP($E36&amp;S$5,'②-2勤務時間数入力'!$D$7:$Q$106,$P36,FALSE)</f>
        <v>#N/A</v>
      </c>
      <c r="T36" s="343" t="str">
        <f>IF(ISERROR(S36),"×",IF(S36="-","×","○"))</f>
        <v>×</v>
      </c>
      <c r="U36" s="343" t="e">
        <f>VLOOKUP($E36&amp;U$5,'②-2勤務時間数入力'!$D$7:$Q$106,$P36,FALSE)</f>
        <v>#N/A</v>
      </c>
      <c r="V36" s="343" t="str">
        <f>IF(ISERROR(U36),"×",IF(U36="-","×","○"))</f>
        <v>×</v>
      </c>
      <c r="W36" s="343" t="e">
        <f>VLOOKUP($E36&amp;W$5,'②-2勤務時間数入力'!$D$7:$Q$106,$P36,FALSE)</f>
        <v>#N/A</v>
      </c>
      <c r="X36" s="343" t="str">
        <f>IF(ISERROR(W36),"×",IF(W36="-","×","○"))</f>
        <v>×</v>
      </c>
      <c r="AA36" s="455" t="str">
        <f>IFERROR(IF(AND(C36=1,E36="",E37="",E38="",E39="",E40=""),"×","〇"),"〇")</f>
        <v>〇</v>
      </c>
      <c r="AB36" s="455" t="str">
        <f t="shared" si="8"/>
        <v>〇</v>
      </c>
      <c r="AC36" s="455" t="str">
        <f t="shared" si="9"/>
        <v>〇</v>
      </c>
      <c r="AD36" s="455" t="str">
        <f t="shared" si="10"/>
        <v>〇</v>
      </c>
    </row>
    <row r="37" spans="1:30" ht="13.5" customHeight="1">
      <c r="A37" s="861"/>
      <c r="B37" s="864"/>
      <c r="C37" s="867"/>
      <c r="D37" s="856"/>
      <c r="E37" s="546" t="str">
        <f t="shared" ref="E37:F37" si="55">IF(E31="","",E31)</f>
        <v/>
      </c>
      <c r="F37" s="484" t="str">
        <f t="shared" si="55"/>
        <v/>
      </c>
      <c r="G37" s="494" t="str">
        <f t="shared" si="52"/>
        <v/>
      </c>
      <c r="H37" s="495" t="str">
        <f t="shared" si="53"/>
        <v/>
      </c>
      <c r="I37" s="545" t="str">
        <f>IF($E37="","",IF($G37="正規職員","-",IF(AND(EXACT($C30,$C36),EXACT($E31,$E37),EXACT($G31,$G37)),I31,"賃金単価を記載")))</f>
        <v/>
      </c>
      <c r="J37" s="545" t="str">
        <f t="shared" ref="J37:J40" si="56">IF($E37="","",IF($G37="正規職員","-","勤務日数を記載（定期利用の場合、1と記載)"))</f>
        <v/>
      </c>
      <c r="K37" s="545" t="str">
        <f>IF($E37="","",IF($G37="正規職員","-",IF(AND(EXACT($C30,$C36),EXACT($E31,$E37),EXACT($G31,$G37)),K31,"日額の交通費を記載（定期利用の場合は月額)")))</f>
        <v/>
      </c>
      <c r="L37" s="487" t="str">
        <f t="shared" si="54"/>
        <v/>
      </c>
      <c r="M37" s="487">
        <f>$M$6</f>
        <v>236166.66666667</v>
      </c>
      <c r="N37" s="487">
        <f>IFERROR(IF($C36="-","",IF(E37="","",IF(G37="正規職員",M37-M36,MIN(MIN(L37:M37),M36-N36)))),0)</f>
        <v>0</v>
      </c>
      <c r="O37" s="488" t="str">
        <f t="shared" ref="O37:O40" si="57">IF(E37="","",IF(COUNTIFS(E37,"*給食室*")=1,"○","エラー"))</f>
        <v/>
      </c>
      <c r="P37" s="343">
        <f t="shared" ref="P37:P40" si="58">P36</f>
        <v>8</v>
      </c>
      <c r="Q37" s="343" t="e">
        <f>VLOOKUP($E37&amp;Q$5,'②-2勤務時間数入力'!$D$7:$Q$106,$P37,FALSE)</f>
        <v>#N/A</v>
      </c>
      <c r="R37" s="343" t="str">
        <f>IF(ISERROR(Q37),"×",IF(Q37="-","×","○"))</f>
        <v>×</v>
      </c>
      <c r="S37" s="343" t="e">
        <f>VLOOKUP($E37&amp;S$5,'②-2勤務時間数入力'!$D$7:$Q$106,$P37,FALSE)</f>
        <v>#N/A</v>
      </c>
      <c r="T37" s="343" t="str">
        <f>IF(ISERROR(S37),"×",IF(S37="-","×","○"))</f>
        <v>×</v>
      </c>
      <c r="U37" s="343" t="e">
        <f>VLOOKUP($E37&amp;U$5,'②-2勤務時間数入力'!$D$7:$Q$106,$P37,FALSE)</f>
        <v>#N/A</v>
      </c>
      <c r="V37" s="343" t="str">
        <f>IF(ISERROR(U37),"×",IF(U37="-","×","○"))</f>
        <v>×</v>
      </c>
      <c r="W37" s="343" t="e">
        <f>VLOOKUP($E37&amp;W$5,'②-2勤務時間数入力'!$D$7:$Q$106,$P37,FALSE)</f>
        <v>#N/A</v>
      </c>
      <c r="X37" s="343" t="str">
        <f>IF(ISERROR(W37),"×",IF(W37="-","×","○"))</f>
        <v>×</v>
      </c>
      <c r="AB37" s="455" t="str">
        <f t="shared" si="8"/>
        <v>〇</v>
      </c>
      <c r="AC37" s="455" t="str">
        <f t="shared" si="9"/>
        <v>〇</v>
      </c>
      <c r="AD37" s="455" t="str">
        <f t="shared" si="10"/>
        <v>〇</v>
      </c>
    </row>
    <row r="38" spans="1:30" ht="13.5" customHeight="1">
      <c r="A38" s="861"/>
      <c r="B38" s="864"/>
      <c r="C38" s="867"/>
      <c r="D38" s="856"/>
      <c r="E38" s="546" t="str">
        <f t="shared" ref="E38:F38" si="59">IF(E32="","",E32)</f>
        <v/>
      </c>
      <c r="F38" s="484" t="str">
        <f t="shared" si="59"/>
        <v/>
      </c>
      <c r="G38" s="494" t="str">
        <f t="shared" si="52"/>
        <v/>
      </c>
      <c r="H38" s="495" t="str">
        <f t="shared" si="53"/>
        <v/>
      </c>
      <c r="I38" s="545" t="str">
        <f>IF($E38="","",IF($G38="正規職員","-",IF(AND(EXACT($C30,$C36),EXACT($E32,$E38),EXACT($G32,$G38)),I32,"賃金単価を記載")))</f>
        <v/>
      </c>
      <c r="J38" s="545" t="str">
        <f t="shared" si="56"/>
        <v/>
      </c>
      <c r="K38" s="545" t="str">
        <f>IF($E38="","",IF($G38="正規職員","-",IF(AND(EXACT($C30,$C36),EXACT($E32,$E38),EXACT($G32,$G38)),K32,"日額の交通費を記載（定期利用の場合は月額)")))</f>
        <v/>
      </c>
      <c r="L38" s="487" t="str">
        <f t="shared" si="54"/>
        <v/>
      </c>
      <c r="M38" s="487">
        <f>$M$6</f>
        <v>236166.66666667</v>
      </c>
      <c r="N38" s="487">
        <f>IFERROR(IF($C36="-","",IF(E38="","",IF(G38="正規職員",M38-M37,MIN(MIN(L38:M38),M37-N37)))),0)</f>
        <v>0</v>
      </c>
      <c r="O38" s="488" t="str">
        <f t="shared" si="57"/>
        <v/>
      </c>
      <c r="P38" s="343">
        <f t="shared" si="58"/>
        <v>8</v>
      </c>
      <c r="Q38" s="343" t="e">
        <f>VLOOKUP($E38&amp;Q$5,'②-2勤務時間数入力'!$D$7:$Q$106,$P38,FALSE)</f>
        <v>#N/A</v>
      </c>
      <c r="R38" s="343" t="str">
        <f>IF(ISERROR(Q38),"×",IF(Q38="-","×","○"))</f>
        <v>×</v>
      </c>
      <c r="S38" s="343" t="e">
        <f>VLOOKUP($E38&amp;S$5,'②-2勤務時間数入力'!$D$7:$Q$106,$P38,FALSE)</f>
        <v>#N/A</v>
      </c>
      <c r="T38" s="343" t="str">
        <f>IF(ISERROR(S38),"×",IF(S38="-","×","○"))</f>
        <v>×</v>
      </c>
      <c r="U38" s="343" t="e">
        <f>VLOOKUP($E38&amp;U$5,'②-2勤務時間数入力'!$D$7:$Q$106,$P38,FALSE)</f>
        <v>#N/A</v>
      </c>
      <c r="V38" s="343" t="str">
        <f>IF(ISERROR(U38),"×",IF(U38="-","×","○"))</f>
        <v>×</v>
      </c>
      <c r="W38" s="343" t="e">
        <f>VLOOKUP($E38&amp;W$5,'②-2勤務時間数入力'!$D$7:$Q$106,$P38,FALSE)</f>
        <v>#N/A</v>
      </c>
      <c r="X38" s="343" t="str">
        <f>IF(ISERROR(W38),"×",IF(W38="-","×","○"))</f>
        <v>×</v>
      </c>
      <c r="AB38" s="455" t="str">
        <f t="shared" si="8"/>
        <v>〇</v>
      </c>
      <c r="AC38" s="455" t="str">
        <f t="shared" si="9"/>
        <v>〇</v>
      </c>
      <c r="AD38" s="455" t="str">
        <f t="shared" si="10"/>
        <v>〇</v>
      </c>
    </row>
    <row r="39" spans="1:30" ht="13.5" customHeight="1">
      <c r="A39" s="861"/>
      <c r="B39" s="864"/>
      <c r="C39" s="867"/>
      <c r="D39" s="856"/>
      <c r="E39" s="546" t="str">
        <f t="shared" ref="E39:F39" si="60">IF(E33="","",E33)</f>
        <v/>
      </c>
      <c r="F39" s="484" t="str">
        <f t="shared" si="60"/>
        <v/>
      </c>
      <c r="G39" s="494" t="str">
        <f t="shared" si="52"/>
        <v/>
      </c>
      <c r="H39" s="495" t="str">
        <f t="shared" si="53"/>
        <v/>
      </c>
      <c r="I39" s="545" t="str">
        <f>IF($E39="","",IF($G39="正規職員","-",IF(AND(EXACT($C30,$C36),EXACT($E33,$E39),EXACT($G33,$G39)),I33,"賃金単価を記載")))</f>
        <v/>
      </c>
      <c r="J39" s="545" t="str">
        <f t="shared" si="56"/>
        <v/>
      </c>
      <c r="K39" s="545" t="str">
        <f>IF($E39="","",IF($G39="正規職員","-",IF(AND(EXACT($C30,$C36),EXACT($E33,$E39),EXACT($G33,$G39)),K33,"日額の交通費を記載（定期利用の場合は月額)")))</f>
        <v/>
      </c>
      <c r="L39" s="487" t="str">
        <f t="shared" si="54"/>
        <v/>
      </c>
      <c r="M39" s="487">
        <f>$M$6</f>
        <v>236166.66666667</v>
      </c>
      <c r="N39" s="487">
        <f>IFERROR(IF($C36="-","",IF(E39="","",IF(G39="正規職員",M39-M38,MIN(MIN(L39:M39),M38-N38)))),0)</f>
        <v>0</v>
      </c>
      <c r="O39" s="488" t="str">
        <f t="shared" si="57"/>
        <v/>
      </c>
      <c r="P39" s="343">
        <f t="shared" si="58"/>
        <v>8</v>
      </c>
      <c r="Q39" s="343" t="e">
        <f>VLOOKUP($E39&amp;Q$5,'②-2勤務時間数入力'!$D$7:$Q$106,$P39,FALSE)</f>
        <v>#N/A</v>
      </c>
      <c r="R39" s="343" t="str">
        <f>IF(ISERROR(Q39),"×",IF(Q39="-","×","○"))</f>
        <v>×</v>
      </c>
      <c r="S39" s="343" t="e">
        <f>VLOOKUP($E39&amp;S$5,'②-2勤務時間数入力'!$D$7:$Q$106,$P39,FALSE)</f>
        <v>#N/A</v>
      </c>
      <c r="T39" s="343" t="str">
        <f>IF(ISERROR(S39),"×",IF(S39="-","×","○"))</f>
        <v>×</v>
      </c>
      <c r="U39" s="343" t="e">
        <f>VLOOKUP($E39&amp;U$5,'②-2勤務時間数入力'!$D$7:$Q$106,$P39,FALSE)</f>
        <v>#N/A</v>
      </c>
      <c r="V39" s="343" t="str">
        <f>IF(ISERROR(U39),"×",IF(U39="-","×","○"))</f>
        <v>×</v>
      </c>
      <c r="W39" s="343" t="e">
        <f>VLOOKUP($E39&amp;W$5,'②-2勤務時間数入力'!$D$7:$Q$106,$P39,FALSE)</f>
        <v>#N/A</v>
      </c>
      <c r="X39" s="343" t="str">
        <f>IF(ISERROR(W39),"×",IF(W39="-","×","○"))</f>
        <v>×</v>
      </c>
      <c r="AB39" s="455" t="str">
        <f t="shared" si="8"/>
        <v>〇</v>
      </c>
      <c r="AC39" s="455" t="str">
        <f t="shared" si="9"/>
        <v>〇</v>
      </c>
      <c r="AD39" s="455" t="str">
        <f t="shared" si="10"/>
        <v>〇</v>
      </c>
    </row>
    <row r="40" spans="1:30" ht="13.5" customHeight="1">
      <c r="A40" s="861"/>
      <c r="B40" s="864"/>
      <c r="C40" s="867"/>
      <c r="D40" s="856"/>
      <c r="E40" s="546" t="str">
        <f t="shared" ref="E40:F40" si="61">IF(E34="","",E34)</f>
        <v/>
      </c>
      <c r="F40" s="484" t="str">
        <f t="shared" si="61"/>
        <v/>
      </c>
      <c r="G40" s="494" t="str">
        <f t="shared" si="52"/>
        <v/>
      </c>
      <c r="H40" s="495" t="str">
        <f t="shared" si="53"/>
        <v/>
      </c>
      <c r="I40" s="545" t="str">
        <f>IF($E40="","",IF($G40="正規職員","-",IF(AND(EXACT($C30,$C36),EXACT($E34,$E40),EXACT($G34,$G40)),I34,"賃金単価を記載")))</f>
        <v/>
      </c>
      <c r="J40" s="545" t="str">
        <f t="shared" si="56"/>
        <v/>
      </c>
      <c r="K40" s="545" t="str">
        <f>IF($E40="","",IF($G40="正規職員","-",IF(AND(EXACT($C30,$C36),EXACT($E34,$E40),EXACT($G34,$G40)),K34,"日額の交通費を記載（定期利用の場合は月額)")))</f>
        <v/>
      </c>
      <c r="L40" s="487" t="str">
        <f t="shared" si="54"/>
        <v/>
      </c>
      <c r="M40" s="487">
        <f>$M$6</f>
        <v>236166.66666667</v>
      </c>
      <c r="N40" s="487">
        <f>IFERROR(IF($C36="-","",IF(E40="","",IF(G40="正規職員",M40-M39,MIN(MIN(L40:M40),M39-N39)))),0)</f>
        <v>0</v>
      </c>
      <c r="O40" s="488" t="str">
        <f t="shared" si="57"/>
        <v/>
      </c>
      <c r="P40" s="343">
        <f t="shared" si="58"/>
        <v>8</v>
      </c>
      <c r="Q40" s="343" t="e">
        <f>VLOOKUP($E40&amp;Q$5,'②-2勤務時間数入力'!$D$7:$Q$106,$P40,FALSE)</f>
        <v>#N/A</v>
      </c>
      <c r="R40" s="343" t="str">
        <f>IF(ISERROR(Q40),"×",IF(Q40="-","×","○"))</f>
        <v>×</v>
      </c>
      <c r="S40" s="343" t="e">
        <f>VLOOKUP($E40&amp;S$5,'②-2勤務時間数入力'!$D$7:$Q$106,$P40,FALSE)</f>
        <v>#N/A</v>
      </c>
      <c r="T40" s="343" t="str">
        <f>IF(ISERROR(S40),"×",IF(S40="-","×","○"))</f>
        <v>×</v>
      </c>
      <c r="U40" s="343" t="e">
        <f>VLOOKUP($E40&amp;U$5,'②-2勤務時間数入力'!$D$7:$Q$106,$P40,FALSE)</f>
        <v>#N/A</v>
      </c>
      <c r="V40" s="343" t="str">
        <f>IF(ISERROR(U40),"×",IF(U40="-","×","○"))</f>
        <v>×</v>
      </c>
      <c r="W40" s="343" t="e">
        <f>VLOOKUP($E40&amp;W$5,'②-2勤務時間数入力'!$D$7:$Q$106,$P40,FALSE)</f>
        <v>#N/A</v>
      </c>
      <c r="X40" s="343" t="str">
        <f>IF(ISERROR(W40),"×",IF(W40="-","×","○"))</f>
        <v>×</v>
      </c>
      <c r="AB40" s="455" t="str">
        <f t="shared" si="8"/>
        <v>〇</v>
      </c>
      <c r="AC40" s="455" t="str">
        <f t="shared" si="9"/>
        <v>〇</v>
      </c>
      <c r="AD40" s="455" t="str">
        <f t="shared" si="10"/>
        <v>〇</v>
      </c>
    </row>
    <row r="41" spans="1:30" ht="13.5" customHeight="1">
      <c r="A41" s="862"/>
      <c r="B41" s="865"/>
      <c r="C41" s="868"/>
      <c r="D41" s="857"/>
      <c r="E41" s="342" t="s">
        <v>260</v>
      </c>
      <c r="F41" s="342"/>
      <c r="G41" s="494" t="s">
        <v>255</v>
      </c>
      <c r="H41" s="498"/>
      <c r="I41" s="486" t="s">
        <v>255</v>
      </c>
      <c r="J41" s="486"/>
      <c r="K41" s="486"/>
      <c r="L41" s="486" t="s">
        <v>255</v>
      </c>
      <c r="M41" s="486" t="s">
        <v>255</v>
      </c>
      <c r="N41" s="487">
        <f>MIN(IFERROR(IF(C36=1,IF(AND(B36="配置",OR(D36="調理師等",D36="栄養士")),MAX(SUM(N36:N40)-①基本情報!K38+10000,0),SUM(N36:N40)),0),0),$M$6)</f>
        <v>0</v>
      </c>
      <c r="O41" s="488" t="e">
        <f>IF(SUM(N36:N40)&gt;#REF!*$M$6,MIN($M$6,SUM(N36:N40)-ROUNDDOWN(#REF!*$M$6,0)),0)</f>
        <v>#REF!</v>
      </c>
      <c r="P41" s="343"/>
      <c r="Q41" s="343"/>
      <c r="R41" s="343"/>
      <c r="S41" s="343"/>
      <c r="T41" s="343"/>
      <c r="U41" s="343"/>
      <c r="V41" s="343"/>
      <c r="W41" s="343"/>
      <c r="X41" s="343"/>
      <c r="AB41" s="455"/>
      <c r="AC41" s="455"/>
      <c r="AD41" s="455"/>
    </row>
    <row r="42" spans="1:30" ht="13.5" customHeight="1">
      <c r="A42" s="844">
        <v>10</v>
      </c>
      <c r="B42" s="863" t="str">
        <f>IF(①基本情報!L36="有",①基本情報!L37,"無")</f>
        <v>無</v>
      </c>
      <c r="C42" s="866" t="e">
        <f>加算判定!I10</f>
        <v>#N/A</v>
      </c>
      <c r="D42" s="855" t="e">
        <f>加算判定!J10</f>
        <v>#N/A</v>
      </c>
      <c r="E42" s="546" t="str">
        <f>IF(E36="","",E36)</f>
        <v/>
      </c>
      <c r="F42" s="484" t="str">
        <f>IF(F36="","",F36)</f>
        <v/>
      </c>
      <c r="G42" s="494" t="str">
        <f t="shared" ref="G42:G46" si="62">IF(E42="","",IF(R42="○",Q$5,IF(T42="○",S$5,IF(V42="○",U$5,IF(X42="○",W$5,"ERROR")))))</f>
        <v/>
      </c>
      <c r="H42" s="495" t="str">
        <f t="shared" ref="H42:H46" si="63">IF(E42="","",IF(R42="○",Q42,IF(T42="○",S42,IF(V42="○",U42,IF(X42="○",W42,"ERROR")))))</f>
        <v/>
      </c>
      <c r="I42" s="545" t="str">
        <f>IF($E42="","",IF($G42="正規職員","-",IF(AND(EXACT($C36,$C42),EXACT($E36,$E42),EXACT($G36,$G42)),I36,"賃金単価を記載")))</f>
        <v/>
      </c>
      <c r="J42" s="545" t="str">
        <f>IF($E42="","",IF($G42="正規職員","-","勤務日数を記載（定期利用の場合、1と記載)"))</f>
        <v/>
      </c>
      <c r="K42" s="545" t="str">
        <f>IF($E42="","",IF($G42="正規職員","-",IF(AND(EXACT($C36,$C42),EXACT($E36,$E42),EXACT($G36,$G42)),K36,"日額の交通費を記載（定期利用の場合は月額)")))</f>
        <v/>
      </c>
      <c r="L42" s="487" t="str">
        <f t="shared" ref="L42:L46" si="64">IF($E42="","",IF($G42="正規職員","-",(H42*I42+J42*K42)))</f>
        <v/>
      </c>
      <c r="M42" s="487">
        <f>$M$6</f>
        <v>236166.66666667</v>
      </c>
      <c r="N42" s="487">
        <f>IFERROR(IF($C42="-","",IF(E42="",0,IF(G42="正規職員",M42,MIN(L42:M42)))),0)</f>
        <v>0</v>
      </c>
      <c r="O42" s="488" t="str">
        <f>IF(E42="","",IF(COUNTIFS(E42,"*給食室*")=1,"○","エラー"))</f>
        <v/>
      </c>
      <c r="P42" s="343">
        <v>9</v>
      </c>
      <c r="Q42" s="343" t="e">
        <f>VLOOKUP($E42&amp;Q$5,'②-2勤務時間数入力'!$D$7:$Q$106,$P42,FALSE)</f>
        <v>#N/A</v>
      </c>
      <c r="R42" s="343" t="str">
        <f>IF(ISERROR(Q42),"×",IF(Q42="-","×","○"))</f>
        <v>×</v>
      </c>
      <c r="S42" s="343" t="e">
        <f>VLOOKUP($E42&amp;S$5,'②-2勤務時間数入力'!$D$7:$Q$106,$P42,FALSE)</f>
        <v>#N/A</v>
      </c>
      <c r="T42" s="343" t="str">
        <f>IF(ISERROR(S42),"×",IF(S42="-","×","○"))</f>
        <v>×</v>
      </c>
      <c r="U42" s="343" t="e">
        <f>VLOOKUP($E42&amp;U$5,'②-2勤務時間数入力'!$D$7:$Q$106,$P42,FALSE)</f>
        <v>#N/A</v>
      </c>
      <c r="V42" s="343" t="str">
        <f>IF(ISERROR(U42),"×",IF(U42="-","×","○"))</f>
        <v>×</v>
      </c>
      <c r="W42" s="343" t="e">
        <f>VLOOKUP($E42&amp;W$5,'②-2勤務時間数入力'!$D$7:$Q$106,$P42,FALSE)</f>
        <v>#N/A</v>
      </c>
      <c r="X42" s="343" t="str">
        <f>IF(ISERROR(W42),"×",IF(W42="-","×","○"))</f>
        <v>×</v>
      </c>
      <c r="AA42" s="455" t="str">
        <f>IFERROR(IF(AND(C42=1,E42="",E43="",E44="",E45="",E46=""),"×","〇"),"〇")</f>
        <v>〇</v>
      </c>
      <c r="AB42" s="455" t="str">
        <f t="shared" si="8"/>
        <v>〇</v>
      </c>
      <c r="AC42" s="455" t="str">
        <f t="shared" si="9"/>
        <v>〇</v>
      </c>
      <c r="AD42" s="455" t="str">
        <f t="shared" si="10"/>
        <v>〇</v>
      </c>
    </row>
    <row r="43" spans="1:30" ht="13.5" customHeight="1">
      <c r="A43" s="861"/>
      <c r="B43" s="864"/>
      <c r="C43" s="867"/>
      <c r="D43" s="856"/>
      <c r="E43" s="546" t="str">
        <f t="shared" ref="E43:F43" si="65">IF(E37="","",E37)</f>
        <v/>
      </c>
      <c r="F43" s="484" t="str">
        <f t="shared" si="65"/>
        <v/>
      </c>
      <c r="G43" s="494" t="str">
        <f t="shared" si="62"/>
        <v/>
      </c>
      <c r="H43" s="495" t="str">
        <f t="shared" si="63"/>
        <v/>
      </c>
      <c r="I43" s="545" t="str">
        <f>IF($E43="","",IF($G43="正規職員","-",IF(AND(EXACT($C36,$C42),EXACT($E37,$E43),EXACT($G37,$G43)),I37,"賃金単価を記載")))</f>
        <v/>
      </c>
      <c r="J43" s="545" t="str">
        <f t="shared" ref="J43:J46" si="66">IF($E43="","",IF($G43="正規職員","-","勤務日数を記載（定期利用の場合、1と記載)"))</f>
        <v/>
      </c>
      <c r="K43" s="545" t="str">
        <f>IF($E43="","",IF($G43="正規職員","-",IF(AND(EXACT($C36,$C42),EXACT($E37,$E43),EXACT($G37,$G43)),K37,"日額の交通費を記載（定期利用の場合は月額)")))</f>
        <v/>
      </c>
      <c r="L43" s="487" t="str">
        <f t="shared" si="64"/>
        <v/>
      </c>
      <c r="M43" s="487">
        <f>$M$6</f>
        <v>236166.66666667</v>
      </c>
      <c r="N43" s="487">
        <f>IFERROR(IF($C42="-","",IF(E43="","",IF(G43="正規職員",M43-M42,MIN(MIN(L43:M43),M42-N42)))),0)</f>
        <v>0</v>
      </c>
      <c r="O43" s="488" t="str">
        <f t="shared" ref="O43:O46" si="67">IF(E43="","",IF(COUNTIFS(E43,"*給食室*")=1,"○","エラー"))</f>
        <v/>
      </c>
      <c r="P43" s="343">
        <f t="shared" ref="P43:P46" si="68">P42</f>
        <v>9</v>
      </c>
      <c r="Q43" s="343" t="e">
        <f>VLOOKUP($E43&amp;Q$5,'②-2勤務時間数入力'!$D$7:$Q$106,$P43,FALSE)</f>
        <v>#N/A</v>
      </c>
      <c r="R43" s="343" t="str">
        <f>IF(ISERROR(Q43),"×",IF(Q43="-","×","○"))</f>
        <v>×</v>
      </c>
      <c r="S43" s="343" t="e">
        <f>VLOOKUP($E43&amp;S$5,'②-2勤務時間数入力'!$D$7:$Q$106,$P43,FALSE)</f>
        <v>#N/A</v>
      </c>
      <c r="T43" s="343" t="str">
        <f>IF(ISERROR(S43),"×",IF(S43="-","×","○"))</f>
        <v>×</v>
      </c>
      <c r="U43" s="343" t="e">
        <f>VLOOKUP($E43&amp;U$5,'②-2勤務時間数入力'!$D$7:$Q$106,$P43,FALSE)</f>
        <v>#N/A</v>
      </c>
      <c r="V43" s="343" t="str">
        <f>IF(ISERROR(U43),"×",IF(U43="-","×","○"))</f>
        <v>×</v>
      </c>
      <c r="W43" s="343" t="e">
        <f>VLOOKUP($E43&amp;W$5,'②-2勤務時間数入力'!$D$7:$Q$106,$P43,FALSE)</f>
        <v>#N/A</v>
      </c>
      <c r="X43" s="343" t="str">
        <f>IF(ISERROR(W43),"×",IF(W43="-","×","○"))</f>
        <v>×</v>
      </c>
      <c r="AB43" s="455" t="str">
        <f t="shared" si="8"/>
        <v>〇</v>
      </c>
      <c r="AC43" s="455" t="str">
        <f t="shared" si="9"/>
        <v>〇</v>
      </c>
      <c r="AD43" s="455" t="str">
        <f t="shared" si="10"/>
        <v>〇</v>
      </c>
    </row>
    <row r="44" spans="1:30" ht="13.5" customHeight="1">
      <c r="A44" s="861"/>
      <c r="B44" s="864"/>
      <c r="C44" s="867"/>
      <c r="D44" s="856"/>
      <c r="E44" s="546" t="str">
        <f t="shared" ref="E44:F44" si="69">IF(E38="","",E38)</f>
        <v/>
      </c>
      <c r="F44" s="484" t="str">
        <f t="shared" si="69"/>
        <v/>
      </c>
      <c r="G44" s="494" t="str">
        <f t="shared" si="62"/>
        <v/>
      </c>
      <c r="H44" s="495" t="str">
        <f t="shared" si="63"/>
        <v/>
      </c>
      <c r="I44" s="545" t="str">
        <f>IF($E44="","",IF($G44="正規職員","-",IF(AND(EXACT($C36,$C42),EXACT($E38,$E44),EXACT($G38,$G44)),I38,"賃金単価を記載")))</f>
        <v/>
      </c>
      <c r="J44" s="545" t="str">
        <f t="shared" si="66"/>
        <v/>
      </c>
      <c r="K44" s="545" t="str">
        <f>IF($E44="","",IF($G44="正規職員","-",IF(AND(EXACT($C36,$C42),EXACT($E38,$E44),EXACT($G38,$G44)),K38,"日額の交通費を記載（定期利用の場合は月額)")))</f>
        <v/>
      </c>
      <c r="L44" s="487" t="str">
        <f t="shared" si="64"/>
        <v/>
      </c>
      <c r="M44" s="487">
        <f>$M$6</f>
        <v>236166.66666667</v>
      </c>
      <c r="N44" s="487">
        <f>IFERROR(IF($C42="-","",IF(E44="","",IF(G44="正規職員",M44-M43,MIN(MIN(L44:M44),M43-N43)))),0)</f>
        <v>0</v>
      </c>
      <c r="O44" s="488" t="str">
        <f t="shared" si="67"/>
        <v/>
      </c>
      <c r="P44" s="343">
        <f t="shared" si="68"/>
        <v>9</v>
      </c>
      <c r="Q44" s="343" t="e">
        <f>VLOOKUP($E44&amp;Q$5,'②-2勤務時間数入力'!$D$7:$Q$106,$P44,FALSE)</f>
        <v>#N/A</v>
      </c>
      <c r="R44" s="343" t="str">
        <f>IF(ISERROR(Q44),"×",IF(Q44="-","×","○"))</f>
        <v>×</v>
      </c>
      <c r="S44" s="343" t="e">
        <f>VLOOKUP($E44&amp;S$5,'②-2勤務時間数入力'!$D$7:$Q$106,$P44,FALSE)</f>
        <v>#N/A</v>
      </c>
      <c r="T44" s="343" t="str">
        <f>IF(ISERROR(S44),"×",IF(S44="-","×","○"))</f>
        <v>×</v>
      </c>
      <c r="U44" s="343" t="e">
        <f>VLOOKUP($E44&amp;U$5,'②-2勤務時間数入力'!$D$7:$Q$106,$P44,FALSE)</f>
        <v>#N/A</v>
      </c>
      <c r="V44" s="343" t="str">
        <f>IF(ISERROR(U44),"×",IF(U44="-","×","○"))</f>
        <v>×</v>
      </c>
      <c r="W44" s="343" t="e">
        <f>VLOOKUP($E44&amp;W$5,'②-2勤務時間数入力'!$D$7:$Q$106,$P44,FALSE)</f>
        <v>#N/A</v>
      </c>
      <c r="X44" s="343" t="str">
        <f>IF(ISERROR(W44),"×",IF(W44="-","×","○"))</f>
        <v>×</v>
      </c>
      <c r="AB44" s="455" t="str">
        <f t="shared" si="8"/>
        <v>〇</v>
      </c>
      <c r="AC44" s="455" t="str">
        <f t="shared" si="9"/>
        <v>〇</v>
      </c>
      <c r="AD44" s="455" t="str">
        <f t="shared" si="10"/>
        <v>〇</v>
      </c>
    </row>
    <row r="45" spans="1:30" ht="13.5" customHeight="1">
      <c r="A45" s="861"/>
      <c r="B45" s="864"/>
      <c r="C45" s="867"/>
      <c r="D45" s="856"/>
      <c r="E45" s="546" t="str">
        <f t="shared" ref="E45:F45" si="70">IF(E39="","",E39)</f>
        <v/>
      </c>
      <c r="F45" s="484" t="str">
        <f t="shared" si="70"/>
        <v/>
      </c>
      <c r="G45" s="494" t="str">
        <f t="shared" si="62"/>
        <v/>
      </c>
      <c r="H45" s="495" t="str">
        <f t="shared" si="63"/>
        <v/>
      </c>
      <c r="I45" s="545" t="str">
        <f>IF($E45="","",IF($G45="正規職員","-",IF(AND(EXACT($C36,$C42),EXACT($E39,$E45),EXACT($G39,$G45)),I39,"賃金単価を記載")))</f>
        <v/>
      </c>
      <c r="J45" s="545" t="str">
        <f t="shared" si="66"/>
        <v/>
      </c>
      <c r="K45" s="545" t="str">
        <f>IF($E45="","",IF($G45="正規職員","-",IF(AND(EXACT($C36,$C42),EXACT($E39,$E45),EXACT($G39,$G45)),K39,"日額の交通費を記載（定期利用の場合は月額)")))</f>
        <v/>
      </c>
      <c r="L45" s="487" t="str">
        <f t="shared" si="64"/>
        <v/>
      </c>
      <c r="M45" s="487">
        <f>$M$6</f>
        <v>236166.66666667</v>
      </c>
      <c r="N45" s="487">
        <f>IFERROR(IF($C42="-","",IF(E45="","",IF(G45="正規職員",M45-M44,MIN(MIN(L45:M45),M44-N44)))),0)</f>
        <v>0</v>
      </c>
      <c r="O45" s="488" t="str">
        <f t="shared" si="67"/>
        <v/>
      </c>
      <c r="P45" s="343">
        <f t="shared" si="68"/>
        <v>9</v>
      </c>
      <c r="Q45" s="343" t="e">
        <f>VLOOKUP($E45&amp;Q$5,'②-2勤務時間数入力'!$D$7:$Q$106,$P45,FALSE)</f>
        <v>#N/A</v>
      </c>
      <c r="R45" s="343" t="str">
        <f>IF(ISERROR(Q45),"×",IF(Q45="-","×","○"))</f>
        <v>×</v>
      </c>
      <c r="S45" s="343" t="e">
        <f>VLOOKUP($E45&amp;S$5,'②-2勤務時間数入力'!$D$7:$Q$106,$P45,FALSE)</f>
        <v>#N/A</v>
      </c>
      <c r="T45" s="343" t="str">
        <f>IF(ISERROR(S45),"×",IF(S45="-","×","○"))</f>
        <v>×</v>
      </c>
      <c r="U45" s="343" t="e">
        <f>VLOOKUP($E45&amp;U$5,'②-2勤務時間数入力'!$D$7:$Q$106,$P45,FALSE)</f>
        <v>#N/A</v>
      </c>
      <c r="V45" s="343" t="str">
        <f>IF(ISERROR(U45),"×",IF(U45="-","×","○"))</f>
        <v>×</v>
      </c>
      <c r="W45" s="343" t="e">
        <f>VLOOKUP($E45&amp;W$5,'②-2勤務時間数入力'!$D$7:$Q$106,$P45,FALSE)</f>
        <v>#N/A</v>
      </c>
      <c r="X45" s="343" t="str">
        <f>IF(ISERROR(W45),"×",IF(W45="-","×","○"))</f>
        <v>×</v>
      </c>
      <c r="AB45" s="455" t="str">
        <f t="shared" si="8"/>
        <v>〇</v>
      </c>
      <c r="AC45" s="455" t="str">
        <f t="shared" si="9"/>
        <v>〇</v>
      </c>
      <c r="AD45" s="455" t="str">
        <f t="shared" si="10"/>
        <v>〇</v>
      </c>
    </row>
    <row r="46" spans="1:30" ht="13.5" customHeight="1">
      <c r="A46" s="861"/>
      <c r="B46" s="864"/>
      <c r="C46" s="867"/>
      <c r="D46" s="856"/>
      <c r="E46" s="546" t="str">
        <f t="shared" ref="E46:F46" si="71">IF(E40="","",E40)</f>
        <v/>
      </c>
      <c r="F46" s="484" t="str">
        <f t="shared" si="71"/>
        <v/>
      </c>
      <c r="G46" s="494" t="str">
        <f t="shared" si="62"/>
        <v/>
      </c>
      <c r="H46" s="495" t="str">
        <f t="shared" si="63"/>
        <v/>
      </c>
      <c r="I46" s="545" t="str">
        <f>IF($E46="","",IF($G46="正規職員","-",IF(AND(EXACT($C36,$C42),EXACT($E40,$E46),EXACT($G40,$G46)),I40,"賃金単価を記載")))</f>
        <v/>
      </c>
      <c r="J46" s="545" t="str">
        <f t="shared" si="66"/>
        <v/>
      </c>
      <c r="K46" s="545" t="str">
        <f>IF($E46="","",IF($G46="正規職員","-",IF(AND(EXACT($C36,$C42),EXACT($E40,$E46),EXACT($G40,$G46)),K40,"日額の交通費を記載（定期利用の場合は月額)")))</f>
        <v/>
      </c>
      <c r="L46" s="487" t="str">
        <f t="shared" si="64"/>
        <v/>
      </c>
      <c r="M46" s="487">
        <f>$M$6</f>
        <v>236166.66666667</v>
      </c>
      <c r="N46" s="487">
        <f>IFERROR(IF($C42="-","",IF(E46="","",IF(G46="正規職員",M46-M45,MIN(MIN(L46:M46),M45-N45)))),0)</f>
        <v>0</v>
      </c>
      <c r="O46" s="488" t="str">
        <f t="shared" si="67"/>
        <v/>
      </c>
      <c r="P46" s="343">
        <f t="shared" si="68"/>
        <v>9</v>
      </c>
      <c r="Q46" s="343" t="e">
        <f>VLOOKUP($E46&amp;Q$5,'②-2勤務時間数入力'!$D$7:$Q$106,$P46,FALSE)</f>
        <v>#N/A</v>
      </c>
      <c r="R46" s="343" t="str">
        <f>IF(ISERROR(Q46),"×",IF(Q46="-","×","○"))</f>
        <v>×</v>
      </c>
      <c r="S46" s="343" t="e">
        <f>VLOOKUP($E46&amp;S$5,'②-2勤務時間数入力'!$D$7:$Q$106,$P46,FALSE)</f>
        <v>#N/A</v>
      </c>
      <c r="T46" s="343" t="str">
        <f>IF(ISERROR(S46),"×",IF(S46="-","×","○"))</f>
        <v>×</v>
      </c>
      <c r="U46" s="343" t="e">
        <f>VLOOKUP($E46&amp;U$5,'②-2勤務時間数入力'!$D$7:$Q$106,$P46,FALSE)</f>
        <v>#N/A</v>
      </c>
      <c r="V46" s="343" t="str">
        <f>IF(ISERROR(U46),"×",IF(U46="-","×","○"))</f>
        <v>×</v>
      </c>
      <c r="W46" s="343" t="e">
        <f>VLOOKUP($E46&amp;W$5,'②-2勤務時間数入力'!$D$7:$Q$106,$P46,FALSE)</f>
        <v>#N/A</v>
      </c>
      <c r="X46" s="343" t="str">
        <f>IF(ISERROR(W46),"×",IF(W46="-","×","○"))</f>
        <v>×</v>
      </c>
      <c r="AB46" s="455" t="str">
        <f t="shared" si="8"/>
        <v>〇</v>
      </c>
      <c r="AC46" s="455" t="str">
        <f t="shared" si="9"/>
        <v>〇</v>
      </c>
      <c r="AD46" s="455" t="str">
        <f t="shared" si="10"/>
        <v>〇</v>
      </c>
    </row>
    <row r="47" spans="1:30" ht="13.5" customHeight="1">
      <c r="A47" s="862"/>
      <c r="B47" s="865"/>
      <c r="C47" s="868"/>
      <c r="D47" s="857"/>
      <c r="E47" s="342" t="s">
        <v>261</v>
      </c>
      <c r="F47" s="342"/>
      <c r="G47" s="494" t="s">
        <v>255</v>
      </c>
      <c r="H47" s="498"/>
      <c r="I47" s="486" t="s">
        <v>255</v>
      </c>
      <c r="J47" s="486"/>
      <c r="K47" s="486"/>
      <c r="L47" s="486" t="s">
        <v>255</v>
      </c>
      <c r="M47" s="486" t="s">
        <v>255</v>
      </c>
      <c r="N47" s="487">
        <f>MIN(IFERROR(IF(C42=1,IF(AND(B42="配置",OR(D42="調理師等",D42="栄養士")),MAX(SUM(N42:N46)-①基本情報!L38+10000,0),SUM(N42:N46)),0),0),$M$6)</f>
        <v>0</v>
      </c>
      <c r="O47" s="488" t="e">
        <f>IF(SUM(N42:N46)&gt;#REF!*$M$6,MIN($M$6,SUM(N42:N46)-ROUNDDOWN(#REF!*$M$6,0)),0)</f>
        <v>#REF!</v>
      </c>
      <c r="P47" s="343"/>
      <c r="Q47" s="343"/>
      <c r="R47" s="343"/>
      <c r="S47" s="343"/>
      <c r="T47" s="343"/>
      <c r="U47" s="343"/>
      <c r="V47" s="343"/>
      <c r="W47" s="343"/>
      <c r="X47" s="343"/>
      <c r="AB47" s="455"/>
      <c r="AC47" s="455"/>
      <c r="AD47" s="455"/>
    </row>
    <row r="48" spans="1:30" ht="13.5" customHeight="1">
      <c r="A48" s="844">
        <v>11</v>
      </c>
      <c r="B48" s="863" t="str">
        <f>IF(①基本情報!M36="有",①基本情報!M37,"無")</f>
        <v>無</v>
      </c>
      <c r="C48" s="866" t="e">
        <f>加算判定!I11</f>
        <v>#N/A</v>
      </c>
      <c r="D48" s="855" t="e">
        <f>加算判定!J11</f>
        <v>#N/A</v>
      </c>
      <c r="E48" s="546" t="str">
        <f>IF(E42="","",E42)</f>
        <v/>
      </c>
      <c r="F48" s="484" t="str">
        <f>IF(F42="","",F42)</f>
        <v/>
      </c>
      <c r="G48" s="494" t="str">
        <f t="shared" ref="G48:G52" si="72">IF(E48="","",IF(R48="○",Q$5,IF(T48="○",S$5,IF(V48="○",U$5,IF(X48="○",W$5,"ERROR")))))</f>
        <v/>
      </c>
      <c r="H48" s="495" t="str">
        <f t="shared" ref="H48:H52" si="73">IF(E48="","",IF(R48="○",Q48,IF(T48="○",S48,IF(V48="○",U48,IF(X48="○",W48,"ERROR")))))</f>
        <v/>
      </c>
      <c r="I48" s="545" t="str">
        <f>IF($E48="","",IF($G48="正規職員","-",IF(AND(EXACT($C42,$C48),EXACT($E42,$E48),EXACT($G42,$G48)),I42,"賃金単価を記載")))</f>
        <v/>
      </c>
      <c r="J48" s="545" t="str">
        <f>IF($E48="","",IF($G48="正規職員","-","勤務日数を記載（定期利用の場合、1と記載)"))</f>
        <v/>
      </c>
      <c r="K48" s="545" t="str">
        <f>IF($E48="","",IF($G48="正規職員","-",IF(AND(EXACT($C42,$C48),EXACT($E42,$E48),EXACT($G42,$G48)),K42,"日額の交通費を記載（定期利用の場合は月額)")))</f>
        <v/>
      </c>
      <c r="L48" s="487" t="str">
        <f t="shared" ref="L48:L52" si="74">IF($E48="","",IF($G48="正規職員","-",(H48*I48+J48*K48)))</f>
        <v/>
      </c>
      <c r="M48" s="487">
        <f>$M$6</f>
        <v>236166.66666667</v>
      </c>
      <c r="N48" s="487">
        <f>IFERROR(IF($C48="-","",IF(E48="",0,IF(G48="正規職員",M48,MIN(L48:M48)))),0)</f>
        <v>0</v>
      </c>
      <c r="O48" s="488" t="str">
        <f>IF(E48="","",IF(COUNTIFS(E48,"*給食室*")=1,"○","エラー"))</f>
        <v/>
      </c>
      <c r="P48" s="343">
        <v>10</v>
      </c>
      <c r="Q48" s="343" t="e">
        <f>VLOOKUP($E48&amp;Q$5,'②-2勤務時間数入力'!$D$7:$Q$106,$P48,FALSE)</f>
        <v>#N/A</v>
      </c>
      <c r="R48" s="343" t="str">
        <f>IF(ISERROR(Q48),"×",IF(Q48="-","×","○"))</f>
        <v>×</v>
      </c>
      <c r="S48" s="343" t="e">
        <f>VLOOKUP($E48&amp;S$5,'②-2勤務時間数入力'!$D$7:$Q$106,$P48,FALSE)</f>
        <v>#N/A</v>
      </c>
      <c r="T48" s="343" t="str">
        <f>IF(ISERROR(S48),"×",IF(S48="-","×","○"))</f>
        <v>×</v>
      </c>
      <c r="U48" s="343" t="e">
        <f>VLOOKUP($E48&amp;U$5,'②-2勤務時間数入力'!$D$7:$Q$106,$P48,FALSE)</f>
        <v>#N/A</v>
      </c>
      <c r="V48" s="343" t="str">
        <f>IF(ISERROR(U48),"×",IF(U48="-","×","○"))</f>
        <v>×</v>
      </c>
      <c r="W48" s="343" t="e">
        <f>VLOOKUP($E48&amp;W$5,'②-2勤務時間数入力'!$D$7:$Q$106,$P48,FALSE)</f>
        <v>#N/A</v>
      </c>
      <c r="X48" s="343" t="str">
        <f>IF(ISERROR(W48),"×",IF(W48="-","×","○"))</f>
        <v>×</v>
      </c>
      <c r="AA48" s="455" t="str">
        <f>IFERROR(IF(AND(C48=1,E48="",E49="",E50="",E51="",E52=""),"×","〇"),"〇")</f>
        <v>〇</v>
      </c>
      <c r="AB48" s="455" t="str">
        <f t="shared" si="8"/>
        <v>〇</v>
      </c>
      <c r="AC48" s="455" t="str">
        <f t="shared" si="9"/>
        <v>〇</v>
      </c>
      <c r="AD48" s="455" t="str">
        <f t="shared" si="10"/>
        <v>〇</v>
      </c>
    </row>
    <row r="49" spans="1:30" ht="13.5" customHeight="1">
      <c r="A49" s="861"/>
      <c r="B49" s="864"/>
      <c r="C49" s="867"/>
      <c r="D49" s="856"/>
      <c r="E49" s="546" t="str">
        <f t="shared" ref="E49:F49" si="75">IF(E43="","",E43)</f>
        <v/>
      </c>
      <c r="F49" s="484" t="str">
        <f t="shared" si="75"/>
        <v/>
      </c>
      <c r="G49" s="494" t="str">
        <f t="shared" si="72"/>
        <v/>
      </c>
      <c r="H49" s="495" t="str">
        <f t="shared" si="73"/>
        <v/>
      </c>
      <c r="I49" s="545" t="str">
        <f>IF($E49="","",IF($G49="正規職員","-",IF(AND(EXACT($C42,$C48),EXACT($E43,$E49),EXACT($G43,$G49)),I43,"賃金単価を記載")))</f>
        <v/>
      </c>
      <c r="J49" s="545" t="str">
        <f t="shared" ref="J49:J52" si="76">IF($E49="","",IF($G49="正規職員","-","勤務日数を記載（定期利用の場合、1と記載)"))</f>
        <v/>
      </c>
      <c r="K49" s="545" t="str">
        <f>IF($E49="","",IF($G49="正規職員","-",IF(AND(EXACT($C42,$C48),EXACT($E43,$E49),EXACT($G43,$G49)),K43,"日額の交通費を記載（定期利用の場合は月額)")))</f>
        <v/>
      </c>
      <c r="L49" s="487" t="str">
        <f t="shared" si="74"/>
        <v/>
      </c>
      <c r="M49" s="487">
        <f>$M$6</f>
        <v>236166.66666667</v>
      </c>
      <c r="N49" s="487">
        <f>IFERROR(IF($C48="-","",IF(E49="","",IF(G49="正規職員",M49-M48,MIN(MIN(L49:M49),M48-N48)))),0)</f>
        <v>0</v>
      </c>
      <c r="O49" s="488" t="str">
        <f t="shared" ref="O49:O52" si="77">IF(E49="","",IF(COUNTIFS(E49,"*給食室*")=1,"○","エラー"))</f>
        <v/>
      </c>
      <c r="P49" s="343">
        <f t="shared" ref="P49:P52" si="78">P48</f>
        <v>10</v>
      </c>
      <c r="Q49" s="343" t="e">
        <f>VLOOKUP($E49&amp;Q$5,'②-2勤務時間数入力'!$D$7:$Q$106,$P49,FALSE)</f>
        <v>#N/A</v>
      </c>
      <c r="R49" s="343" t="str">
        <f>IF(ISERROR(Q49),"×",IF(Q49="-","×","○"))</f>
        <v>×</v>
      </c>
      <c r="S49" s="343" t="e">
        <f>VLOOKUP($E49&amp;S$5,'②-2勤務時間数入力'!$D$7:$Q$106,$P49,FALSE)</f>
        <v>#N/A</v>
      </c>
      <c r="T49" s="343" t="str">
        <f>IF(ISERROR(S49),"×",IF(S49="-","×","○"))</f>
        <v>×</v>
      </c>
      <c r="U49" s="343" t="e">
        <f>VLOOKUP($E49&amp;U$5,'②-2勤務時間数入力'!$D$7:$Q$106,$P49,FALSE)</f>
        <v>#N/A</v>
      </c>
      <c r="V49" s="343" t="str">
        <f>IF(ISERROR(U49),"×",IF(U49="-","×","○"))</f>
        <v>×</v>
      </c>
      <c r="W49" s="343" t="e">
        <f>VLOOKUP($E49&amp;W$5,'②-2勤務時間数入力'!$D$7:$Q$106,$P49,FALSE)</f>
        <v>#N/A</v>
      </c>
      <c r="X49" s="343" t="str">
        <f>IF(ISERROR(W49),"×",IF(W49="-","×","○"))</f>
        <v>×</v>
      </c>
      <c r="AB49" s="455" t="str">
        <f t="shared" si="8"/>
        <v>〇</v>
      </c>
      <c r="AC49" s="455" t="str">
        <f t="shared" si="9"/>
        <v>〇</v>
      </c>
      <c r="AD49" s="455" t="str">
        <f t="shared" si="10"/>
        <v>〇</v>
      </c>
    </row>
    <row r="50" spans="1:30" ht="13.5" customHeight="1">
      <c r="A50" s="861"/>
      <c r="B50" s="864"/>
      <c r="C50" s="867"/>
      <c r="D50" s="856"/>
      <c r="E50" s="546" t="str">
        <f t="shared" ref="E50:F50" si="79">IF(E44="","",E44)</f>
        <v/>
      </c>
      <c r="F50" s="484" t="str">
        <f t="shared" si="79"/>
        <v/>
      </c>
      <c r="G50" s="494" t="str">
        <f t="shared" si="72"/>
        <v/>
      </c>
      <c r="H50" s="495" t="str">
        <f t="shared" si="73"/>
        <v/>
      </c>
      <c r="I50" s="545" t="str">
        <f>IF($E50="","",IF($G50="正規職員","-",IF(AND(EXACT($C42,$C48),EXACT($E44,$E50),EXACT($G44,$G50)),I44,"賃金単価を記載")))</f>
        <v/>
      </c>
      <c r="J50" s="545" t="str">
        <f t="shared" si="76"/>
        <v/>
      </c>
      <c r="K50" s="545" t="str">
        <f>IF($E50="","",IF($G50="正規職員","-",IF(AND(EXACT($C42,$C48),EXACT($E44,$E50),EXACT($G44,$G50)),K44,"日額の交通費を記載（定期利用の場合は月額)")))</f>
        <v/>
      </c>
      <c r="L50" s="487" t="str">
        <f t="shared" si="74"/>
        <v/>
      </c>
      <c r="M50" s="487">
        <f>$M$6</f>
        <v>236166.66666667</v>
      </c>
      <c r="N50" s="487">
        <f>IFERROR(IF($C48="-","",IF(E50="","",IF(G50="正規職員",M50-M49,MIN(MIN(L50:M50),M49-N49)))),0)</f>
        <v>0</v>
      </c>
      <c r="O50" s="488" t="str">
        <f t="shared" si="77"/>
        <v/>
      </c>
      <c r="P50" s="343">
        <f t="shared" si="78"/>
        <v>10</v>
      </c>
      <c r="Q50" s="343" t="e">
        <f>VLOOKUP($E50&amp;Q$5,'②-2勤務時間数入力'!$D$7:$Q$106,$P50,FALSE)</f>
        <v>#N/A</v>
      </c>
      <c r="R50" s="343" t="str">
        <f>IF(ISERROR(Q50),"×",IF(Q50="-","×","○"))</f>
        <v>×</v>
      </c>
      <c r="S50" s="343" t="e">
        <f>VLOOKUP($E50&amp;S$5,'②-2勤務時間数入力'!$D$7:$Q$106,$P50,FALSE)</f>
        <v>#N/A</v>
      </c>
      <c r="T50" s="343" t="str">
        <f>IF(ISERROR(S50),"×",IF(S50="-","×","○"))</f>
        <v>×</v>
      </c>
      <c r="U50" s="343" t="e">
        <f>VLOOKUP($E50&amp;U$5,'②-2勤務時間数入力'!$D$7:$Q$106,$P50,FALSE)</f>
        <v>#N/A</v>
      </c>
      <c r="V50" s="343" t="str">
        <f>IF(ISERROR(U50),"×",IF(U50="-","×","○"))</f>
        <v>×</v>
      </c>
      <c r="W50" s="343" t="e">
        <f>VLOOKUP($E50&amp;W$5,'②-2勤務時間数入力'!$D$7:$Q$106,$P50,FALSE)</f>
        <v>#N/A</v>
      </c>
      <c r="X50" s="343" t="str">
        <f>IF(ISERROR(W50),"×",IF(W50="-","×","○"))</f>
        <v>×</v>
      </c>
      <c r="AB50" s="455" t="str">
        <f t="shared" si="8"/>
        <v>〇</v>
      </c>
      <c r="AC50" s="455" t="str">
        <f t="shared" si="9"/>
        <v>〇</v>
      </c>
      <c r="AD50" s="455" t="str">
        <f t="shared" si="10"/>
        <v>〇</v>
      </c>
    </row>
    <row r="51" spans="1:30" ht="13.5" customHeight="1">
      <c r="A51" s="861"/>
      <c r="B51" s="864"/>
      <c r="C51" s="867"/>
      <c r="D51" s="856"/>
      <c r="E51" s="546" t="str">
        <f t="shared" ref="E51:F51" si="80">IF(E45="","",E45)</f>
        <v/>
      </c>
      <c r="F51" s="484" t="str">
        <f t="shared" si="80"/>
        <v/>
      </c>
      <c r="G51" s="494" t="str">
        <f t="shared" si="72"/>
        <v/>
      </c>
      <c r="H51" s="495" t="str">
        <f t="shared" si="73"/>
        <v/>
      </c>
      <c r="I51" s="545" t="str">
        <f>IF($E51="","",IF($G51="正規職員","-",IF(AND(EXACT($C42,$C48),EXACT($E45,$E51),EXACT($G45,$G51)),I45,"賃金単価を記載")))</f>
        <v/>
      </c>
      <c r="J51" s="545" t="str">
        <f t="shared" si="76"/>
        <v/>
      </c>
      <c r="K51" s="545" t="str">
        <f>IF($E51="","",IF($G51="正規職員","-",IF(AND(EXACT($C42,$C48),EXACT($E45,$E51),EXACT($G45,$G51)),K45,"日額の交通費を記載（定期利用の場合は月額)")))</f>
        <v/>
      </c>
      <c r="L51" s="487" t="str">
        <f t="shared" si="74"/>
        <v/>
      </c>
      <c r="M51" s="487">
        <f>$M$6</f>
        <v>236166.66666667</v>
      </c>
      <c r="N51" s="487">
        <f>IFERROR(IF($C48="-","",IF(E51="","",IF(G51="正規職員",M51-M50,MIN(MIN(L51:M51),M50-N50)))),0)</f>
        <v>0</v>
      </c>
      <c r="O51" s="488" t="str">
        <f t="shared" si="77"/>
        <v/>
      </c>
      <c r="P51" s="343">
        <f t="shared" si="78"/>
        <v>10</v>
      </c>
      <c r="Q51" s="343" t="e">
        <f>VLOOKUP($E51&amp;Q$5,'②-2勤務時間数入力'!$D$7:$Q$106,$P51,FALSE)</f>
        <v>#N/A</v>
      </c>
      <c r="R51" s="343" t="str">
        <f>IF(ISERROR(Q51),"×",IF(Q51="-","×","○"))</f>
        <v>×</v>
      </c>
      <c r="S51" s="343" t="e">
        <f>VLOOKUP($E51&amp;S$5,'②-2勤務時間数入力'!$D$7:$Q$106,$P51,FALSE)</f>
        <v>#N/A</v>
      </c>
      <c r="T51" s="343" t="str">
        <f>IF(ISERROR(S51),"×",IF(S51="-","×","○"))</f>
        <v>×</v>
      </c>
      <c r="U51" s="343" t="e">
        <f>VLOOKUP($E51&amp;U$5,'②-2勤務時間数入力'!$D$7:$Q$106,$P51,FALSE)</f>
        <v>#N/A</v>
      </c>
      <c r="V51" s="343" t="str">
        <f>IF(ISERROR(U51),"×",IF(U51="-","×","○"))</f>
        <v>×</v>
      </c>
      <c r="W51" s="343" t="e">
        <f>VLOOKUP($E51&amp;W$5,'②-2勤務時間数入力'!$D$7:$Q$106,$P51,FALSE)</f>
        <v>#N/A</v>
      </c>
      <c r="X51" s="343" t="str">
        <f>IF(ISERROR(W51),"×",IF(W51="-","×","○"))</f>
        <v>×</v>
      </c>
      <c r="AB51" s="455" t="str">
        <f t="shared" si="8"/>
        <v>〇</v>
      </c>
      <c r="AC51" s="455" t="str">
        <f t="shared" si="9"/>
        <v>〇</v>
      </c>
      <c r="AD51" s="455" t="str">
        <f t="shared" si="10"/>
        <v>〇</v>
      </c>
    </row>
    <row r="52" spans="1:30" ht="13.5" customHeight="1">
      <c r="A52" s="861"/>
      <c r="B52" s="864"/>
      <c r="C52" s="867"/>
      <c r="D52" s="856"/>
      <c r="E52" s="546" t="str">
        <f t="shared" ref="E52:F52" si="81">IF(E46="","",E46)</f>
        <v/>
      </c>
      <c r="F52" s="484" t="str">
        <f t="shared" si="81"/>
        <v/>
      </c>
      <c r="G52" s="494" t="str">
        <f t="shared" si="72"/>
        <v/>
      </c>
      <c r="H52" s="495" t="str">
        <f t="shared" si="73"/>
        <v/>
      </c>
      <c r="I52" s="545" t="str">
        <f>IF($E52="","",IF($G52="正規職員","-",IF(AND(EXACT($C42,$C48),EXACT($E46,$E52),EXACT($G46,$G52)),I46,"賃金単価を記載")))</f>
        <v/>
      </c>
      <c r="J52" s="545" t="str">
        <f t="shared" si="76"/>
        <v/>
      </c>
      <c r="K52" s="545" t="str">
        <f>IF($E52="","",IF($G52="正規職員","-",IF(AND(EXACT($C42,$C48),EXACT($E46,$E52),EXACT($G46,$G52)),K46,"日額の交通費を記載（定期利用の場合は月額)")))</f>
        <v/>
      </c>
      <c r="L52" s="487" t="str">
        <f t="shared" si="74"/>
        <v/>
      </c>
      <c r="M52" s="487">
        <f>$M$6</f>
        <v>236166.66666667</v>
      </c>
      <c r="N52" s="487">
        <f>IFERROR(IF($C48="-","",IF(E52="","",IF(G52="正規職員",M52-M51,MIN(MIN(L52:M52),M51-N51)))),0)</f>
        <v>0</v>
      </c>
      <c r="O52" s="488" t="str">
        <f t="shared" si="77"/>
        <v/>
      </c>
      <c r="P52" s="343">
        <f t="shared" si="78"/>
        <v>10</v>
      </c>
      <c r="Q52" s="343" t="e">
        <f>VLOOKUP($E52&amp;Q$5,'②-2勤務時間数入力'!$D$7:$Q$106,$P52,FALSE)</f>
        <v>#N/A</v>
      </c>
      <c r="R52" s="343" t="str">
        <f>IF(ISERROR(Q52),"×",IF(Q52="-","×","○"))</f>
        <v>×</v>
      </c>
      <c r="S52" s="343" t="e">
        <f>VLOOKUP($E52&amp;S$5,'②-2勤務時間数入力'!$D$7:$Q$106,$P52,FALSE)</f>
        <v>#N/A</v>
      </c>
      <c r="T52" s="343" t="str">
        <f>IF(ISERROR(S52),"×",IF(S52="-","×","○"))</f>
        <v>×</v>
      </c>
      <c r="U52" s="343" t="e">
        <f>VLOOKUP($E52&amp;U$5,'②-2勤務時間数入力'!$D$7:$Q$106,$P52,FALSE)</f>
        <v>#N/A</v>
      </c>
      <c r="V52" s="343" t="str">
        <f>IF(ISERROR(U52),"×",IF(U52="-","×","○"))</f>
        <v>×</v>
      </c>
      <c r="W52" s="343" t="e">
        <f>VLOOKUP($E52&amp;W$5,'②-2勤務時間数入力'!$D$7:$Q$106,$P52,FALSE)</f>
        <v>#N/A</v>
      </c>
      <c r="X52" s="343" t="str">
        <f>IF(ISERROR(W52),"×",IF(W52="-","×","○"))</f>
        <v>×</v>
      </c>
      <c r="AB52" s="455" t="str">
        <f t="shared" si="8"/>
        <v>〇</v>
      </c>
      <c r="AC52" s="455" t="str">
        <f t="shared" si="9"/>
        <v>〇</v>
      </c>
      <c r="AD52" s="455" t="str">
        <f t="shared" si="10"/>
        <v>〇</v>
      </c>
    </row>
    <row r="53" spans="1:30" ht="13.5" customHeight="1">
      <c r="A53" s="862"/>
      <c r="B53" s="865"/>
      <c r="C53" s="868"/>
      <c r="D53" s="857"/>
      <c r="E53" s="342" t="s">
        <v>262</v>
      </c>
      <c r="F53" s="342"/>
      <c r="G53" s="494" t="s">
        <v>255</v>
      </c>
      <c r="H53" s="498"/>
      <c r="I53" s="486" t="s">
        <v>255</v>
      </c>
      <c r="J53" s="486"/>
      <c r="K53" s="486"/>
      <c r="L53" s="486" t="s">
        <v>255</v>
      </c>
      <c r="M53" s="486" t="s">
        <v>255</v>
      </c>
      <c r="N53" s="487">
        <f>MIN(IFERROR(IF(C48=1,IF(AND(B48="配置",OR(D48="調理師等",D48="栄養士")),MAX(SUM(N48:N52)-①基本情報!M38+10000,0),SUM(N48:N52)),0),0),$M$6)</f>
        <v>0</v>
      </c>
      <c r="O53" s="488" t="e">
        <f>IF(SUM(N48:N52)&gt;#REF!*$M$6,MIN($M$6,SUM(N48:N52)-ROUNDDOWN(#REF!*$M$6,0)),0)</f>
        <v>#REF!</v>
      </c>
      <c r="P53" s="343"/>
      <c r="Q53" s="343"/>
      <c r="R53" s="343"/>
      <c r="S53" s="343"/>
      <c r="T53" s="343"/>
      <c r="U53" s="343"/>
      <c r="V53" s="343"/>
      <c r="W53" s="343"/>
      <c r="X53" s="343"/>
      <c r="AB53" s="455"/>
      <c r="AC53" s="455"/>
      <c r="AD53" s="455"/>
    </row>
    <row r="54" spans="1:30" ht="13.5" customHeight="1">
      <c r="A54" s="844">
        <v>12</v>
      </c>
      <c r="B54" s="863" t="str">
        <f>IF(①基本情報!N36="有",①基本情報!N37,"無")</f>
        <v>無</v>
      </c>
      <c r="C54" s="866" t="e">
        <f>加算判定!I12</f>
        <v>#N/A</v>
      </c>
      <c r="D54" s="855" t="e">
        <f>加算判定!J12</f>
        <v>#N/A</v>
      </c>
      <c r="E54" s="546" t="str">
        <f>IF(E48="","",E48)</f>
        <v/>
      </c>
      <c r="F54" s="484" t="str">
        <f>IF(F48="","",F48)</f>
        <v/>
      </c>
      <c r="G54" s="494" t="str">
        <f t="shared" ref="G54:G58" si="82">IF(E54="","",IF(R54="○",Q$5,IF(T54="○",S$5,IF(V54="○",U$5,IF(X54="○",W$5,"ERROR")))))</f>
        <v/>
      </c>
      <c r="H54" s="495" t="str">
        <f t="shared" ref="H54:H58" si="83">IF(E54="","",IF(R54="○",Q54,IF(T54="○",S54,IF(V54="○",U54,IF(X54="○",W54,"ERROR")))))</f>
        <v/>
      </c>
      <c r="I54" s="545" t="str">
        <f>IF($E54="","",IF($G54="正規職員","-",IF(AND(EXACT($C48,$C54),EXACT($E48,$E54),EXACT($G48,$G54)),I48,"賃金単価を記載")))</f>
        <v/>
      </c>
      <c r="J54" s="545" t="str">
        <f>IF($E54="","",IF($G54="正規職員","-","勤務日数を記載（定期利用の場合、1と記載)"))</f>
        <v/>
      </c>
      <c r="K54" s="545" t="str">
        <f>IF($E54="","",IF($G54="正規職員","-",IF(AND(EXACT($C48,$C54),EXACT($E48,$E54),EXACT($G48,$G54)),K48,"日額の交通費を記載（定期利用の場合は月額)")))</f>
        <v/>
      </c>
      <c r="L54" s="487" t="str">
        <f t="shared" ref="L54:L58" si="84">IF($E54="","",IF($G54="正規職員","-",(H54*I54+J54*K54)))</f>
        <v/>
      </c>
      <c r="M54" s="487">
        <f>$M$6</f>
        <v>236166.66666667</v>
      </c>
      <c r="N54" s="487">
        <f>IFERROR(IF($C54="-","",IF(E54="",0,IF(G54="正規職員",M54,MIN(L54:M54)))),0)</f>
        <v>0</v>
      </c>
      <c r="O54" s="488" t="str">
        <f>IF(E54="","",IF(COUNTIFS(E54,"*給食室*")=1,"○","エラー"))</f>
        <v/>
      </c>
      <c r="P54" s="343">
        <v>11</v>
      </c>
      <c r="Q54" s="343" t="e">
        <f>VLOOKUP($E54&amp;Q$5,'②-2勤務時間数入力'!$D$7:$Q$106,$P54,FALSE)</f>
        <v>#N/A</v>
      </c>
      <c r="R54" s="343" t="str">
        <f>IF(ISERROR(Q54),"×",IF(Q54="-","×","○"))</f>
        <v>×</v>
      </c>
      <c r="S54" s="343" t="e">
        <f>VLOOKUP($E54&amp;S$5,'②-2勤務時間数入力'!$D$7:$Q$106,$P54,FALSE)</f>
        <v>#N/A</v>
      </c>
      <c r="T54" s="343" t="str">
        <f>IF(ISERROR(S54),"×",IF(S54="-","×","○"))</f>
        <v>×</v>
      </c>
      <c r="U54" s="343" t="e">
        <f>VLOOKUP($E54&amp;U$5,'②-2勤務時間数入力'!$D$7:$Q$106,$P54,FALSE)</f>
        <v>#N/A</v>
      </c>
      <c r="V54" s="343" t="str">
        <f>IF(ISERROR(U54),"×",IF(U54="-","×","○"))</f>
        <v>×</v>
      </c>
      <c r="W54" s="343" t="e">
        <f>VLOOKUP($E54&amp;W$5,'②-2勤務時間数入力'!$D$7:$Q$106,$P54,FALSE)</f>
        <v>#N/A</v>
      </c>
      <c r="X54" s="343" t="str">
        <f>IF(ISERROR(W54),"×",IF(W54="-","×","○"))</f>
        <v>×</v>
      </c>
      <c r="AA54" s="455" t="str">
        <f>IFERROR(IF(AND(C54=1,E54="",E55="",E56="",E57="",E58=""),"×","〇"),"〇")</f>
        <v>〇</v>
      </c>
      <c r="AB54" s="455" t="str">
        <f t="shared" si="8"/>
        <v>〇</v>
      </c>
      <c r="AC54" s="455" t="str">
        <f t="shared" si="9"/>
        <v>〇</v>
      </c>
      <c r="AD54" s="455" t="str">
        <f t="shared" si="10"/>
        <v>〇</v>
      </c>
    </row>
    <row r="55" spans="1:30" ht="13.5" customHeight="1">
      <c r="A55" s="861"/>
      <c r="B55" s="864"/>
      <c r="C55" s="867"/>
      <c r="D55" s="856"/>
      <c r="E55" s="546" t="str">
        <f t="shared" ref="E55:F55" si="85">IF(E49="","",E49)</f>
        <v/>
      </c>
      <c r="F55" s="484" t="str">
        <f t="shared" si="85"/>
        <v/>
      </c>
      <c r="G55" s="494" t="str">
        <f t="shared" si="82"/>
        <v/>
      </c>
      <c r="H55" s="495" t="str">
        <f t="shared" si="83"/>
        <v/>
      </c>
      <c r="I55" s="545" t="str">
        <f>IF($E55="","",IF($G55="正規職員","-",IF(AND(EXACT($C48,$C54),EXACT($E49,$E55),EXACT($G49,$G55)),I49,"賃金単価を記載")))</f>
        <v/>
      </c>
      <c r="J55" s="545" t="str">
        <f t="shared" ref="J55:J58" si="86">IF($E55="","",IF($G55="正規職員","-","勤務日数を記載（定期利用の場合、1と記載)"))</f>
        <v/>
      </c>
      <c r="K55" s="545" t="str">
        <f>IF($E55="","",IF($G55="正規職員","-",IF(AND(EXACT($C48,$C54),EXACT($E49,$E55),EXACT($G49,$G55)),K49,"日額の交通費を記載（定期利用の場合は月額)")))</f>
        <v/>
      </c>
      <c r="L55" s="487" t="str">
        <f t="shared" si="84"/>
        <v/>
      </c>
      <c r="M55" s="487">
        <f>$M$6</f>
        <v>236166.66666667</v>
      </c>
      <c r="N55" s="487">
        <f>IFERROR(IF($C54="-","",IF(E55="","",IF(G55="正規職員",M55-M54,MIN(MIN(L55:M55),M54-N54)))),0)</f>
        <v>0</v>
      </c>
      <c r="O55" s="488" t="str">
        <f t="shared" ref="O55:O58" si="87">IF(E55="","",IF(COUNTIFS(E55,"*給食室*")=1,"○","エラー"))</f>
        <v/>
      </c>
      <c r="P55" s="343">
        <f t="shared" ref="P55:P58" si="88">P54</f>
        <v>11</v>
      </c>
      <c r="Q55" s="343" t="e">
        <f>VLOOKUP($E55&amp;Q$5,'②-2勤務時間数入力'!$D$7:$Q$106,$P55,FALSE)</f>
        <v>#N/A</v>
      </c>
      <c r="R55" s="343" t="str">
        <f>IF(ISERROR(Q55),"×",IF(Q55="-","×","○"))</f>
        <v>×</v>
      </c>
      <c r="S55" s="343" t="e">
        <f>VLOOKUP($E55&amp;S$5,'②-2勤務時間数入力'!$D$7:$Q$106,$P55,FALSE)</f>
        <v>#N/A</v>
      </c>
      <c r="T55" s="343" t="str">
        <f>IF(ISERROR(S55),"×",IF(S55="-","×","○"))</f>
        <v>×</v>
      </c>
      <c r="U55" s="343" t="e">
        <f>VLOOKUP($E55&amp;U$5,'②-2勤務時間数入力'!$D$7:$Q$106,$P55,FALSE)</f>
        <v>#N/A</v>
      </c>
      <c r="V55" s="343" t="str">
        <f>IF(ISERROR(U55),"×",IF(U55="-","×","○"))</f>
        <v>×</v>
      </c>
      <c r="W55" s="343" t="e">
        <f>VLOOKUP($E55&amp;W$5,'②-2勤務時間数入力'!$D$7:$Q$106,$P55,FALSE)</f>
        <v>#N/A</v>
      </c>
      <c r="X55" s="343" t="str">
        <f>IF(ISERROR(W55),"×",IF(W55="-","×","○"))</f>
        <v>×</v>
      </c>
      <c r="AB55" s="455" t="str">
        <f t="shared" si="8"/>
        <v>〇</v>
      </c>
      <c r="AC55" s="455" t="str">
        <f t="shared" si="9"/>
        <v>〇</v>
      </c>
      <c r="AD55" s="455" t="str">
        <f t="shared" si="10"/>
        <v>〇</v>
      </c>
    </row>
    <row r="56" spans="1:30" ht="13.5" customHeight="1">
      <c r="A56" s="861"/>
      <c r="B56" s="864"/>
      <c r="C56" s="867"/>
      <c r="D56" s="856"/>
      <c r="E56" s="546" t="str">
        <f t="shared" ref="E56:F56" si="89">IF(E50="","",E50)</f>
        <v/>
      </c>
      <c r="F56" s="484" t="str">
        <f t="shared" si="89"/>
        <v/>
      </c>
      <c r="G56" s="494" t="str">
        <f t="shared" si="82"/>
        <v/>
      </c>
      <c r="H56" s="495" t="str">
        <f t="shared" si="83"/>
        <v/>
      </c>
      <c r="I56" s="545" t="str">
        <f>IF($E56="","",IF($G56="正規職員","-",IF(AND(EXACT($C48,$C54),EXACT($E50,$E56),EXACT($G50,$G56)),I50,"賃金単価を記載")))</f>
        <v/>
      </c>
      <c r="J56" s="545" t="str">
        <f t="shared" si="86"/>
        <v/>
      </c>
      <c r="K56" s="545" t="str">
        <f>IF($E56="","",IF($G56="正規職員","-",IF(AND(EXACT($C48,$C54),EXACT($E50,$E56),EXACT($G50,$G56)),K50,"日額の交通費を記載（定期利用の場合は月額)")))</f>
        <v/>
      </c>
      <c r="L56" s="487" t="str">
        <f t="shared" si="84"/>
        <v/>
      </c>
      <c r="M56" s="487">
        <f>$M$6</f>
        <v>236166.66666667</v>
      </c>
      <c r="N56" s="487">
        <f>IFERROR(IF($C54="-","",IF(E56="","",IF(G56="正規職員",M56-M55,MIN(MIN(L56:M56),M55-N55)))),0)</f>
        <v>0</v>
      </c>
      <c r="O56" s="488" t="str">
        <f t="shared" si="87"/>
        <v/>
      </c>
      <c r="P56" s="343">
        <f t="shared" si="88"/>
        <v>11</v>
      </c>
      <c r="Q56" s="343" t="e">
        <f>VLOOKUP($E56&amp;Q$5,'②-2勤務時間数入力'!$D$7:$Q$106,$P56,FALSE)</f>
        <v>#N/A</v>
      </c>
      <c r="R56" s="343" t="str">
        <f>IF(ISERROR(Q56),"×",IF(Q56="-","×","○"))</f>
        <v>×</v>
      </c>
      <c r="S56" s="343" t="e">
        <f>VLOOKUP($E56&amp;S$5,'②-2勤務時間数入力'!$D$7:$Q$106,$P56,FALSE)</f>
        <v>#N/A</v>
      </c>
      <c r="T56" s="343" t="str">
        <f>IF(ISERROR(S56),"×",IF(S56="-","×","○"))</f>
        <v>×</v>
      </c>
      <c r="U56" s="343" t="e">
        <f>VLOOKUP($E56&amp;U$5,'②-2勤務時間数入力'!$D$7:$Q$106,$P56,FALSE)</f>
        <v>#N/A</v>
      </c>
      <c r="V56" s="343" t="str">
        <f>IF(ISERROR(U56),"×",IF(U56="-","×","○"))</f>
        <v>×</v>
      </c>
      <c r="W56" s="343" t="e">
        <f>VLOOKUP($E56&amp;W$5,'②-2勤務時間数入力'!$D$7:$Q$106,$P56,FALSE)</f>
        <v>#N/A</v>
      </c>
      <c r="X56" s="343" t="str">
        <f>IF(ISERROR(W56),"×",IF(W56="-","×","○"))</f>
        <v>×</v>
      </c>
      <c r="AB56" s="455" t="str">
        <f t="shared" si="8"/>
        <v>〇</v>
      </c>
      <c r="AC56" s="455" t="str">
        <f t="shared" si="9"/>
        <v>〇</v>
      </c>
      <c r="AD56" s="455" t="str">
        <f t="shared" si="10"/>
        <v>〇</v>
      </c>
    </row>
    <row r="57" spans="1:30" ht="13.5" customHeight="1">
      <c r="A57" s="861"/>
      <c r="B57" s="864"/>
      <c r="C57" s="867"/>
      <c r="D57" s="856"/>
      <c r="E57" s="546" t="str">
        <f t="shared" ref="E57:F57" si="90">IF(E51="","",E51)</f>
        <v/>
      </c>
      <c r="F57" s="484" t="str">
        <f t="shared" si="90"/>
        <v/>
      </c>
      <c r="G57" s="494" t="str">
        <f t="shared" si="82"/>
        <v/>
      </c>
      <c r="H57" s="495" t="str">
        <f t="shared" si="83"/>
        <v/>
      </c>
      <c r="I57" s="545" t="str">
        <f>IF($E57="","",IF($G57="正規職員","-",IF(AND(EXACT($C48,$C54),EXACT($E51,$E57),EXACT($G51,$G57)),I51,"賃金単価を記載")))</f>
        <v/>
      </c>
      <c r="J57" s="545" t="str">
        <f t="shared" si="86"/>
        <v/>
      </c>
      <c r="K57" s="545" t="str">
        <f>IF($E57="","",IF($G57="正規職員","-",IF(AND(EXACT($C48,$C54),EXACT($E51,$E57),EXACT($G51,$G57)),K51,"日額の交通費を記載（定期利用の場合は月額)")))</f>
        <v/>
      </c>
      <c r="L57" s="487" t="str">
        <f t="shared" si="84"/>
        <v/>
      </c>
      <c r="M57" s="487">
        <f>$M$6</f>
        <v>236166.66666667</v>
      </c>
      <c r="N57" s="487">
        <f>IFERROR(IF($C54="-","",IF(E57="","",IF(G57="正規職員",M57-M56,MIN(MIN(L57:M57),M56-N56)))),0)</f>
        <v>0</v>
      </c>
      <c r="O57" s="488" t="str">
        <f t="shared" si="87"/>
        <v/>
      </c>
      <c r="P57" s="343">
        <f t="shared" si="88"/>
        <v>11</v>
      </c>
      <c r="Q57" s="343" t="e">
        <f>VLOOKUP($E57&amp;Q$5,'②-2勤務時間数入力'!$D$7:$Q$106,$P57,FALSE)</f>
        <v>#N/A</v>
      </c>
      <c r="R57" s="343" t="str">
        <f>IF(ISERROR(Q57),"×",IF(Q57="-","×","○"))</f>
        <v>×</v>
      </c>
      <c r="S57" s="343" t="e">
        <f>VLOOKUP($E57&amp;S$5,'②-2勤務時間数入力'!$D$7:$Q$106,$P57,FALSE)</f>
        <v>#N/A</v>
      </c>
      <c r="T57" s="343" t="str">
        <f>IF(ISERROR(S57),"×",IF(S57="-","×","○"))</f>
        <v>×</v>
      </c>
      <c r="U57" s="343" t="e">
        <f>VLOOKUP($E57&amp;U$5,'②-2勤務時間数入力'!$D$7:$Q$106,$P57,FALSE)</f>
        <v>#N/A</v>
      </c>
      <c r="V57" s="343" t="str">
        <f>IF(ISERROR(U57),"×",IF(U57="-","×","○"))</f>
        <v>×</v>
      </c>
      <c r="W57" s="343" t="e">
        <f>VLOOKUP($E57&amp;W$5,'②-2勤務時間数入力'!$D$7:$Q$106,$P57,FALSE)</f>
        <v>#N/A</v>
      </c>
      <c r="X57" s="343" t="str">
        <f>IF(ISERROR(W57),"×",IF(W57="-","×","○"))</f>
        <v>×</v>
      </c>
      <c r="AB57" s="455" t="str">
        <f t="shared" si="8"/>
        <v>〇</v>
      </c>
      <c r="AC57" s="455" t="str">
        <f t="shared" si="9"/>
        <v>〇</v>
      </c>
      <c r="AD57" s="455" t="str">
        <f t="shared" si="10"/>
        <v>〇</v>
      </c>
    </row>
    <row r="58" spans="1:30" ht="13.5" customHeight="1">
      <c r="A58" s="861"/>
      <c r="B58" s="864"/>
      <c r="C58" s="867"/>
      <c r="D58" s="856"/>
      <c r="E58" s="546" t="str">
        <f t="shared" ref="E58:F58" si="91">IF(E52="","",E52)</f>
        <v/>
      </c>
      <c r="F58" s="484" t="str">
        <f t="shared" si="91"/>
        <v/>
      </c>
      <c r="G58" s="494" t="str">
        <f t="shared" si="82"/>
        <v/>
      </c>
      <c r="H58" s="495" t="str">
        <f t="shared" si="83"/>
        <v/>
      </c>
      <c r="I58" s="545" t="str">
        <f>IF($E58="","",IF($G58="正規職員","-",IF(AND(EXACT($C48,$C54),EXACT($E52,$E58),EXACT($G52,$G58)),I52,"賃金単価を記載")))</f>
        <v/>
      </c>
      <c r="J58" s="545" t="str">
        <f t="shared" si="86"/>
        <v/>
      </c>
      <c r="K58" s="545" t="str">
        <f>IF($E58="","",IF($G58="正規職員","-",IF(AND(EXACT($C48,$C54),EXACT($E52,$E58),EXACT($G52,$G58)),K52,"日額の交通費を記載（定期利用の場合は月額)")))</f>
        <v/>
      </c>
      <c r="L58" s="487" t="str">
        <f t="shared" si="84"/>
        <v/>
      </c>
      <c r="M58" s="487">
        <f>$M$6</f>
        <v>236166.66666667</v>
      </c>
      <c r="N58" s="487">
        <f>IFERROR(IF($C54="-","",IF(E58="","",IF(G58="正規職員",M58-M57,MIN(MIN(L58:M58),M57-N57)))),0)</f>
        <v>0</v>
      </c>
      <c r="O58" s="488" t="str">
        <f t="shared" si="87"/>
        <v/>
      </c>
      <c r="P58" s="343">
        <f t="shared" si="88"/>
        <v>11</v>
      </c>
      <c r="Q58" s="343" t="e">
        <f>VLOOKUP($E58&amp;Q$5,'②-2勤務時間数入力'!$D$7:$Q$106,$P58,FALSE)</f>
        <v>#N/A</v>
      </c>
      <c r="R58" s="343" t="str">
        <f>IF(ISERROR(Q58),"×",IF(Q58="-","×","○"))</f>
        <v>×</v>
      </c>
      <c r="S58" s="343" t="e">
        <f>VLOOKUP($E58&amp;S$5,'②-2勤務時間数入力'!$D$7:$Q$106,$P58,FALSE)</f>
        <v>#N/A</v>
      </c>
      <c r="T58" s="343" t="str">
        <f>IF(ISERROR(S58),"×",IF(S58="-","×","○"))</f>
        <v>×</v>
      </c>
      <c r="U58" s="343" t="e">
        <f>VLOOKUP($E58&amp;U$5,'②-2勤務時間数入力'!$D$7:$Q$106,$P58,FALSE)</f>
        <v>#N/A</v>
      </c>
      <c r="V58" s="343" t="str">
        <f>IF(ISERROR(U58),"×",IF(U58="-","×","○"))</f>
        <v>×</v>
      </c>
      <c r="W58" s="343" t="e">
        <f>VLOOKUP($E58&amp;W$5,'②-2勤務時間数入力'!$D$7:$Q$106,$P58,FALSE)</f>
        <v>#N/A</v>
      </c>
      <c r="X58" s="343" t="str">
        <f>IF(ISERROR(W58),"×",IF(W58="-","×","○"))</f>
        <v>×</v>
      </c>
      <c r="AB58" s="455" t="str">
        <f t="shared" si="8"/>
        <v>〇</v>
      </c>
      <c r="AC58" s="455" t="str">
        <f t="shared" si="9"/>
        <v>〇</v>
      </c>
      <c r="AD58" s="455" t="str">
        <f t="shared" si="10"/>
        <v>〇</v>
      </c>
    </row>
    <row r="59" spans="1:30" ht="13.5" customHeight="1">
      <c r="A59" s="862"/>
      <c r="B59" s="865"/>
      <c r="C59" s="868"/>
      <c r="D59" s="857"/>
      <c r="E59" s="342" t="s">
        <v>263</v>
      </c>
      <c r="F59" s="342"/>
      <c r="G59" s="494" t="s">
        <v>255</v>
      </c>
      <c r="H59" s="498"/>
      <c r="I59" s="486" t="s">
        <v>255</v>
      </c>
      <c r="J59" s="486"/>
      <c r="K59" s="486"/>
      <c r="L59" s="486" t="s">
        <v>255</v>
      </c>
      <c r="M59" s="486" t="s">
        <v>255</v>
      </c>
      <c r="N59" s="487">
        <f>MIN(IFERROR(IF(C54=1,IF(AND(B54="配置",OR(D54="調理師等",D54="栄養士")),MAX(SUM(N54:N58)-①基本情報!N38+10000,0),SUM(N54:N58)),0),0),$M$6)</f>
        <v>0</v>
      </c>
      <c r="O59" s="488" t="e">
        <f>IF(SUM(N54:N58)&gt;#REF!*$M$6,MIN($M$6,SUM(N54:N58)-ROUNDDOWN(#REF!*$M$6,0)),0)</f>
        <v>#REF!</v>
      </c>
      <c r="P59" s="343"/>
      <c r="Q59" s="343"/>
      <c r="R59" s="343"/>
      <c r="S59" s="343"/>
      <c r="T59" s="343"/>
      <c r="U59" s="343"/>
      <c r="V59" s="343"/>
      <c r="W59" s="343"/>
      <c r="X59" s="343"/>
      <c r="AB59" s="455"/>
      <c r="AC59" s="455"/>
      <c r="AD59" s="455"/>
    </row>
    <row r="60" spans="1:30" ht="13.5" customHeight="1">
      <c r="A60" s="844">
        <v>1</v>
      </c>
      <c r="B60" s="863" t="str">
        <f>IF(①基本情報!O36="有",①基本情報!O37,"無")</f>
        <v>無</v>
      </c>
      <c r="C60" s="866" t="e">
        <f>加算判定!I13</f>
        <v>#N/A</v>
      </c>
      <c r="D60" s="855" t="e">
        <f>加算判定!J13</f>
        <v>#N/A</v>
      </c>
      <c r="E60" s="546" t="str">
        <f>IF(E54="","",E54)</f>
        <v/>
      </c>
      <c r="F60" s="484" t="str">
        <f>IF(F54="","",F54)</f>
        <v/>
      </c>
      <c r="G60" s="494" t="str">
        <f t="shared" ref="G60:G64" si="92">IF(E60="","",IF(R60="○",Q$5,IF(T60="○",S$5,IF(V60="○",U$5,IF(X60="○",W$5,"ERROR")))))</f>
        <v/>
      </c>
      <c r="H60" s="495" t="str">
        <f t="shared" ref="H60:H64" si="93">IF(E60="","",IF(R60="○",Q60,IF(T60="○",S60,IF(V60="○",U60,IF(X60="○",W60,"ERROR")))))</f>
        <v/>
      </c>
      <c r="I60" s="545" t="str">
        <f>IF($E60="","",IF($G60="正規職員","-",IF(AND(EXACT($C54,$C60),EXACT($E54,$E60),EXACT($G54,$G60)),I54,"賃金単価を記載")))</f>
        <v/>
      </c>
      <c r="J60" s="545" t="str">
        <f>IF($E60="","",IF($G60="正規職員","-","勤務日数を記載（定期利用の場合、1と記載)"))</f>
        <v/>
      </c>
      <c r="K60" s="545" t="str">
        <f>IF($E60="","",IF($G60="正規職員","-",IF(AND(EXACT($C54,$C60),EXACT($E54,$E60),EXACT($G54,$G60)),K54,"日額の交通費を記載（定期利用の場合は月額)")))</f>
        <v/>
      </c>
      <c r="L60" s="487" t="str">
        <f t="shared" ref="L60:L64" si="94">IF($E60="","",IF($G60="正規職員","-",(H60*I60+J60*K60)))</f>
        <v/>
      </c>
      <c r="M60" s="487">
        <f>$M$6</f>
        <v>236166.66666667</v>
      </c>
      <c r="N60" s="487">
        <f>IFERROR(IF($C60="-","",IF(E60="",0,IF(G60="正規職員",M60,MIN(L60:M60)))),0)</f>
        <v>0</v>
      </c>
      <c r="O60" s="488" t="str">
        <f>IF(E60="","",IF(COUNTIFS(E60,"*給食室*")=1,"○","エラー"))</f>
        <v/>
      </c>
      <c r="P60" s="343">
        <v>12</v>
      </c>
      <c r="Q60" s="343" t="e">
        <f>VLOOKUP($E60&amp;Q$5,'②-2勤務時間数入力'!$D$7:$Q$106,$P60,FALSE)</f>
        <v>#N/A</v>
      </c>
      <c r="R60" s="343" t="str">
        <f>IF(ISERROR(Q60),"×",IF(Q60="-","×","○"))</f>
        <v>×</v>
      </c>
      <c r="S60" s="343" t="e">
        <f>VLOOKUP($E60&amp;S$5,'②-2勤務時間数入力'!$D$7:$Q$106,$P60,FALSE)</f>
        <v>#N/A</v>
      </c>
      <c r="T60" s="343" t="str">
        <f>IF(ISERROR(S60),"×",IF(S60="-","×","○"))</f>
        <v>×</v>
      </c>
      <c r="U60" s="343" t="e">
        <f>VLOOKUP($E60&amp;U$5,'②-2勤務時間数入力'!$D$7:$Q$106,$P60,FALSE)</f>
        <v>#N/A</v>
      </c>
      <c r="V60" s="343" t="str">
        <f>IF(ISERROR(U60),"×",IF(U60="-","×","○"))</f>
        <v>×</v>
      </c>
      <c r="W60" s="343" t="e">
        <f>VLOOKUP($E60&amp;W$5,'②-2勤務時間数入力'!$D$7:$Q$106,$P60,FALSE)</f>
        <v>#N/A</v>
      </c>
      <c r="X60" s="343" t="str">
        <f>IF(ISERROR(W60),"×",IF(W60="-","×","○"))</f>
        <v>×</v>
      </c>
      <c r="AA60" s="455" t="str">
        <f>IFERROR(IF(AND(C60=1,E60="",E61="",E62="",E63="",E64=""),"×","〇"),"〇")</f>
        <v>〇</v>
      </c>
      <c r="AB60" s="455" t="str">
        <f t="shared" si="8"/>
        <v>〇</v>
      </c>
      <c r="AC60" s="455" t="str">
        <f t="shared" si="9"/>
        <v>〇</v>
      </c>
      <c r="AD60" s="455" t="str">
        <f t="shared" si="10"/>
        <v>〇</v>
      </c>
    </row>
    <row r="61" spans="1:30" ht="13.5" customHeight="1">
      <c r="A61" s="861"/>
      <c r="B61" s="864"/>
      <c r="C61" s="867"/>
      <c r="D61" s="856"/>
      <c r="E61" s="546" t="str">
        <f t="shared" ref="E61:F61" si="95">IF(E55="","",E55)</f>
        <v/>
      </c>
      <c r="F61" s="484" t="str">
        <f t="shared" si="95"/>
        <v/>
      </c>
      <c r="G61" s="494" t="str">
        <f t="shared" si="92"/>
        <v/>
      </c>
      <c r="H61" s="495" t="str">
        <f t="shared" si="93"/>
        <v/>
      </c>
      <c r="I61" s="545" t="str">
        <f>IF($E61="","",IF($G61="正規職員","-",IF(AND(EXACT($C54,$C60),EXACT($E55,$E61),EXACT($G55,$G61)),I55,"賃金単価を記載")))</f>
        <v/>
      </c>
      <c r="J61" s="545" t="str">
        <f t="shared" ref="J61:J64" si="96">IF($E61="","",IF($G61="正規職員","-","勤務日数を記載（定期利用の場合、1と記載)"))</f>
        <v/>
      </c>
      <c r="K61" s="545" t="str">
        <f>IF($E61="","",IF($G61="正規職員","-",IF(AND(EXACT($C54,$C60),EXACT($E55,$E61),EXACT($G55,$G61)),K55,"日額の交通費を記載（定期利用の場合は月額)")))</f>
        <v/>
      </c>
      <c r="L61" s="487" t="str">
        <f t="shared" si="94"/>
        <v/>
      </c>
      <c r="M61" s="487">
        <f>$M$6</f>
        <v>236166.66666667</v>
      </c>
      <c r="N61" s="487">
        <f>IFERROR(IF($C60="-","",IF(E61="","",IF(G61="正規職員",M61-M60,MIN(MIN(L61:M61),M60-N60)))),0)</f>
        <v>0</v>
      </c>
      <c r="O61" s="488" t="str">
        <f t="shared" ref="O61:O64" si="97">IF(E61="","",IF(COUNTIFS(E61,"*給食室*")=1,"○","エラー"))</f>
        <v/>
      </c>
      <c r="P61" s="343">
        <f t="shared" ref="P61:P64" si="98">P60</f>
        <v>12</v>
      </c>
      <c r="Q61" s="343" t="e">
        <f>VLOOKUP($E61&amp;Q$5,'②-2勤務時間数入力'!$D$7:$Q$106,$P61,FALSE)</f>
        <v>#N/A</v>
      </c>
      <c r="R61" s="343" t="str">
        <f>IF(ISERROR(Q61),"×",IF(Q61="-","×","○"))</f>
        <v>×</v>
      </c>
      <c r="S61" s="343" t="e">
        <f>VLOOKUP($E61&amp;S$5,'②-2勤務時間数入力'!$D$7:$Q$106,$P61,FALSE)</f>
        <v>#N/A</v>
      </c>
      <c r="T61" s="343" t="str">
        <f>IF(ISERROR(S61),"×",IF(S61="-","×","○"))</f>
        <v>×</v>
      </c>
      <c r="U61" s="343" t="e">
        <f>VLOOKUP($E61&amp;U$5,'②-2勤務時間数入力'!$D$7:$Q$106,$P61,FALSE)</f>
        <v>#N/A</v>
      </c>
      <c r="V61" s="343" t="str">
        <f>IF(ISERROR(U61),"×",IF(U61="-","×","○"))</f>
        <v>×</v>
      </c>
      <c r="W61" s="343" t="e">
        <f>VLOOKUP($E61&amp;W$5,'②-2勤務時間数入力'!$D$7:$Q$106,$P61,FALSE)</f>
        <v>#N/A</v>
      </c>
      <c r="X61" s="343" t="str">
        <f>IF(ISERROR(W61),"×",IF(W61="-","×","○"))</f>
        <v>×</v>
      </c>
      <c r="AB61" s="455" t="str">
        <f t="shared" si="8"/>
        <v>〇</v>
      </c>
      <c r="AC61" s="455" t="str">
        <f t="shared" si="9"/>
        <v>〇</v>
      </c>
      <c r="AD61" s="455" t="str">
        <f t="shared" si="10"/>
        <v>〇</v>
      </c>
    </row>
    <row r="62" spans="1:30" ht="13.5" customHeight="1">
      <c r="A62" s="861"/>
      <c r="B62" s="864"/>
      <c r="C62" s="867"/>
      <c r="D62" s="856"/>
      <c r="E62" s="546" t="str">
        <f t="shared" ref="E62:F62" si="99">IF(E56="","",E56)</f>
        <v/>
      </c>
      <c r="F62" s="484" t="str">
        <f t="shared" si="99"/>
        <v/>
      </c>
      <c r="G62" s="494" t="str">
        <f t="shared" si="92"/>
        <v/>
      </c>
      <c r="H62" s="495" t="str">
        <f t="shared" si="93"/>
        <v/>
      </c>
      <c r="I62" s="545" t="str">
        <f>IF($E62="","",IF($G62="正規職員","-",IF(AND(EXACT($C54,$C60),EXACT($E56,$E62),EXACT($G56,$G62)),I56,"賃金単価を記載")))</f>
        <v/>
      </c>
      <c r="J62" s="545" t="str">
        <f t="shared" si="96"/>
        <v/>
      </c>
      <c r="K62" s="545" t="str">
        <f>IF($E62="","",IF($G62="正規職員","-",IF(AND(EXACT($C54,$C60),EXACT($E56,$E62),EXACT($G56,$G62)),K56,"日額の交通費を記載（定期利用の場合は月額)")))</f>
        <v/>
      </c>
      <c r="L62" s="487" t="str">
        <f t="shared" si="94"/>
        <v/>
      </c>
      <c r="M62" s="487">
        <f>$M$6</f>
        <v>236166.66666667</v>
      </c>
      <c r="N62" s="487">
        <f>IFERROR(IF($C60="-","",IF(E62="","",IF(G62="正規職員",M62-M61,MIN(MIN(L62:M62),M61-N61)))),0)</f>
        <v>0</v>
      </c>
      <c r="O62" s="488" t="str">
        <f t="shared" si="97"/>
        <v/>
      </c>
      <c r="P62" s="343">
        <f t="shared" si="98"/>
        <v>12</v>
      </c>
      <c r="Q62" s="343" t="e">
        <f>VLOOKUP($E62&amp;Q$5,'②-2勤務時間数入力'!$D$7:$Q$106,$P62,FALSE)</f>
        <v>#N/A</v>
      </c>
      <c r="R62" s="343" t="str">
        <f>IF(ISERROR(Q62),"×",IF(Q62="-","×","○"))</f>
        <v>×</v>
      </c>
      <c r="S62" s="343" t="e">
        <f>VLOOKUP($E62&amp;S$5,'②-2勤務時間数入力'!$D$7:$Q$106,$P62,FALSE)</f>
        <v>#N/A</v>
      </c>
      <c r="T62" s="343" t="str">
        <f>IF(ISERROR(S62),"×",IF(S62="-","×","○"))</f>
        <v>×</v>
      </c>
      <c r="U62" s="343" t="e">
        <f>VLOOKUP($E62&amp;U$5,'②-2勤務時間数入力'!$D$7:$Q$106,$P62,FALSE)</f>
        <v>#N/A</v>
      </c>
      <c r="V62" s="343" t="str">
        <f>IF(ISERROR(U62),"×",IF(U62="-","×","○"))</f>
        <v>×</v>
      </c>
      <c r="W62" s="343" t="e">
        <f>VLOOKUP($E62&amp;W$5,'②-2勤務時間数入力'!$D$7:$Q$106,$P62,FALSE)</f>
        <v>#N/A</v>
      </c>
      <c r="X62" s="343" t="str">
        <f>IF(ISERROR(W62),"×",IF(W62="-","×","○"))</f>
        <v>×</v>
      </c>
      <c r="AB62" s="455" t="str">
        <f t="shared" si="8"/>
        <v>〇</v>
      </c>
      <c r="AC62" s="455" t="str">
        <f t="shared" si="9"/>
        <v>〇</v>
      </c>
      <c r="AD62" s="455" t="str">
        <f t="shared" si="10"/>
        <v>〇</v>
      </c>
    </row>
    <row r="63" spans="1:30" ht="13.5" customHeight="1">
      <c r="A63" s="861"/>
      <c r="B63" s="864"/>
      <c r="C63" s="867"/>
      <c r="D63" s="856"/>
      <c r="E63" s="546" t="str">
        <f t="shared" ref="E63:F63" si="100">IF(E57="","",E57)</f>
        <v/>
      </c>
      <c r="F63" s="484" t="str">
        <f t="shared" si="100"/>
        <v/>
      </c>
      <c r="G63" s="494" t="str">
        <f t="shared" si="92"/>
        <v/>
      </c>
      <c r="H63" s="495" t="str">
        <f t="shared" si="93"/>
        <v/>
      </c>
      <c r="I63" s="545" t="str">
        <f>IF($E63="","",IF($G63="正規職員","-",IF(AND(EXACT($C54,$C60),EXACT($E57,$E63),EXACT($G57,$G63)),I57,"賃金単価を記載")))</f>
        <v/>
      </c>
      <c r="J63" s="545" t="str">
        <f t="shared" si="96"/>
        <v/>
      </c>
      <c r="K63" s="545" t="str">
        <f>IF($E63="","",IF($G63="正規職員","-",IF(AND(EXACT($C54,$C60),EXACT($E57,$E63),EXACT($G57,$G63)),K57,"日額の交通費を記載（定期利用の場合は月額)")))</f>
        <v/>
      </c>
      <c r="L63" s="487" t="str">
        <f t="shared" si="94"/>
        <v/>
      </c>
      <c r="M63" s="487">
        <f>$M$6</f>
        <v>236166.66666667</v>
      </c>
      <c r="N63" s="487">
        <f>IFERROR(IF($C60="-","",IF(E63="","",IF(G63="正規職員",M63-M62,MIN(MIN(L63:M63),M62-N62)))),0)</f>
        <v>0</v>
      </c>
      <c r="O63" s="488" t="str">
        <f t="shared" si="97"/>
        <v/>
      </c>
      <c r="P63" s="343">
        <f t="shared" si="98"/>
        <v>12</v>
      </c>
      <c r="Q63" s="343" t="e">
        <f>VLOOKUP($E63&amp;Q$5,'②-2勤務時間数入力'!$D$7:$Q$106,$P63,FALSE)</f>
        <v>#N/A</v>
      </c>
      <c r="R63" s="343" t="str">
        <f>IF(ISERROR(Q63),"×",IF(Q63="-","×","○"))</f>
        <v>×</v>
      </c>
      <c r="S63" s="343" t="e">
        <f>VLOOKUP($E63&amp;S$5,'②-2勤務時間数入力'!$D$7:$Q$106,$P63,FALSE)</f>
        <v>#N/A</v>
      </c>
      <c r="T63" s="343" t="str">
        <f>IF(ISERROR(S63),"×",IF(S63="-","×","○"))</f>
        <v>×</v>
      </c>
      <c r="U63" s="343" t="e">
        <f>VLOOKUP($E63&amp;U$5,'②-2勤務時間数入力'!$D$7:$Q$106,$P63,FALSE)</f>
        <v>#N/A</v>
      </c>
      <c r="V63" s="343" t="str">
        <f>IF(ISERROR(U63),"×",IF(U63="-","×","○"))</f>
        <v>×</v>
      </c>
      <c r="W63" s="343" t="e">
        <f>VLOOKUP($E63&amp;W$5,'②-2勤務時間数入力'!$D$7:$Q$106,$P63,FALSE)</f>
        <v>#N/A</v>
      </c>
      <c r="X63" s="343" t="str">
        <f>IF(ISERROR(W63),"×",IF(W63="-","×","○"))</f>
        <v>×</v>
      </c>
      <c r="AB63" s="455" t="str">
        <f t="shared" si="8"/>
        <v>〇</v>
      </c>
      <c r="AC63" s="455" t="str">
        <f t="shared" si="9"/>
        <v>〇</v>
      </c>
      <c r="AD63" s="455" t="str">
        <f t="shared" si="10"/>
        <v>〇</v>
      </c>
    </row>
    <row r="64" spans="1:30" ht="13.5" customHeight="1">
      <c r="A64" s="861"/>
      <c r="B64" s="864"/>
      <c r="C64" s="867"/>
      <c r="D64" s="856"/>
      <c r="E64" s="546" t="str">
        <f t="shared" ref="E64:F64" si="101">IF(E58="","",E58)</f>
        <v/>
      </c>
      <c r="F64" s="484" t="str">
        <f t="shared" si="101"/>
        <v/>
      </c>
      <c r="G64" s="494" t="str">
        <f t="shared" si="92"/>
        <v/>
      </c>
      <c r="H64" s="495" t="str">
        <f t="shared" si="93"/>
        <v/>
      </c>
      <c r="I64" s="545" t="str">
        <f>IF($E64="","",IF($G64="正規職員","-",IF(AND(EXACT($C54,$C60),EXACT($E58,$E64),EXACT($G58,$G64)),I58,"賃金単価を記載")))</f>
        <v/>
      </c>
      <c r="J64" s="545" t="str">
        <f t="shared" si="96"/>
        <v/>
      </c>
      <c r="K64" s="545" t="str">
        <f>IF($E64="","",IF($G64="正規職員","-",IF(AND(EXACT($C54,$C60),EXACT($E58,$E64),EXACT($G58,$G64)),K58,"日額の交通費を記載（定期利用の場合は月額)")))</f>
        <v/>
      </c>
      <c r="L64" s="487" t="str">
        <f t="shared" si="94"/>
        <v/>
      </c>
      <c r="M64" s="487">
        <f>$M$6</f>
        <v>236166.66666667</v>
      </c>
      <c r="N64" s="487">
        <f>IFERROR(IF($C60="-","",IF(E64="","",IF(G64="正規職員",M64-M63,MIN(MIN(L64:M64),M63-N63)))),0)</f>
        <v>0</v>
      </c>
      <c r="O64" s="488" t="str">
        <f t="shared" si="97"/>
        <v/>
      </c>
      <c r="P64" s="343">
        <f t="shared" si="98"/>
        <v>12</v>
      </c>
      <c r="Q64" s="343" t="e">
        <f>VLOOKUP($E64&amp;Q$5,'②-2勤務時間数入力'!$D$7:$Q$106,$P64,FALSE)</f>
        <v>#N/A</v>
      </c>
      <c r="R64" s="343" t="str">
        <f>IF(ISERROR(Q64),"×",IF(Q64="-","×","○"))</f>
        <v>×</v>
      </c>
      <c r="S64" s="343" t="e">
        <f>VLOOKUP($E64&amp;S$5,'②-2勤務時間数入力'!$D$7:$Q$106,$P64,FALSE)</f>
        <v>#N/A</v>
      </c>
      <c r="T64" s="343" t="str">
        <f>IF(ISERROR(S64),"×",IF(S64="-","×","○"))</f>
        <v>×</v>
      </c>
      <c r="U64" s="343" t="e">
        <f>VLOOKUP($E64&amp;U$5,'②-2勤務時間数入力'!$D$7:$Q$106,$P64,FALSE)</f>
        <v>#N/A</v>
      </c>
      <c r="V64" s="343" t="str">
        <f>IF(ISERROR(U64),"×",IF(U64="-","×","○"))</f>
        <v>×</v>
      </c>
      <c r="W64" s="343" t="e">
        <f>VLOOKUP($E64&amp;W$5,'②-2勤務時間数入力'!$D$7:$Q$106,$P64,FALSE)</f>
        <v>#N/A</v>
      </c>
      <c r="X64" s="343" t="str">
        <f>IF(ISERROR(W64),"×",IF(W64="-","×","○"))</f>
        <v>×</v>
      </c>
      <c r="AB64" s="455" t="str">
        <f t="shared" si="8"/>
        <v>〇</v>
      </c>
      <c r="AC64" s="455" t="str">
        <f t="shared" si="9"/>
        <v>〇</v>
      </c>
      <c r="AD64" s="455" t="str">
        <f t="shared" si="10"/>
        <v>〇</v>
      </c>
    </row>
    <row r="65" spans="1:30" ht="13.5" customHeight="1">
      <c r="A65" s="862"/>
      <c r="B65" s="865"/>
      <c r="C65" s="868"/>
      <c r="D65" s="857"/>
      <c r="E65" s="342" t="s">
        <v>264</v>
      </c>
      <c r="F65" s="342"/>
      <c r="G65" s="494" t="s">
        <v>255</v>
      </c>
      <c r="H65" s="498"/>
      <c r="I65" s="486" t="s">
        <v>255</v>
      </c>
      <c r="J65" s="486"/>
      <c r="K65" s="486"/>
      <c r="L65" s="486" t="s">
        <v>255</v>
      </c>
      <c r="M65" s="486" t="s">
        <v>255</v>
      </c>
      <c r="N65" s="487">
        <f>MIN(IFERROR(IF(C60=1,IF(AND(B60="配置",OR(D60="調理師等",D60="栄養士")),MAX(SUM(N60:N64)-①基本情報!O38+10000,0),SUM(N60:N64)),0),0),$M$6)</f>
        <v>0</v>
      </c>
      <c r="O65" s="488" t="e">
        <f>IF(SUM(N60:N64)&gt;#REF!*$M$6,MIN($M$6,SUM(N60:N64)-ROUNDDOWN(#REF!*$M$6,0)),0)</f>
        <v>#REF!</v>
      </c>
      <c r="P65" s="343"/>
      <c r="Q65" s="343"/>
      <c r="R65" s="343"/>
      <c r="S65" s="343"/>
      <c r="T65" s="343"/>
      <c r="U65" s="343"/>
      <c r="V65" s="343"/>
      <c r="W65" s="343"/>
      <c r="X65" s="343"/>
      <c r="AB65" s="455"/>
      <c r="AC65" s="455"/>
      <c r="AD65" s="455"/>
    </row>
    <row r="66" spans="1:30" ht="13.5" customHeight="1">
      <c r="A66" s="844">
        <v>2</v>
      </c>
      <c r="B66" s="863" t="str">
        <f>IF(①基本情報!P36="有",①基本情報!P37,"無")</f>
        <v>無</v>
      </c>
      <c r="C66" s="866" t="e">
        <f>加算判定!I14</f>
        <v>#N/A</v>
      </c>
      <c r="D66" s="855" t="e">
        <f>加算判定!J14</f>
        <v>#N/A</v>
      </c>
      <c r="E66" s="546" t="str">
        <f>IF(E60="","",E60)</f>
        <v/>
      </c>
      <c r="F66" s="484" t="str">
        <f>IF(F60="","",F60)</f>
        <v/>
      </c>
      <c r="G66" s="494" t="str">
        <f t="shared" ref="G66:G70" si="102">IF(E66="","",IF(R66="○",Q$5,IF(T66="○",S$5,IF(V66="○",U$5,IF(X66="○",W$5,"ERROR")))))</f>
        <v/>
      </c>
      <c r="H66" s="495" t="str">
        <f t="shared" ref="H66:H70" si="103">IF(E66="","",IF(R66="○",Q66,IF(T66="○",S66,IF(V66="○",U66,IF(X66="○",W66,"ERROR")))))</f>
        <v/>
      </c>
      <c r="I66" s="545" t="str">
        <f>IF($E66="","",IF($G66="正規職員","-",IF(AND(EXACT($C60,$C66),EXACT($E60,$E66),EXACT($G60,$G66)),I60,"賃金単価を記載")))</f>
        <v/>
      </c>
      <c r="J66" s="545" t="str">
        <f>IF($E66="","",IF($G66="正規職員","-","勤務日数を記載（定期利用の場合、1と記載)"))</f>
        <v/>
      </c>
      <c r="K66" s="545" t="str">
        <f>IF($E66="","",IF($G66="正規職員","-",IF(AND(EXACT($C60,$C66),EXACT($E60,$E66),EXACT($G60,$G66)),K60,"日額の交通費を記載（定期利用の場合は月額)")))</f>
        <v/>
      </c>
      <c r="L66" s="487" t="str">
        <f t="shared" ref="L66:L70" si="104">IF($E66="","",IF($G66="正規職員","-",(H66*I66+J66*K66)))</f>
        <v/>
      </c>
      <c r="M66" s="487">
        <f>$M$6</f>
        <v>236166.66666667</v>
      </c>
      <c r="N66" s="487">
        <f>IFERROR(IF($C66="-","",IF(E66="",0,IF(G66="正規職員",M66,MIN(L66:M66)))),0)</f>
        <v>0</v>
      </c>
      <c r="O66" s="488" t="str">
        <f>IF(E66="","",IF(COUNTIFS(E66,"*給食室*")=1,"○","エラー"))</f>
        <v/>
      </c>
      <c r="P66" s="343">
        <v>13</v>
      </c>
      <c r="Q66" s="343" t="e">
        <f>VLOOKUP($E66&amp;Q$5,'②-2勤務時間数入力'!$D$7:$Q$106,$P66,FALSE)</f>
        <v>#N/A</v>
      </c>
      <c r="R66" s="343" t="str">
        <f>IF(ISERROR(Q66),"×",IF(Q66="-","×","○"))</f>
        <v>×</v>
      </c>
      <c r="S66" s="343" t="e">
        <f>VLOOKUP($E66&amp;S$5,'②-2勤務時間数入力'!$D$7:$Q$106,$P66,FALSE)</f>
        <v>#N/A</v>
      </c>
      <c r="T66" s="343" t="str">
        <f>IF(ISERROR(S66),"×",IF(S66="-","×","○"))</f>
        <v>×</v>
      </c>
      <c r="U66" s="343" t="e">
        <f>VLOOKUP($E66&amp;U$5,'②-2勤務時間数入力'!$D$7:$Q$106,$P66,FALSE)</f>
        <v>#N/A</v>
      </c>
      <c r="V66" s="343" t="str">
        <f>IF(ISERROR(U66),"×",IF(U66="-","×","○"))</f>
        <v>×</v>
      </c>
      <c r="W66" s="343" t="e">
        <f>VLOOKUP($E66&amp;W$5,'②-2勤務時間数入力'!$D$7:$Q$106,$P66,FALSE)</f>
        <v>#N/A</v>
      </c>
      <c r="X66" s="343" t="str">
        <f>IF(ISERROR(W66),"×",IF(W66="-","×","○"))</f>
        <v>×</v>
      </c>
      <c r="AA66" s="455" t="str">
        <f>IFERROR(IF(AND(C66=1,E66="",E67="",E68="",E69="",E70=""),"×","〇"),"〇")</f>
        <v>〇</v>
      </c>
      <c r="AB66" s="455" t="str">
        <f t="shared" si="8"/>
        <v>〇</v>
      </c>
      <c r="AC66" s="455" t="str">
        <f t="shared" si="9"/>
        <v>〇</v>
      </c>
      <c r="AD66" s="455" t="str">
        <f t="shared" si="10"/>
        <v>〇</v>
      </c>
    </row>
    <row r="67" spans="1:30" ht="13.5" customHeight="1">
      <c r="A67" s="861"/>
      <c r="B67" s="864"/>
      <c r="C67" s="867"/>
      <c r="D67" s="856"/>
      <c r="E67" s="546" t="str">
        <f t="shared" ref="E67:F67" si="105">IF(E61="","",E61)</f>
        <v/>
      </c>
      <c r="F67" s="484" t="str">
        <f t="shared" si="105"/>
        <v/>
      </c>
      <c r="G67" s="494" t="str">
        <f t="shared" si="102"/>
        <v/>
      </c>
      <c r="H67" s="495" t="str">
        <f t="shared" si="103"/>
        <v/>
      </c>
      <c r="I67" s="545" t="str">
        <f>IF($E67="","",IF($G67="正規職員","-",IF(AND(EXACT($C60,$C66),EXACT($E61,$E67),EXACT($G61,$G67)),I61,"賃金単価を記載")))</f>
        <v/>
      </c>
      <c r="J67" s="545" t="str">
        <f t="shared" ref="J67:J70" si="106">IF($E67="","",IF($G67="正規職員","-","勤務日数を記載（定期利用の場合、1と記載)"))</f>
        <v/>
      </c>
      <c r="K67" s="545" t="str">
        <f>IF($E67="","",IF($G67="正規職員","-",IF(AND(EXACT($C60,$C66),EXACT($E61,$E67),EXACT($G61,$G67)),K61,"日額の交通費を記載（定期利用の場合は月額)")))</f>
        <v/>
      </c>
      <c r="L67" s="487" t="str">
        <f t="shared" si="104"/>
        <v/>
      </c>
      <c r="M67" s="487">
        <f>$M$6</f>
        <v>236166.66666667</v>
      </c>
      <c r="N67" s="487">
        <f>IFERROR(IF($C66="-","",IF(E67="","",IF(G67="正規職員",M67-M66,MIN(MIN(L67:M67),M66-N66)))),0)</f>
        <v>0</v>
      </c>
      <c r="O67" s="488" t="str">
        <f t="shared" ref="O67:O70" si="107">IF(E67="","",IF(COUNTIFS(E67,"*給食室*")=1,"○","エラー"))</f>
        <v/>
      </c>
      <c r="P67" s="343">
        <f t="shared" ref="P67:P70" si="108">P66</f>
        <v>13</v>
      </c>
      <c r="Q67" s="343" t="e">
        <f>VLOOKUP($E67&amp;Q$5,'②-2勤務時間数入力'!$D$7:$Q$106,$P67,FALSE)</f>
        <v>#N/A</v>
      </c>
      <c r="R67" s="343" t="str">
        <f>IF(ISERROR(Q67),"×",IF(Q67="-","×","○"))</f>
        <v>×</v>
      </c>
      <c r="S67" s="343" t="e">
        <f>VLOOKUP($E67&amp;S$5,'②-2勤務時間数入力'!$D$7:$Q$106,$P67,FALSE)</f>
        <v>#N/A</v>
      </c>
      <c r="T67" s="343" t="str">
        <f>IF(ISERROR(S67),"×",IF(S67="-","×","○"))</f>
        <v>×</v>
      </c>
      <c r="U67" s="343" t="e">
        <f>VLOOKUP($E67&amp;U$5,'②-2勤務時間数入力'!$D$7:$Q$106,$P67,FALSE)</f>
        <v>#N/A</v>
      </c>
      <c r="V67" s="343" t="str">
        <f>IF(ISERROR(U67),"×",IF(U67="-","×","○"))</f>
        <v>×</v>
      </c>
      <c r="W67" s="343" t="e">
        <f>VLOOKUP($E67&amp;W$5,'②-2勤務時間数入力'!$D$7:$Q$106,$P67,FALSE)</f>
        <v>#N/A</v>
      </c>
      <c r="X67" s="343" t="str">
        <f>IF(ISERROR(W67),"×",IF(W67="-","×","○"))</f>
        <v>×</v>
      </c>
      <c r="AB67" s="455" t="str">
        <f t="shared" si="8"/>
        <v>〇</v>
      </c>
      <c r="AC67" s="455" t="str">
        <f t="shared" si="9"/>
        <v>〇</v>
      </c>
      <c r="AD67" s="455" t="str">
        <f t="shared" si="10"/>
        <v>〇</v>
      </c>
    </row>
    <row r="68" spans="1:30" ht="13.5" customHeight="1">
      <c r="A68" s="861"/>
      <c r="B68" s="864"/>
      <c r="C68" s="867"/>
      <c r="D68" s="856"/>
      <c r="E68" s="546" t="str">
        <f t="shared" ref="E68:F68" si="109">IF(E62="","",E62)</f>
        <v/>
      </c>
      <c r="F68" s="484" t="str">
        <f t="shared" si="109"/>
        <v/>
      </c>
      <c r="G68" s="494" t="str">
        <f t="shared" si="102"/>
        <v/>
      </c>
      <c r="H68" s="495" t="str">
        <f t="shared" si="103"/>
        <v/>
      </c>
      <c r="I68" s="545" t="str">
        <f>IF($E68="","",IF($G68="正規職員","-",IF(AND(EXACT($C60,$C66),EXACT($E62,$E68),EXACT($G62,$G68)),I62,"賃金単価を記載")))</f>
        <v/>
      </c>
      <c r="J68" s="545" t="str">
        <f t="shared" si="106"/>
        <v/>
      </c>
      <c r="K68" s="545" t="str">
        <f>IF($E68="","",IF($G68="正規職員","-",IF(AND(EXACT($C60,$C66),EXACT($E62,$E68),EXACT($G62,$G68)),K62,"日額の交通費を記載（定期利用の場合は月額)")))</f>
        <v/>
      </c>
      <c r="L68" s="487" t="str">
        <f t="shared" si="104"/>
        <v/>
      </c>
      <c r="M68" s="487">
        <f>$M$6</f>
        <v>236166.66666667</v>
      </c>
      <c r="N68" s="487">
        <f>IFERROR(IF($C66="-","",IF(E68="","",IF(G68="正規職員",M68-M67,MIN(MIN(L68:M68),M67-N67)))),0)</f>
        <v>0</v>
      </c>
      <c r="O68" s="488" t="str">
        <f t="shared" si="107"/>
        <v/>
      </c>
      <c r="P68" s="343">
        <f t="shared" si="108"/>
        <v>13</v>
      </c>
      <c r="Q68" s="343" t="e">
        <f>VLOOKUP($E68&amp;Q$5,'②-2勤務時間数入力'!$D$7:$Q$106,$P68,FALSE)</f>
        <v>#N/A</v>
      </c>
      <c r="R68" s="343" t="str">
        <f>IF(ISERROR(Q68),"×",IF(Q68="-","×","○"))</f>
        <v>×</v>
      </c>
      <c r="S68" s="343" t="e">
        <f>VLOOKUP($E68&amp;S$5,'②-2勤務時間数入力'!$D$7:$Q$106,$P68,FALSE)</f>
        <v>#N/A</v>
      </c>
      <c r="T68" s="343" t="str">
        <f>IF(ISERROR(S68),"×",IF(S68="-","×","○"))</f>
        <v>×</v>
      </c>
      <c r="U68" s="343" t="e">
        <f>VLOOKUP($E68&amp;U$5,'②-2勤務時間数入力'!$D$7:$Q$106,$P68,FALSE)</f>
        <v>#N/A</v>
      </c>
      <c r="V68" s="343" t="str">
        <f>IF(ISERROR(U68),"×",IF(U68="-","×","○"))</f>
        <v>×</v>
      </c>
      <c r="W68" s="343" t="e">
        <f>VLOOKUP($E68&amp;W$5,'②-2勤務時間数入力'!$D$7:$Q$106,$P68,FALSE)</f>
        <v>#N/A</v>
      </c>
      <c r="X68" s="343" t="str">
        <f>IF(ISERROR(W68),"×",IF(W68="-","×","○"))</f>
        <v>×</v>
      </c>
      <c r="AB68" s="455" t="str">
        <f t="shared" si="8"/>
        <v>〇</v>
      </c>
      <c r="AC68" s="455" t="str">
        <f t="shared" si="9"/>
        <v>〇</v>
      </c>
      <c r="AD68" s="455" t="str">
        <f t="shared" si="10"/>
        <v>〇</v>
      </c>
    </row>
    <row r="69" spans="1:30" ht="13.5" customHeight="1">
      <c r="A69" s="861"/>
      <c r="B69" s="864"/>
      <c r="C69" s="867"/>
      <c r="D69" s="856"/>
      <c r="E69" s="546" t="str">
        <f t="shared" ref="E69:F69" si="110">IF(E63="","",E63)</f>
        <v/>
      </c>
      <c r="F69" s="484" t="str">
        <f t="shared" si="110"/>
        <v/>
      </c>
      <c r="G69" s="494" t="str">
        <f t="shared" si="102"/>
        <v/>
      </c>
      <c r="H69" s="495" t="str">
        <f t="shared" si="103"/>
        <v/>
      </c>
      <c r="I69" s="545" t="str">
        <f>IF($E69="","",IF($G69="正規職員","-",IF(AND(EXACT($C60,$C66),EXACT($E63,$E69),EXACT($G63,$G69)),I63,"賃金単価を記載")))</f>
        <v/>
      </c>
      <c r="J69" s="545" t="str">
        <f t="shared" si="106"/>
        <v/>
      </c>
      <c r="K69" s="545" t="str">
        <f>IF($E69="","",IF($G69="正規職員","-",IF(AND(EXACT($C60,$C66),EXACT($E63,$E69),EXACT($G63,$G69)),K63,"日額の交通費を記載（定期利用の場合は月額)")))</f>
        <v/>
      </c>
      <c r="L69" s="487" t="str">
        <f t="shared" si="104"/>
        <v/>
      </c>
      <c r="M69" s="487">
        <f>$M$6</f>
        <v>236166.66666667</v>
      </c>
      <c r="N69" s="487">
        <f>IFERROR(IF($C66="-","",IF(E69="","",IF(G69="正規職員",M69-M68,MIN(MIN(L69:M69),M68-N68)))),0)</f>
        <v>0</v>
      </c>
      <c r="O69" s="488" t="str">
        <f t="shared" si="107"/>
        <v/>
      </c>
      <c r="P69" s="343">
        <f t="shared" si="108"/>
        <v>13</v>
      </c>
      <c r="Q69" s="343" t="e">
        <f>VLOOKUP($E69&amp;Q$5,'②-2勤務時間数入力'!$D$7:$Q$106,$P69,FALSE)</f>
        <v>#N/A</v>
      </c>
      <c r="R69" s="343" t="str">
        <f>IF(ISERROR(Q69),"×",IF(Q69="-","×","○"))</f>
        <v>×</v>
      </c>
      <c r="S69" s="343" t="e">
        <f>VLOOKUP($E69&amp;S$5,'②-2勤務時間数入力'!$D$7:$Q$106,$P69,FALSE)</f>
        <v>#N/A</v>
      </c>
      <c r="T69" s="343" t="str">
        <f>IF(ISERROR(S69),"×",IF(S69="-","×","○"))</f>
        <v>×</v>
      </c>
      <c r="U69" s="343" t="e">
        <f>VLOOKUP($E69&amp;U$5,'②-2勤務時間数入力'!$D$7:$Q$106,$P69,FALSE)</f>
        <v>#N/A</v>
      </c>
      <c r="V69" s="343" t="str">
        <f>IF(ISERROR(U69),"×",IF(U69="-","×","○"))</f>
        <v>×</v>
      </c>
      <c r="W69" s="343" t="e">
        <f>VLOOKUP($E69&amp;W$5,'②-2勤務時間数入力'!$D$7:$Q$106,$P69,FALSE)</f>
        <v>#N/A</v>
      </c>
      <c r="X69" s="343" t="str">
        <f>IF(ISERROR(W69),"×",IF(W69="-","×","○"))</f>
        <v>×</v>
      </c>
      <c r="AB69" s="455" t="str">
        <f t="shared" si="8"/>
        <v>〇</v>
      </c>
      <c r="AC69" s="455" t="str">
        <f t="shared" si="9"/>
        <v>〇</v>
      </c>
      <c r="AD69" s="455" t="str">
        <f t="shared" si="10"/>
        <v>〇</v>
      </c>
    </row>
    <row r="70" spans="1:30" ht="13.5" customHeight="1">
      <c r="A70" s="861"/>
      <c r="B70" s="864"/>
      <c r="C70" s="867"/>
      <c r="D70" s="856"/>
      <c r="E70" s="546" t="str">
        <f t="shared" ref="E70:F70" si="111">IF(E64="","",E64)</f>
        <v/>
      </c>
      <c r="F70" s="484" t="str">
        <f t="shared" si="111"/>
        <v/>
      </c>
      <c r="G70" s="494" t="str">
        <f t="shared" si="102"/>
        <v/>
      </c>
      <c r="H70" s="495" t="str">
        <f t="shared" si="103"/>
        <v/>
      </c>
      <c r="I70" s="545" t="str">
        <f>IF($E70="","",IF($G70="正規職員","-",IF(AND(EXACT($C60,$C66),EXACT($E64,$E70),EXACT($G64,$G70)),I64,"賃金単価を記載")))</f>
        <v/>
      </c>
      <c r="J70" s="545" t="str">
        <f t="shared" si="106"/>
        <v/>
      </c>
      <c r="K70" s="545" t="str">
        <f>IF($E70="","",IF($G70="正規職員","-",IF(AND(EXACT($C60,$C66),EXACT($E64,$E70),EXACT($G64,$G70)),K64,"日額の交通費を記載（定期利用の場合は月額)")))</f>
        <v/>
      </c>
      <c r="L70" s="487" t="str">
        <f t="shared" si="104"/>
        <v/>
      </c>
      <c r="M70" s="487">
        <f>$M$6</f>
        <v>236166.66666667</v>
      </c>
      <c r="N70" s="487">
        <f>IFERROR(IF($C66="-","",IF(E70="","",IF(G70="正規職員",M70-M69,MIN(MIN(L70:M70),M69-N69)))),0)</f>
        <v>0</v>
      </c>
      <c r="O70" s="488" t="str">
        <f t="shared" si="107"/>
        <v/>
      </c>
      <c r="P70" s="343">
        <f t="shared" si="108"/>
        <v>13</v>
      </c>
      <c r="Q70" s="343" t="e">
        <f>VLOOKUP($E70&amp;Q$5,'②-2勤務時間数入力'!$D$7:$Q$106,$P70,FALSE)</f>
        <v>#N/A</v>
      </c>
      <c r="R70" s="343" t="str">
        <f>IF(ISERROR(Q70),"×",IF(Q70="-","×","○"))</f>
        <v>×</v>
      </c>
      <c r="S70" s="343" t="e">
        <f>VLOOKUP($E70&amp;S$5,'②-2勤務時間数入力'!$D$7:$Q$106,$P70,FALSE)</f>
        <v>#N/A</v>
      </c>
      <c r="T70" s="343" t="str">
        <f>IF(ISERROR(S70),"×",IF(S70="-","×","○"))</f>
        <v>×</v>
      </c>
      <c r="U70" s="343" t="e">
        <f>VLOOKUP($E70&amp;U$5,'②-2勤務時間数入力'!$D$7:$Q$106,$P70,FALSE)</f>
        <v>#N/A</v>
      </c>
      <c r="V70" s="343" t="str">
        <f>IF(ISERROR(U70),"×",IF(U70="-","×","○"))</f>
        <v>×</v>
      </c>
      <c r="W70" s="343" t="e">
        <f>VLOOKUP($E70&amp;W$5,'②-2勤務時間数入力'!$D$7:$Q$106,$P70,FALSE)</f>
        <v>#N/A</v>
      </c>
      <c r="X70" s="343" t="str">
        <f>IF(ISERROR(W70),"×",IF(W70="-","×","○"))</f>
        <v>×</v>
      </c>
      <c r="AB70" s="455" t="str">
        <f t="shared" si="8"/>
        <v>〇</v>
      </c>
      <c r="AC70" s="455" t="str">
        <f t="shared" si="9"/>
        <v>〇</v>
      </c>
      <c r="AD70" s="455" t="str">
        <f t="shared" si="10"/>
        <v>〇</v>
      </c>
    </row>
    <row r="71" spans="1:30" ht="13.5" customHeight="1">
      <c r="A71" s="862"/>
      <c r="B71" s="865"/>
      <c r="C71" s="868"/>
      <c r="D71" s="857"/>
      <c r="E71" s="342" t="s">
        <v>265</v>
      </c>
      <c r="F71" s="342"/>
      <c r="G71" s="494" t="s">
        <v>255</v>
      </c>
      <c r="H71" s="498"/>
      <c r="I71" s="486" t="s">
        <v>255</v>
      </c>
      <c r="J71" s="486"/>
      <c r="K71" s="486"/>
      <c r="L71" s="486" t="s">
        <v>255</v>
      </c>
      <c r="M71" s="486" t="s">
        <v>255</v>
      </c>
      <c r="N71" s="487">
        <f>MIN(IFERROR(IF(C66=1,IF(AND(B66="配置",OR(D66="調理師等",D66="栄養士")),MAX(SUM(N66:N70)-①基本情報!P38+10000,0),SUM(N66:N70)),0),0),$M$6)</f>
        <v>0</v>
      </c>
      <c r="O71" s="488" t="e">
        <f>IF(SUM(N66:N70)&gt;#REF!*$M$6,MIN($M$6,SUM(N66:N70)-ROUNDDOWN(#REF!*$M$6,0)),0)</f>
        <v>#REF!</v>
      </c>
      <c r="P71" s="343"/>
      <c r="Q71" s="343"/>
      <c r="R71" s="343"/>
      <c r="S71" s="343"/>
      <c r="T71" s="343"/>
      <c r="U71" s="343"/>
      <c r="V71" s="343"/>
      <c r="W71" s="343"/>
      <c r="X71" s="343"/>
      <c r="AB71" s="455"/>
      <c r="AC71" s="455"/>
      <c r="AD71" s="455"/>
    </row>
    <row r="72" spans="1:30" ht="13.5" customHeight="1">
      <c r="A72" s="844">
        <v>3</v>
      </c>
      <c r="B72" s="863" t="str">
        <f>IF(①基本情報!Q36="有",①基本情報!Q37,"無")</f>
        <v>無</v>
      </c>
      <c r="C72" s="866" t="e">
        <f>加算判定!I15</f>
        <v>#N/A</v>
      </c>
      <c r="D72" s="855" t="e">
        <f>加算判定!J15</f>
        <v>#N/A</v>
      </c>
      <c r="E72" s="546" t="str">
        <f>IF(E66="","",E66)</f>
        <v/>
      </c>
      <c r="F72" s="484" t="str">
        <f>IF(F66="","",F66)</f>
        <v/>
      </c>
      <c r="G72" s="494" t="str">
        <f>IF(E72="","",IF(R72="○",Q$5,IF(T72="○",S$5,IF(V72="○",U$5,IF(X72="○",W$5,"ERROR")))))</f>
        <v/>
      </c>
      <c r="H72" s="495" t="str">
        <f t="shared" ref="H72:H76" si="112">IF(E72="","",IF(R72="○",Q72,IF(T72="○",S72,IF(V72="○",U72,IF(X72="○",W72,"ERROR")))))</f>
        <v/>
      </c>
      <c r="I72" s="545" t="str">
        <f>IF($E72="","",IF($G72="正規職員","-",IF(AND(EXACT($C66,$C72),EXACT($E66,$E72),EXACT($G66,$G72)),I66,"賃金単価を記載")))</f>
        <v/>
      </c>
      <c r="J72" s="545" t="str">
        <f>IF($E72="","",IF($G72="正規職員","-","勤務日数を記載（定期利用の場合、1と記載)"))</f>
        <v/>
      </c>
      <c r="K72" s="545" t="str">
        <f>IF($E72="","",IF($G72="正規職員","-",IF(AND(EXACT($C66,$C72),EXACT($E66,$E72),EXACT($G66,$G72)),K66,"日額の交通費を記載（定期利用の場合は月額)")))</f>
        <v/>
      </c>
      <c r="L72" s="487" t="str">
        <f t="shared" ref="L72:L76" si="113">IF($E72="","",IF($G72="正規職員","-",(H72*I72+J72*K72)))</f>
        <v/>
      </c>
      <c r="M72" s="487">
        <f>$M$6</f>
        <v>236166.66666667</v>
      </c>
      <c r="N72" s="487">
        <f>IFERROR(IF($C72="-","",IF(E72="",0,IF(G72="正規職員",M72,MIN(L72:M72)))),0)</f>
        <v>0</v>
      </c>
      <c r="O72" s="488" t="str">
        <f>IF(E72="","",IF(COUNTIFS(E72,"*給食室*")=1,"○","エラー"))</f>
        <v/>
      </c>
      <c r="P72" s="343">
        <v>14</v>
      </c>
      <c r="Q72" s="343" t="e">
        <f>VLOOKUP($E72&amp;Q$5,'②-2勤務時間数入力'!$D$7:$Q$106,$P72,FALSE)</f>
        <v>#N/A</v>
      </c>
      <c r="R72" s="343" t="str">
        <f>IF(ISERROR(Q72),"×",IF(Q72="-","×","○"))</f>
        <v>×</v>
      </c>
      <c r="S72" s="343" t="e">
        <f>VLOOKUP($E72&amp;S$5,'②-2勤務時間数入力'!$D$7:$Q$106,$P72,FALSE)</f>
        <v>#N/A</v>
      </c>
      <c r="T72" s="343" t="str">
        <f>IF(ISERROR(S72),"×",IF(S72="-","×","○"))</f>
        <v>×</v>
      </c>
      <c r="U72" s="343" t="e">
        <f>VLOOKUP($E72&amp;U$5,'②-2勤務時間数入力'!$D$7:$Q$106,$P72,FALSE)</f>
        <v>#N/A</v>
      </c>
      <c r="V72" s="343" t="str">
        <f>IF(ISERROR(U72),"×",IF(U72="-","×","○"))</f>
        <v>×</v>
      </c>
      <c r="W72" s="343" t="e">
        <f>VLOOKUP($E72&amp;W$5,'②-2勤務時間数入力'!$D$7:$Q$106,$P72,FALSE)</f>
        <v>#N/A</v>
      </c>
      <c r="X72" s="343" t="str">
        <f>IF(ISERROR(W72),"×",IF(W72="-","×","○"))</f>
        <v>×</v>
      </c>
      <c r="AA72" s="455" t="str">
        <f>IFERROR(IF(AND(C72=1,E72="",E73="",E74="",E75="",E76=""),"×","〇"),"〇")</f>
        <v>〇</v>
      </c>
      <c r="AB72" s="455" t="str">
        <f t="shared" ref="AB72:AB76" si="114">IFERROR(IF(I72="賃金単価を記載","×","〇"),"〇")</f>
        <v>〇</v>
      </c>
      <c r="AC72" s="455" t="str">
        <f t="shared" ref="AC72:AC76" si="115">IFERROR(IF(J72="勤務日数を記載（定期利用の場合、1と記載)","×","〇"),"〇")</f>
        <v>〇</v>
      </c>
      <c r="AD72" s="455" t="str">
        <f t="shared" ref="AD72:AD76" si="116">IFERROR(IF(K72="日額の交通費を記載（定期利用の場合は月額)","×","〇"),"〇")</f>
        <v>〇</v>
      </c>
    </row>
    <row r="73" spans="1:30" ht="13.5" customHeight="1">
      <c r="A73" s="861"/>
      <c r="B73" s="864"/>
      <c r="C73" s="867"/>
      <c r="D73" s="856"/>
      <c r="E73" s="546" t="str">
        <f t="shared" ref="E73:F73" si="117">IF(E67="","",E67)</f>
        <v/>
      </c>
      <c r="F73" s="484" t="str">
        <f t="shared" si="117"/>
        <v/>
      </c>
      <c r="G73" s="494" t="str">
        <f t="shared" ref="G73:G76" si="118">IF(E73="","",IF(R73="○",Q$5,IF(T73="○",S$5,IF(V73="○",U$5,IF(X73="○",W$5,"ERROR")))))</f>
        <v/>
      </c>
      <c r="H73" s="495" t="str">
        <f t="shared" si="112"/>
        <v/>
      </c>
      <c r="I73" s="545" t="str">
        <f>IF($E73="","",IF($G73="正規職員","-",IF(AND(EXACT($C66,$C72),EXACT($E67,$E73),EXACT($G67,$G73)),I67,"賃金単価を記載")))</f>
        <v/>
      </c>
      <c r="J73" s="545" t="str">
        <f t="shared" ref="J73:J76" si="119">IF($E73="","",IF($G73="正規職員","-","勤務日数を記載（定期利用の場合、1と記載)"))</f>
        <v/>
      </c>
      <c r="K73" s="545" t="str">
        <f>IF($E73="","",IF($G73="正規職員","-",IF(AND(EXACT($C66,$C72),EXACT($E67,$E73),EXACT($G67,$G73)),K67,"日額の交通費を記載（定期利用の場合は月額)")))</f>
        <v/>
      </c>
      <c r="L73" s="487" t="str">
        <f t="shared" si="113"/>
        <v/>
      </c>
      <c r="M73" s="487">
        <f>$M$6</f>
        <v>236166.66666667</v>
      </c>
      <c r="N73" s="487">
        <f>IFERROR(IF($C72="-","",IF(E73="","",IF(G73="正規職員",M73-M72,MIN(MIN(L73:M73),M72-N72)))),0)</f>
        <v>0</v>
      </c>
      <c r="O73" s="488" t="str">
        <f t="shared" ref="O73:O76" si="120">IF(E73="","",IF(COUNTIFS(E73,"*給食室*")=1,"○","エラー"))</f>
        <v/>
      </c>
      <c r="P73" s="343">
        <f t="shared" ref="P73:P76" si="121">P72</f>
        <v>14</v>
      </c>
      <c r="Q73" s="343" t="e">
        <f>VLOOKUP($E73&amp;Q$5,'②-2勤務時間数入力'!$D$7:$Q$106,$P73,FALSE)</f>
        <v>#N/A</v>
      </c>
      <c r="R73" s="343" t="str">
        <f>IF(ISERROR(Q73),"×",IF(Q73="-","×","○"))</f>
        <v>×</v>
      </c>
      <c r="S73" s="343" t="e">
        <f>VLOOKUP($E73&amp;S$5,'②-2勤務時間数入力'!$D$7:$Q$106,$P73,FALSE)</f>
        <v>#N/A</v>
      </c>
      <c r="T73" s="343" t="str">
        <f>IF(ISERROR(S73),"×",IF(S73="-","×","○"))</f>
        <v>×</v>
      </c>
      <c r="U73" s="343" t="e">
        <f>VLOOKUP($E73&amp;U$5,'②-2勤務時間数入力'!$D$7:$Q$106,$P73,FALSE)</f>
        <v>#N/A</v>
      </c>
      <c r="V73" s="343" t="str">
        <f>IF(ISERROR(U73),"×",IF(U73="-","×","○"))</f>
        <v>×</v>
      </c>
      <c r="W73" s="343" t="e">
        <f>VLOOKUP($E73&amp;W$5,'②-2勤務時間数入力'!$D$7:$Q$106,$P73,FALSE)</f>
        <v>#N/A</v>
      </c>
      <c r="X73" s="343" t="str">
        <f>IF(ISERROR(W73),"×",IF(W73="-","×","○"))</f>
        <v>×</v>
      </c>
      <c r="AB73" s="455" t="str">
        <f t="shared" si="114"/>
        <v>〇</v>
      </c>
      <c r="AC73" s="455" t="str">
        <f t="shared" si="115"/>
        <v>〇</v>
      </c>
      <c r="AD73" s="455" t="str">
        <f t="shared" si="116"/>
        <v>〇</v>
      </c>
    </row>
    <row r="74" spans="1:30" ht="13.5" customHeight="1">
      <c r="A74" s="861"/>
      <c r="B74" s="864"/>
      <c r="C74" s="867"/>
      <c r="D74" s="856"/>
      <c r="E74" s="546" t="str">
        <f t="shared" ref="E74:F74" si="122">IF(E68="","",E68)</f>
        <v/>
      </c>
      <c r="F74" s="484" t="str">
        <f t="shared" si="122"/>
        <v/>
      </c>
      <c r="G74" s="494" t="str">
        <f t="shared" si="118"/>
        <v/>
      </c>
      <c r="H74" s="495" t="str">
        <f t="shared" si="112"/>
        <v/>
      </c>
      <c r="I74" s="545" t="str">
        <f>IF($E74="","",IF($G74="正規職員","-",IF(AND(EXACT($C66,$C72),EXACT($E68,$E74),EXACT($G68,$G74)),I68,"賃金単価を記載")))</f>
        <v/>
      </c>
      <c r="J74" s="545" t="str">
        <f>IF($E74="","",IF($G74="正規職員","-","勤務日数を記載（定期利用の場合、1と記載)"))</f>
        <v/>
      </c>
      <c r="K74" s="545" t="str">
        <f>IF($E74="","",IF($G74="正規職員","-",IF(AND(EXACT($C66,$C72),EXACT($E68,$E74),EXACT($G68,$G74)),K68,"日額の交通費を記載（定期利用の場合は月額)")))</f>
        <v/>
      </c>
      <c r="L74" s="487" t="str">
        <f t="shared" si="113"/>
        <v/>
      </c>
      <c r="M74" s="487">
        <f>$M$6</f>
        <v>236166.66666667</v>
      </c>
      <c r="N74" s="487">
        <f>IFERROR(IF($C72="-","",IF(E74="","",IF(G74="正規職員",M74-M73,MIN(MIN(L74:M74),M73-N73)))),0)</f>
        <v>0</v>
      </c>
      <c r="O74" s="488" t="str">
        <f t="shared" si="120"/>
        <v/>
      </c>
      <c r="P74" s="343">
        <f t="shared" si="121"/>
        <v>14</v>
      </c>
      <c r="Q74" s="343" t="e">
        <f>VLOOKUP($E74&amp;Q$5,'②-2勤務時間数入力'!$D$7:$Q$106,$P74,FALSE)</f>
        <v>#N/A</v>
      </c>
      <c r="R74" s="343" t="str">
        <f>IF(ISERROR(Q74),"×",IF(Q74="-","×","○"))</f>
        <v>×</v>
      </c>
      <c r="S74" s="343" t="e">
        <f>VLOOKUP($E74&amp;S$5,'②-2勤務時間数入力'!$D$7:$Q$106,$P74,FALSE)</f>
        <v>#N/A</v>
      </c>
      <c r="T74" s="343" t="str">
        <f>IF(ISERROR(S74),"×",IF(S74="-","×","○"))</f>
        <v>×</v>
      </c>
      <c r="U74" s="343" t="e">
        <f>VLOOKUP($E74&amp;U$5,'②-2勤務時間数入力'!$D$7:$Q$106,$P74,FALSE)</f>
        <v>#N/A</v>
      </c>
      <c r="V74" s="343" t="str">
        <f>IF(ISERROR(U74),"×",IF(U74="-","×","○"))</f>
        <v>×</v>
      </c>
      <c r="W74" s="343" t="e">
        <f>VLOOKUP($E74&amp;W$5,'②-2勤務時間数入力'!$D$7:$Q$106,$P74,FALSE)</f>
        <v>#N/A</v>
      </c>
      <c r="X74" s="343" t="str">
        <f>IF(ISERROR(W74),"×",IF(W74="-","×","○"))</f>
        <v>×</v>
      </c>
      <c r="AB74" s="455" t="str">
        <f t="shared" si="114"/>
        <v>〇</v>
      </c>
      <c r="AC74" s="455" t="str">
        <f t="shared" si="115"/>
        <v>〇</v>
      </c>
      <c r="AD74" s="455" t="str">
        <f t="shared" si="116"/>
        <v>〇</v>
      </c>
    </row>
    <row r="75" spans="1:30" ht="13.5" customHeight="1">
      <c r="A75" s="861"/>
      <c r="B75" s="864"/>
      <c r="C75" s="867"/>
      <c r="D75" s="856"/>
      <c r="E75" s="546" t="str">
        <f t="shared" ref="E75:F75" si="123">IF(E69="","",E69)</f>
        <v/>
      </c>
      <c r="F75" s="484" t="str">
        <f t="shared" si="123"/>
        <v/>
      </c>
      <c r="G75" s="494" t="str">
        <f t="shared" si="118"/>
        <v/>
      </c>
      <c r="H75" s="495" t="str">
        <f t="shared" si="112"/>
        <v/>
      </c>
      <c r="I75" s="545" t="str">
        <f>IF($E75="","",IF($G75="正規職員","-",IF(AND(EXACT($C66,$C72),EXACT($E69,$E75),EXACT($G69,$G75)),I69,"賃金単価を記載")))</f>
        <v/>
      </c>
      <c r="J75" s="545" t="str">
        <f t="shared" si="119"/>
        <v/>
      </c>
      <c r="K75" s="545" t="str">
        <f>IF($E75="","",IF($G75="正規職員","-",IF(AND(EXACT($C66,$C72),EXACT($E69,$E75),EXACT($G69,$G75)),K69,"日額の交通費を記載（定期利用の場合は月額)")))</f>
        <v/>
      </c>
      <c r="L75" s="487" t="str">
        <f t="shared" si="113"/>
        <v/>
      </c>
      <c r="M75" s="487">
        <f>$M$6</f>
        <v>236166.66666667</v>
      </c>
      <c r="N75" s="487">
        <f>IFERROR(IF($C72="-","",IF(E75="","",IF(G75="正規職員",M75-M74,MIN(MIN(L75:M75),M74-N74)))),0)</f>
        <v>0</v>
      </c>
      <c r="O75" s="488" t="str">
        <f t="shared" si="120"/>
        <v/>
      </c>
      <c r="P75" s="343">
        <f t="shared" si="121"/>
        <v>14</v>
      </c>
      <c r="Q75" s="343" t="e">
        <f>VLOOKUP($E75&amp;Q$5,'②-2勤務時間数入力'!$D$7:$Q$106,$P75,FALSE)</f>
        <v>#N/A</v>
      </c>
      <c r="R75" s="343" t="str">
        <f>IF(ISERROR(Q75),"×",IF(Q75="-","×","○"))</f>
        <v>×</v>
      </c>
      <c r="S75" s="343" t="e">
        <f>VLOOKUP($E75&amp;S$5,'②-2勤務時間数入力'!$D$7:$Q$106,$P75,FALSE)</f>
        <v>#N/A</v>
      </c>
      <c r="T75" s="343" t="str">
        <f>IF(ISERROR(S75),"×",IF(S75="-","×","○"))</f>
        <v>×</v>
      </c>
      <c r="U75" s="343" t="e">
        <f>VLOOKUP($E75&amp;U$5,'②-2勤務時間数入力'!$D$7:$Q$106,$P75,FALSE)</f>
        <v>#N/A</v>
      </c>
      <c r="V75" s="343" t="str">
        <f>IF(ISERROR(U75),"×",IF(U75="-","×","○"))</f>
        <v>×</v>
      </c>
      <c r="W75" s="343" t="e">
        <f>VLOOKUP($E75&amp;W$5,'②-2勤務時間数入力'!$D$7:$Q$106,$P75,FALSE)</f>
        <v>#N/A</v>
      </c>
      <c r="X75" s="343" t="str">
        <f>IF(ISERROR(W75),"×",IF(W75="-","×","○"))</f>
        <v>×</v>
      </c>
      <c r="AB75" s="455" t="str">
        <f t="shared" si="114"/>
        <v>〇</v>
      </c>
      <c r="AC75" s="455" t="str">
        <f t="shared" si="115"/>
        <v>〇</v>
      </c>
      <c r="AD75" s="455" t="str">
        <f t="shared" si="116"/>
        <v>〇</v>
      </c>
    </row>
    <row r="76" spans="1:30" ht="13.5" customHeight="1">
      <c r="A76" s="861"/>
      <c r="B76" s="864"/>
      <c r="C76" s="867"/>
      <c r="D76" s="856"/>
      <c r="E76" s="546" t="str">
        <f t="shared" ref="E76:F76" si="124">IF(E70="","",E70)</f>
        <v/>
      </c>
      <c r="F76" s="484" t="str">
        <f t="shared" si="124"/>
        <v/>
      </c>
      <c r="G76" s="494" t="str">
        <f t="shared" si="118"/>
        <v/>
      </c>
      <c r="H76" s="495" t="str">
        <f t="shared" si="112"/>
        <v/>
      </c>
      <c r="I76" s="545" t="str">
        <f>IF($E76="","",IF($G76="正規職員","-",IF(AND(EXACT($C66,$C72),EXACT($E70,$E76),EXACT($G70,$G76)),I70,"賃金単価を記載")))</f>
        <v/>
      </c>
      <c r="J76" s="545" t="str">
        <f t="shared" si="119"/>
        <v/>
      </c>
      <c r="K76" s="545" t="str">
        <f>IF($E76="","",IF($G76="正規職員","-",IF(AND(EXACT($C66,$C72),EXACT($E70,$E76),EXACT($G70,$G76)),K70,"日額の交通費を記載（定期利用の場合は月額)")))</f>
        <v/>
      </c>
      <c r="L76" s="487" t="str">
        <f t="shared" si="113"/>
        <v/>
      </c>
      <c r="M76" s="487">
        <f>$M$6</f>
        <v>236166.66666667</v>
      </c>
      <c r="N76" s="487">
        <f>IFERROR(IF($C72="-","",IF(E76="","",IF(G76="正規職員",M76-M75,MIN(MIN(L76:M76),M75-N75)))),0)</f>
        <v>0</v>
      </c>
      <c r="O76" s="488" t="str">
        <f t="shared" si="120"/>
        <v/>
      </c>
      <c r="P76" s="343">
        <f t="shared" si="121"/>
        <v>14</v>
      </c>
      <c r="Q76" s="343" t="e">
        <f>VLOOKUP($E76&amp;Q$5,'②-2勤務時間数入力'!$D$7:$Q$106,$P76,FALSE)</f>
        <v>#N/A</v>
      </c>
      <c r="R76" s="343" t="str">
        <f>IF(ISERROR(Q76),"×",IF(Q76="-","×","○"))</f>
        <v>×</v>
      </c>
      <c r="S76" s="343" t="e">
        <f>VLOOKUP($E76&amp;S$5,'②-2勤務時間数入力'!$D$7:$Q$106,$P76,FALSE)</f>
        <v>#N/A</v>
      </c>
      <c r="T76" s="343" t="str">
        <f>IF(ISERROR(S76),"×",IF(S76="-","×","○"))</f>
        <v>×</v>
      </c>
      <c r="U76" s="343" t="e">
        <f>VLOOKUP($E76&amp;U$5,'②-2勤務時間数入力'!$D$7:$Q$106,$P76,FALSE)</f>
        <v>#N/A</v>
      </c>
      <c r="V76" s="343" t="str">
        <f>IF(ISERROR(U76),"×",IF(U76="-","×","○"))</f>
        <v>×</v>
      </c>
      <c r="W76" s="343" t="e">
        <f>VLOOKUP($E76&amp;W$5,'②-2勤務時間数入力'!$D$7:$Q$106,$P76,FALSE)</f>
        <v>#N/A</v>
      </c>
      <c r="X76" s="343" t="str">
        <f>IF(ISERROR(W76),"×",IF(W76="-","×","○"))</f>
        <v>×</v>
      </c>
      <c r="AB76" s="455" t="str">
        <f t="shared" si="114"/>
        <v>〇</v>
      </c>
      <c r="AC76" s="455" t="str">
        <f t="shared" si="115"/>
        <v>〇</v>
      </c>
      <c r="AD76" s="455" t="str">
        <f t="shared" si="116"/>
        <v>〇</v>
      </c>
    </row>
    <row r="77" spans="1:30" ht="13.5" customHeight="1">
      <c r="A77" s="862"/>
      <c r="B77" s="865"/>
      <c r="C77" s="868"/>
      <c r="D77" s="857"/>
      <c r="E77" s="342" t="s">
        <v>266</v>
      </c>
      <c r="F77" s="342"/>
      <c r="G77" s="494" t="s">
        <v>255</v>
      </c>
      <c r="H77" s="498"/>
      <c r="I77" s="486" t="s">
        <v>255</v>
      </c>
      <c r="J77" s="486"/>
      <c r="K77" s="486"/>
      <c r="L77" s="486" t="s">
        <v>255</v>
      </c>
      <c r="M77" s="486" t="s">
        <v>255</v>
      </c>
      <c r="N77" s="487">
        <f>MIN(IFERROR(IF(C72=1,IF(AND(B72="配置",OR(D72="調理師等",D72="栄養士")),MAX(SUM(N72:N76)-①基本情報!Q38+10000,0),SUM(N72:N76)),0),0),$M$6)</f>
        <v>0</v>
      </c>
      <c r="O77" s="488" t="e">
        <f>IF(SUM(N72:N76)&gt;#REF!*$M$6,MIN($M$6,SUM(N72:N76)-ROUNDDOWN(#REF!*$M$6,0)),0)</f>
        <v>#REF!</v>
      </c>
      <c r="P77" s="343"/>
      <c r="Q77" s="343"/>
      <c r="R77" s="343"/>
      <c r="S77" s="343"/>
      <c r="T77" s="343"/>
      <c r="U77" s="343"/>
      <c r="V77" s="343"/>
      <c r="W77" s="343"/>
      <c r="X77" s="343"/>
    </row>
    <row r="78" spans="1:30" ht="13.5" customHeight="1">
      <c r="A78" s="489" t="s">
        <v>246</v>
      </c>
      <c r="B78" s="489"/>
      <c r="C78" s="489"/>
      <c r="D78" s="489"/>
      <c r="E78" s="342"/>
      <c r="F78" s="342"/>
      <c r="G78" s="495"/>
      <c r="H78" s="495"/>
      <c r="I78" s="487"/>
      <c r="J78" s="487"/>
      <c r="K78" s="487"/>
      <c r="L78" s="487"/>
      <c r="M78" s="487"/>
      <c r="N78" s="553">
        <f>ROUNDDOWN(SUM(N11,N17,N23,N29,N35,N41,N47,N53,N59,N65,N71,N77),-3)</f>
        <v>0</v>
      </c>
    </row>
    <row r="79" spans="1:30">
      <c r="E79" s="488"/>
      <c r="F79" s="488"/>
      <c r="G79" s="488"/>
      <c r="H79" s="488"/>
      <c r="I79" s="488"/>
      <c r="J79" s="488"/>
      <c r="K79" s="488"/>
      <c r="L79" s="488"/>
      <c r="M79" s="488"/>
      <c r="N79" s="488"/>
    </row>
    <row r="81" spans="3:13" hidden="1"/>
    <row r="82" spans="3:13" hidden="1">
      <c r="D82" s="337" t="s">
        <v>325</v>
      </c>
      <c r="E82" s="337"/>
      <c r="F82" s="337"/>
      <c r="G82" s="337"/>
      <c r="H82" s="337"/>
      <c r="I82" s="337"/>
      <c r="M82" s="336" t="s">
        <v>551</v>
      </c>
    </row>
    <row r="83" spans="3:13" ht="38.25" hidden="1" customHeight="1">
      <c r="D83" s="337" t="s">
        <v>329</v>
      </c>
      <c r="E83" s="337"/>
      <c r="F83" s="337"/>
      <c r="G83" s="337"/>
      <c r="H83" s="337"/>
      <c r="I83" s="337"/>
      <c r="L83" s="336" t="s">
        <v>547</v>
      </c>
      <c r="M83" s="336" t="str">
        <f>'②-1職員名簿'!C144</f>
        <v>保育教諭等</v>
      </c>
    </row>
    <row r="84" spans="3:13" hidden="1">
      <c r="D84" s="337" t="s">
        <v>343</v>
      </c>
      <c r="E84" s="337"/>
      <c r="F84" s="337"/>
      <c r="G84" s="337"/>
      <c r="H84" s="337"/>
      <c r="I84" s="337"/>
      <c r="L84" s="336" t="s">
        <v>548</v>
      </c>
      <c r="M84" s="336" t="str">
        <f>'②-1職員名簿'!C145</f>
        <v>要件緩和</v>
      </c>
    </row>
    <row r="85" spans="3:13" ht="146.25" hidden="1" customHeight="1">
      <c r="D85" s="339" t="s">
        <v>299</v>
      </c>
      <c r="E85" s="873" t="s">
        <v>797</v>
      </c>
      <c r="F85" s="873"/>
      <c r="G85" s="873"/>
      <c r="H85" s="873"/>
      <c r="I85" s="873"/>
      <c r="L85" s="336" t="s">
        <v>549</v>
      </c>
      <c r="M85" s="336" t="str">
        <f>'②-1職員名簿'!C146</f>
        <v>看護師等</v>
      </c>
    </row>
    <row r="86" spans="3:13" ht="79.5" hidden="1" customHeight="1">
      <c r="D86" s="339" t="s">
        <v>301</v>
      </c>
      <c r="E86" s="873" t="s">
        <v>795</v>
      </c>
      <c r="F86" s="873"/>
      <c r="G86" s="873"/>
      <c r="H86" s="873"/>
      <c r="I86" s="873"/>
      <c r="L86" s="336" t="s">
        <v>550</v>
      </c>
      <c r="M86" s="336" t="str">
        <f>'②-1職員名簿'!C147</f>
        <v>栄養士</v>
      </c>
    </row>
    <row r="87" spans="3:13" ht="60" hidden="1" customHeight="1">
      <c r="D87" s="339" t="s">
        <v>331</v>
      </c>
      <c r="E87" s="873" t="s">
        <v>327</v>
      </c>
      <c r="F87" s="873"/>
      <c r="G87" s="873"/>
      <c r="H87" s="873"/>
      <c r="I87" s="873"/>
      <c r="L87" s="336" t="s">
        <v>554</v>
      </c>
      <c r="M87" s="336" t="str">
        <f>'②-1職員名簿'!C148</f>
        <v>調理師等</v>
      </c>
    </row>
    <row r="88" spans="3:13" ht="60" hidden="1" customHeight="1">
      <c r="D88" s="339" t="s">
        <v>474</v>
      </c>
      <c r="E88" s="873" t="s">
        <v>330</v>
      </c>
      <c r="F88" s="873"/>
      <c r="G88" s="873"/>
      <c r="H88" s="873"/>
      <c r="I88" s="873"/>
      <c r="L88" s="336" t="s">
        <v>555</v>
      </c>
      <c r="M88" s="336" t="str">
        <f>'②-1職員名簿'!C149</f>
        <v>教育・保育支援者</v>
      </c>
    </row>
    <row r="89" spans="3:13" ht="60" hidden="1" customHeight="1">
      <c r="D89" s="339" t="s">
        <v>475</v>
      </c>
      <c r="E89" s="873" t="s">
        <v>332</v>
      </c>
      <c r="F89" s="873"/>
      <c r="G89" s="873"/>
      <c r="H89" s="873"/>
      <c r="I89" s="873"/>
    </row>
    <row r="90" spans="3:13" hidden="1"/>
    <row r="92" spans="3:13">
      <c r="C92" s="338"/>
    </row>
  </sheetData>
  <sheetProtection algorithmName="SHA-512" hashValue="+thgTeESOTH2j25coNA76xTeP+GNFYIkkRioR1C9e2GLVGJH9DbnfGMZevDhpM/2Szwm8hKYZ2y93nUxT9S0ZQ==" saltValue="ZK2RnzhLxC7QwsgiSdZdHg==" spinCount="100000" sheet="1" selectLockedCells="1"/>
  <mergeCells count="60">
    <mergeCell ref="E89:I89"/>
    <mergeCell ref="E85:I85"/>
    <mergeCell ref="E86:I86"/>
    <mergeCell ref="E87:I87"/>
    <mergeCell ref="E88:I88"/>
    <mergeCell ref="A42:A47"/>
    <mergeCell ref="B42:B47"/>
    <mergeCell ref="C42:C47"/>
    <mergeCell ref="A48:A53"/>
    <mergeCell ref="B48:B53"/>
    <mergeCell ref="C48:C53"/>
    <mergeCell ref="A72:A77"/>
    <mergeCell ref="B72:B77"/>
    <mergeCell ref="C72:C77"/>
    <mergeCell ref="A54:A59"/>
    <mergeCell ref="B54:B59"/>
    <mergeCell ref="C54:C59"/>
    <mergeCell ref="A60:A65"/>
    <mergeCell ref="B60:B65"/>
    <mergeCell ref="C60:C65"/>
    <mergeCell ref="A66:A71"/>
    <mergeCell ref="B66:B71"/>
    <mergeCell ref="C66:C71"/>
    <mergeCell ref="C30:C35"/>
    <mergeCell ref="A36:A41"/>
    <mergeCell ref="B36:B41"/>
    <mergeCell ref="C36:C41"/>
    <mergeCell ref="A30:A35"/>
    <mergeCell ref="B30:B35"/>
    <mergeCell ref="A18:A23"/>
    <mergeCell ref="B18:B23"/>
    <mergeCell ref="C18:C23"/>
    <mergeCell ref="A24:A29"/>
    <mergeCell ref="B24:B29"/>
    <mergeCell ref="C24:C29"/>
    <mergeCell ref="W5:X5"/>
    <mergeCell ref="A6:A11"/>
    <mergeCell ref="B6:B11"/>
    <mergeCell ref="C6:C11"/>
    <mergeCell ref="Q5:R5"/>
    <mergeCell ref="S5:T5"/>
    <mergeCell ref="U5:V5"/>
    <mergeCell ref="D6:D11"/>
    <mergeCell ref="A12:A17"/>
    <mergeCell ref="B12:B17"/>
    <mergeCell ref="C12:C17"/>
    <mergeCell ref="A1:N1"/>
    <mergeCell ref="G2:H2"/>
    <mergeCell ref="I2:N2"/>
    <mergeCell ref="D18:D23"/>
    <mergeCell ref="D12:D17"/>
    <mergeCell ref="D72:D77"/>
    <mergeCell ref="D66:D71"/>
    <mergeCell ref="D60:D65"/>
    <mergeCell ref="D54:D59"/>
    <mergeCell ref="D48:D53"/>
    <mergeCell ref="D42:D47"/>
    <mergeCell ref="D36:D41"/>
    <mergeCell ref="D30:D35"/>
    <mergeCell ref="D24:D29"/>
  </mergeCells>
  <phoneticPr fontId="1"/>
  <conditionalFormatting sqref="E6:F10">
    <cfRule type="containsBlanks" dxfId="59" priority="11">
      <formula>LEN(TRIM(E6))=0</formula>
    </cfRule>
  </conditionalFormatting>
  <conditionalFormatting sqref="E12:F16">
    <cfRule type="containsBlanks" dxfId="58" priority="15">
      <formula>LEN(TRIM(E12))=0</formula>
    </cfRule>
  </conditionalFormatting>
  <conditionalFormatting sqref="E18:F22">
    <cfRule type="containsBlanks" dxfId="57" priority="10">
      <formula>LEN(TRIM(E18))=0</formula>
    </cfRule>
  </conditionalFormatting>
  <conditionalFormatting sqref="E24:F28">
    <cfRule type="containsBlanks" dxfId="56" priority="9">
      <formula>LEN(TRIM(E24))=0</formula>
    </cfRule>
  </conditionalFormatting>
  <conditionalFormatting sqref="E30:F34">
    <cfRule type="containsBlanks" dxfId="55" priority="8">
      <formula>LEN(TRIM(E30))=0</formula>
    </cfRule>
  </conditionalFormatting>
  <conditionalFormatting sqref="E36:F40">
    <cfRule type="containsBlanks" dxfId="54" priority="7">
      <formula>LEN(TRIM(E36))=0</formula>
    </cfRule>
  </conditionalFormatting>
  <conditionalFormatting sqref="E42:F46">
    <cfRule type="containsBlanks" dxfId="53" priority="6">
      <formula>LEN(TRIM(E42))=0</formula>
    </cfRule>
  </conditionalFormatting>
  <conditionalFormatting sqref="E48:F52">
    <cfRule type="containsBlanks" dxfId="52" priority="5">
      <formula>LEN(TRIM(E48))=0</formula>
    </cfRule>
  </conditionalFormatting>
  <conditionalFormatting sqref="E54:F58">
    <cfRule type="containsBlanks" dxfId="51" priority="4">
      <formula>LEN(TRIM(E54))=0</formula>
    </cfRule>
  </conditionalFormatting>
  <conditionalFormatting sqref="E60:F64">
    <cfRule type="containsBlanks" dxfId="50" priority="3">
      <formula>LEN(TRIM(E60))=0</formula>
    </cfRule>
  </conditionalFormatting>
  <conditionalFormatting sqref="E66:F70">
    <cfRule type="containsBlanks" dxfId="49" priority="2">
      <formula>LEN(TRIM(E66))=0</formula>
    </cfRule>
  </conditionalFormatting>
  <conditionalFormatting sqref="E72:F76">
    <cfRule type="containsBlanks" dxfId="48" priority="1">
      <formula>LEN(TRIM(E72))=0</formula>
    </cfRule>
  </conditionalFormatting>
  <conditionalFormatting sqref="I6:I77">
    <cfRule type="containsText" dxfId="47" priority="29" operator="containsText" text="賃金単価を記載">
      <formula>NOT(ISERROR(SEARCH("賃金単価を記載",I6)))</formula>
    </cfRule>
  </conditionalFormatting>
  <conditionalFormatting sqref="J6:J77">
    <cfRule type="containsText" dxfId="46" priority="16" operator="containsText" text="勤務日数を記載（定期利用の場合、1と記載)">
      <formula>NOT(ISERROR(SEARCH("勤務日数を記載（定期利用の場合、1と記載)",J6)))</formula>
    </cfRule>
  </conditionalFormatting>
  <conditionalFormatting sqref="K6:K78">
    <cfRule type="containsText" dxfId="45" priority="27" operator="containsText" text="日額の交通費を記載（定期利用の場合は月額)">
      <formula>NOT(ISERROR(SEARCH("日額の交通費を記載（定期利用の場合は月額)",K6)))</formula>
    </cfRule>
  </conditionalFormatting>
  <conditionalFormatting sqref="K12:K16">
    <cfRule type="containsText" dxfId="44" priority="14" operator="containsText" text="賃金単価を記載">
      <formula>NOT(ISERROR(SEARCH("賃金単価を記載",K12)))</formula>
    </cfRule>
  </conditionalFormatting>
  <conditionalFormatting sqref="K18:K22 K24:K28 K30:K34 K36:K40 K42:K46 K48:K52 K54:K58 K60:K64 K66:K70 K72:K76">
    <cfRule type="containsText" dxfId="43" priority="13" operator="containsText" text="賃金単価を記載">
      <formula>NOT(ISERROR(SEARCH("賃金単価を記載",K18)))</formula>
    </cfRule>
  </conditionalFormatting>
  <dataValidations xWindow="294" yWindow="440" count="2">
    <dataValidation type="list" allowBlank="1" showInputMessage="1" showErrorMessage="1" sqref="F6:F10" xr:uid="{D179025F-DA73-47EE-BD21-71E640684D6D}">
      <formula1>"○"</formula1>
    </dataValidation>
    <dataValidation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sqref="F12:F16 F18:F22 F24:F28 F30:F34 F36:F40 F42:F46 F48:F52 F54:F58 F60:F64 F66:F70 F72:F76 E11" xr:uid="{B7FDDB43-A538-4067-AA24-1E21D00F1AB6}"/>
  </dataValidations>
  <printOptions horizontalCentered="1"/>
  <pageMargins left="0.70866141732283472" right="0.70866141732283472" top="0.74803149606299213" bottom="0.74803149606299213" header="0.31496062992125984" footer="0.31496062992125984"/>
  <pageSetup paperSize="9" scale="56" orientation="portrait" r:id="rId1"/>
  <drawing r:id="rId2"/>
  <legacyDrawing r:id="rId3"/>
  <extLst>
    <ext xmlns:x14="http://schemas.microsoft.com/office/spreadsheetml/2009/9/main" uri="{CCE6A557-97BC-4b89-ADB6-D9C93CAAB3DF}">
      <x14:dataValidations xmlns:xm="http://schemas.microsoft.com/office/excel/2006/main" xWindow="294" yWindow="440" count="2">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0056B115-6AC4-4447-BA3D-1221ED4BBF76}">
          <x14:formula1>
            <xm:f>'②-1職員名簿'!Y$7:Y$107</xm:f>
          </x14:formula1>
          <xm:sqref>E77 E23 E17 E29 E35 E41 E47 E53 E59 E65 E71</xm:sqref>
        </x14:dataValidation>
        <x14:dataValidation type="list" allowBlank="1" showInputMessage="1" showErrorMessage="1" xr:uid="{B6514179-DB57-4667-9CCA-D1D943205D20}">
          <x14:formula1>
            <xm:f>'②-1職員名簿'!Y$7:Y$107</xm:f>
          </x14:formula1>
          <xm:sqref>E6:E10 E12:E16 E72:E76 E66:E70 E60:E64 E54:E58 E48:E52 E42:E46 E36:E40 E30:E34 E24:E28 E18:E22</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B065A-62BA-4779-93BA-CED3D8E72B83}">
  <sheetPr>
    <tabColor rgb="FF00B050"/>
  </sheetPr>
  <dimension ref="A1:AD90"/>
  <sheetViews>
    <sheetView showGridLines="0" view="pageBreakPreview" zoomScale="85" zoomScaleNormal="115" zoomScaleSheetLayoutView="85" workbookViewId="0">
      <selection activeCell="E6" sqref="E6"/>
    </sheetView>
  </sheetViews>
  <sheetFormatPr defaultRowHeight="15"/>
  <cols>
    <col min="1" max="1" width="5.58203125" style="336" customWidth="1"/>
    <col min="2" max="2" width="7.5" style="336" customWidth="1"/>
    <col min="3" max="3" width="4.75" style="336" customWidth="1"/>
    <col min="4" max="4" width="8.08203125" style="336" customWidth="1"/>
    <col min="5" max="5" width="27.5" style="336" customWidth="1"/>
    <col min="6" max="6" width="23.25" style="336" hidden="1" customWidth="1"/>
    <col min="7" max="7" width="10" style="336" customWidth="1"/>
    <col min="8" max="8" width="10.58203125" style="336" customWidth="1"/>
    <col min="9" max="13" width="11.25" style="336" customWidth="1"/>
    <col min="14" max="14" width="12.83203125" style="336" bestFit="1" customWidth="1"/>
    <col min="15" max="24" width="0" style="336" hidden="1" customWidth="1"/>
    <col min="25" max="16384" width="8.6640625" style="336"/>
  </cols>
  <sheetData>
    <row r="1" spans="1:30" s="481" customFormat="1" ht="22">
      <c r="A1" s="852" t="s">
        <v>267</v>
      </c>
      <c r="B1" s="852"/>
      <c r="C1" s="852"/>
      <c r="D1" s="852"/>
      <c r="E1" s="852"/>
      <c r="F1" s="852"/>
      <c r="G1" s="852"/>
      <c r="H1" s="852"/>
      <c r="I1" s="852"/>
      <c r="J1" s="852"/>
      <c r="K1" s="852"/>
      <c r="L1" s="852"/>
      <c r="M1" s="852"/>
      <c r="N1" s="852"/>
      <c r="O1" s="480"/>
      <c r="P1" s="480"/>
      <c r="Q1" s="480"/>
      <c r="R1" s="480"/>
      <c r="S1" s="480"/>
    </row>
    <row r="2" spans="1:30" s="481" customFormat="1" ht="22">
      <c r="G2" s="869" t="s">
        <v>91</v>
      </c>
      <c r="H2" s="869"/>
      <c r="I2" s="870">
        <f>①基本情報!D6</f>
        <v>0</v>
      </c>
      <c r="J2" s="870"/>
      <c r="K2" s="870"/>
      <c r="L2" s="870"/>
      <c r="M2" s="870"/>
      <c r="N2" s="870"/>
      <c r="P2" s="481" t="s">
        <v>118</v>
      </c>
    </row>
    <row r="3" spans="1:30" s="481" customFormat="1" ht="48" customHeight="1">
      <c r="G3" s="490"/>
      <c r="H3" s="490"/>
      <c r="I3" s="491"/>
      <c r="J3" s="491"/>
      <c r="K3" s="491"/>
      <c r="L3" s="491"/>
      <c r="M3" s="491"/>
      <c r="N3" s="491"/>
      <c r="AA3" s="336" t="s">
        <v>1510</v>
      </c>
      <c r="AB3" s="336"/>
    </row>
    <row r="4" spans="1:30">
      <c r="A4" s="482" t="s">
        <v>253</v>
      </c>
      <c r="B4" s="336" t="s">
        <v>732</v>
      </c>
      <c r="AA4" s="455" t="str">
        <f>IF(COUNTIF(AA6:AA72,"×")&gt;0,"×","〇")</f>
        <v>〇</v>
      </c>
      <c r="AB4" s="455" t="str">
        <f>IF(COUNTIF(AB6:AB76,"×")&gt;0,"×","〇")</f>
        <v>〇</v>
      </c>
      <c r="AC4" s="455" t="str">
        <f t="shared" ref="AC4:AD4" si="0">IF(COUNTIF(AC6:AC76,"×")&gt;0,"×","〇")</f>
        <v>〇</v>
      </c>
      <c r="AD4" s="455" t="str">
        <f t="shared" si="0"/>
        <v>〇</v>
      </c>
    </row>
    <row r="5" spans="1:30" ht="30">
      <c r="B5" s="547" t="s">
        <v>1594</v>
      </c>
      <c r="C5" s="492" t="s">
        <v>624</v>
      </c>
      <c r="D5" s="483" t="s">
        <v>581</v>
      </c>
      <c r="E5" s="454" t="s">
        <v>236</v>
      </c>
      <c r="F5" s="483" t="s">
        <v>783</v>
      </c>
      <c r="G5" s="479" t="s">
        <v>237</v>
      </c>
      <c r="H5" s="479" t="s">
        <v>238</v>
      </c>
      <c r="I5" s="454" t="s">
        <v>239</v>
      </c>
      <c r="J5" s="454" t="s">
        <v>269</v>
      </c>
      <c r="K5" s="454" t="s">
        <v>270</v>
      </c>
      <c r="L5" s="454" t="s">
        <v>240</v>
      </c>
      <c r="M5" s="454" t="s">
        <v>241</v>
      </c>
      <c r="N5" s="454" t="s">
        <v>242</v>
      </c>
      <c r="P5" s="341" t="s">
        <v>243</v>
      </c>
      <c r="Q5" s="850" t="s">
        <v>186</v>
      </c>
      <c r="R5" s="851"/>
      <c r="S5" s="850" t="s">
        <v>187</v>
      </c>
      <c r="T5" s="851"/>
      <c r="U5" s="850" t="s">
        <v>244</v>
      </c>
      <c r="V5" s="851"/>
      <c r="W5" s="850" t="s">
        <v>245</v>
      </c>
      <c r="X5" s="851"/>
      <c r="AA5" s="336" t="s">
        <v>236</v>
      </c>
      <c r="AB5" s="455" t="s">
        <v>1511</v>
      </c>
      <c r="AC5" s="336" t="s">
        <v>269</v>
      </c>
      <c r="AD5" s="336" t="s">
        <v>270</v>
      </c>
    </row>
    <row r="6" spans="1:30" ht="13.5" customHeight="1">
      <c r="A6" s="844">
        <v>4</v>
      </c>
      <c r="B6" s="871" t="str">
        <f>IF(①基本情報!F36="有",①基本情報!F37,"無")</f>
        <v>無</v>
      </c>
      <c r="C6" s="874" t="e">
        <f>加算判定!K4</f>
        <v>#N/A</v>
      </c>
      <c r="D6" s="848" t="e">
        <f>加算判定!L4</f>
        <v>#N/A</v>
      </c>
      <c r="E6" s="546"/>
      <c r="F6" s="485"/>
      <c r="G6" s="494" t="str">
        <f t="shared" ref="G6:G10" si="1">IF(E6="","",IF(R6="○",Q$5,IF(T6="○",S$5,IF(V6="○",U$5,IF(X6="○",W$5,"ERROR")))))</f>
        <v/>
      </c>
      <c r="H6" s="495" t="str">
        <f t="shared" ref="H6:H10" si="2">IF(E6="","",IF(R6="○",Q6,IF(T6="○",S6,IF(V6="○",U6,IF(X6="○",W6,"ERROR")))))</f>
        <v/>
      </c>
      <c r="I6" s="545" t="str">
        <f t="shared" ref="I6:I10" si="3">IF($E6="","",IF($G6="正規職員","-","賃金単価を記載"))</f>
        <v/>
      </c>
      <c r="J6" s="545" t="str">
        <f>IF($E6="","",IF($G6="正規職員","-","勤務日数を記載（定期利用の場合、1と記載)"))</f>
        <v/>
      </c>
      <c r="K6" s="545" t="str">
        <f>IF($E6="","",IF($G6="正規職員","-","日額の交通費を記載（定期利用の場合は月額)"))</f>
        <v/>
      </c>
      <c r="L6" s="487" t="str">
        <f t="shared" ref="L6:L10" si="4">IF($E6="","",IF($G6="正規職員","-",(H6*I6+J6*K6)))</f>
        <v/>
      </c>
      <c r="M6" s="496">
        <f>⑧一般加算１!M6</f>
        <v>236166.66666667</v>
      </c>
      <c r="N6" s="487">
        <f>IFERROR(IF($C6="-","",IF(E6="",0,IF(G6="正規職員",M6,MIN(L6:M6)))),0)</f>
        <v>0</v>
      </c>
      <c r="O6" s="488" t="str">
        <f>IF(E6="","",IF(COUNTIFS(E6,"*給食室*")=1,"○","エラー"))</f>
        <v/>
      </c>
      <c r="P6" s="343">
        <v>3</v>
      </c>
      <c r="Q6" s="343" t="e">
        <f>VLOOKUP($E6&amp;Q$5,'②-2勤務時間数入力'!$D$7:$Q$106,$P6,FALSE)</f>
        <v>#N/A</v>
      </c>
      <c r="R6" s="343" t="str">
        <f>IF(ISERROR(Q6),"×",IF(Q6="-","×","○"))</f>
        <v>×</v>
      </c>
      <c r="S6" s="343" t="e">
        <f>VLOOKUP($E6&amp;S$5,'②-2勤務時間数入力'!$D$7:$Q$106,$P6,FALSE)</f>
        <v>#N/A</v>
      </c>
      <c r="T6" s="343" t="str">
        <f>IF(ISERROR(S6),"×",IF(S6="-","×","○"))</f>
        <v>×</v>
      </c>
      <c r="U6" s="343" t="e">
        <f>VLOOKUP($E6&amp;U$5,'②-2勤務時間数入力'!$D$7:$Q$106,$P6,FALSE)</f>
        <v>#N/A</v>
      </c>
      <c r="V6" s="343" t="str">
        <f>IF(ISERROR(U6),"×",IF(U6="-","×","○"))</f>
        <v>×</v>
      </c>
      <c r="W6" s="343" t="e">
        <f>VLOOKUP($E6&amp;W$5,'②-2勤務時間数入力'!$D$7:$Q$106,$P6,FALSE)</f>
        <v>#N/A</v>
      </c>
      <c r="X6" s="343" t="str">
        <f>IF(ISERROR(W6),"×",IF(W6="-","×","○"))</f>
        <v>×</v>
      </c>
      <c r="AA6" s="455" t="str">
        <f>IFERROR(IF(AND(C6=1,E6="",E7="",E8="",E9="",E10=""),"×","〇"),"〇")</f>
        <v>〇</v>
      </c>
      <c r="AB6" s="455" t="str">
        <f>IFERROR(IF(I6="賃金単価を記載","×","〇"),"〇")</f>
        <v>〇</v>
      </c>
      <c r="AC6" s="455" t="str">
        <f>IFERROR(IF(J6="勤務日数を記載（定期利用の場合、1と記載)","×","〇"),"〇")</f>
        <v>〇</v>
      </c>
      <c r="AD6" s="455" t="str">
        <f>IFERROR(IF(K6="日額の交通費を記載（定期利用の場合は月額)","×","〇"),"〇")</f>
        <v>〇</v>
      </c>
    </row>
    <row r="7" spans="1:30" ht="13.5" customHeight="1">
      <c r="A7" s="861"/>
      <c r="B7" s="871"/>
      <c r="C7" s="875"/>
      <c r="D7" s="872"/>
      <c r="E7" s="546"/>
      <c r="F7" s="485"/>
      <c r="G7" s="494" t="str">
        <f t="shared" si="1"/>
        <v/>
      </c>
      <c r="H7" s="495" t="str">
        <f t="shared" si="2"/>
        <v/>
      </c>
      <c r="I7" s="545" t="str">
        <f t="shared" si="3"/>
        <v/>
      </c>
      <c r="J7" s="545" t="str">
        <f t="shared" ref="J7:J10" si="5">IF($E7="","",IF($G7="正規職員","-","勤務日数を記載（定期利用の場合、1と記載)"))</f>
        <v/>
      </c>
      <c r="K7" s="545" t="str">
        <f t="shared" ref="K7:K10" si="6">IF($E7="","",IF($G7="正規職員","-","日額の交通費を記載（定期利用の場合は月額)"))</f>
        <v/>
      </c>
      <c r="L7" s="487" t="str">
        <f t="shared" si="4"/>
        <v/>
      </c>
      <c r="M7" s="487">
        <f>$M$6</f>
        <v>236166.66666667</v>
      </c>
      <c r="N7" s="487">
        <f>IFERROR(IF($C6="-","",IF(E7="","",IF(G7="正規職員",M7-M6,MIN(MIN(L7:M7),M6-N6)))),0)</f>
        <v>0</v>
      </c>
      <c r="O7" s="488" t="str">
        <f t="shared" ref="O7:O10" si="7">IF(E7="","",IF(COUNTIFS(E7,"*給食室*")=1,"○","エラー"))</f>
        <v/>
      </c>
      <c r="P7" s="343">
        <f>P6</f>
        <v>3</v>
      </c>
      <c r="Q7" s="343" t="e">
        <f>VLOOKUP($E7&amp;Q$5,'②-2勤務時間数入力'!$D$7:$Q$106,$P7,FALSE)</f>
        <v>#N/A</v>
      </c>
      <c r="R7" s="343" t="str">
        <f>IF(ISERROR(Q7),"×",IF(Q7="-","×","○"))</f>
        <v>×</v>
      </c>
      <c r="S7" s="343" t="e">
        <f>VLOOKUP($E7&amp;S$5,'②-2勤務時間数入力'!$D$7:$Q$106,$P7,FALSE)</f>
        <v>#N/A</v>
      </c>
      <c r="T7" s="343" t="str">
        <f>IF(ISERROR(S7),"×",IF(S7="-","×","○"))</f>
        <v>×</v>
      </c>
      <c r="U7" s="343" t="e">
        <f>VLOOKUP($E7&amp;U$5,'②-2勤務時間数入力'!$D$7:$Q$106,$P7,FALSE)</f>
        <v>#N/A</v>
      </c>
      <c r="V7" s="343" t="str">
        <f>IF(ISERROR(U7),"×",IF(U7="-","×","○"))</f>
        <v>×</v>
      </c>
      <c r="W7" s="343" t="e">
        <f>VLOOKUP($E7&amp;W$5,'②-2勤務時間数入力'!$D$7:$Q$106,$P7,FALSE)</f>
        <v>#N/A</v>
      </c>
      <c r="X7" s="343" t="str">
        <f>IF(ISERROR(W7),"×",IF(W7="-","×","○"))</f>
        <v>×</v>
      </c>
      <c r="AB7" s="455" t="str">
        <f t="shared" ref="AB7:AB70" si="8">IFERROR(IF(I7="賃金単価を記載","×","〇"),"〇")</f>
        <v>〇</v>
      </c>
      <c r="AC7" s="455" t="str">
        <f t="shared" ref="AC7:AC70" si="9">IFERROR(IF(J7="勤務日数を記載（定期利用の場合、1と記載)","×","〇"),"〇")</f>
        <v>〇</v>
      </c>
      <c r="AD7" s="455" t="str">
        <f t="shared" ref="AD7:AD70" si="10">IFERROR(IF(K7="日額の交通費を記載（定期利用の場合は月額)","×","〇"),"〇")</f>
        <v>〇</v>
      </c>
    </row>
    <row r="8" spans="1:30" ht="13.5" customHeight="1">
      <c r="A8" s="861"/>
      <c r="B8" s="871"/>
      <c r="C8" s="875"/>
      <c r="D8" s="872"/>
      <c r="E8" s="546"/>
      <c r="F8" s="485"/>
      <c r="G8" s="494" t="str">
        <f t="shared" si="1"/>
        <v/>
      </c>
      <c r="H8" s="495" t="str">
        <f t="shared" si="2"/>
        <v/>
      </c>
      <c r="I8" s="545" t="str">
        <f t="shared" si="3"/>
        <v/>
      </c>
      <c r="J8" s="545" t="str">
        <f t="shared" si="5"/>
        <v/>
      </c>
      <c r="K8" s="545" t="str">
        <f t="shared" si="6"/>
        <v/>
      </c>
      <c r="L8" s="487" t="str">
        <f t="shared" si="4"/>
        <v/>
      </c>
      <c r="M8" s="487">
        <f>$M$6</f>
        <v>236166.66666667</v>
      </c>
      <c r="N8" s="487">
        <f>IFERROR(IF($C6="-","",IF(E8="","",IF(G8="正規職員",M8-M7,MIN(MIN(L8:M8),M7-N7)))),0)</f>
        <v>0</v>
      </c>
      <c r="O8" s="488" t="str">
        <f t="shared" si="7"/>
        <v/>
      </c>
      <c r="P8" s="343">
        <f t="shared" ref="P8:P9" si="11">P7</f>
        <v>3</v>
      </c>
      <c r="Q8" s="343" t="e">
        <f>VLOOKUP($E8&amp;Q$5,'②-2勤務時間数入力'!$D$7:$Q$106,$P8,FALSE)</f>
        <v>#N/A</v>
      </c>
      <c r="R8" s="343" t="str">
        <f>IF(ISERROR(Q8),"×",IF(Q8="-","×","○"))</f>
        <v>×</v>
      </c>
      <c r="S8" s="343" t="e">
        <f>VLOOKUP($E8&amp;S$5,'②-2勤務時間数入力'!$D$7:$Q$106,$P8,FALSE)</f>
        <v>#N/A</v>
      </c>
      <c r="T8" s="343" t="str">
        <f>IF(ISERROR(S8),"×",IF(S8="-","×","○"))</f>
        <v>×</v>
      </c>
      <c r="U8" s="343" t="e">
        <f>VLOOKUP($E8&amp;U$5,'②-2勤務時間数入力'!$D$7:$Q$106,$P8,FALSE)</f>
        <v>#N/A</v>
      </c>
      <c r="V8" s="343" t="str">
        <f>IF(ISERROR(U8),"×",IF(U8="-","×","○"))</f>
        <v>×</v>
      </c>
      <c r="W8" s="343" t="e">
        <f>VLOOKUP($E8&amp;W$5,'②-2勤務時間数入力'!$D$7:$Q$106,$P8,FALSE)</f>
        <v>#N/A</v>
      </c>
      <c r="X8" s="343" t="str">
        <f>IF(ISERROR(W8),"×",IF(W8="-","×","○"))</f>
        <v>×</v>
      </c>
      <c r="AB8" s="455" t="str">
        <f t="shared" si="8"/>
        <v>〇</v>
      </c>
      <c r="AC8" s="455" t="str">
        <f t="shared" si="9"/>
        <v>〇</v>
      </c>
      <c r="AD8" s="455" t="str">
        <f t="shared" si="10"/>
        <v>〇</v>
      </c>
    </row>
    <row r="9" spans="1:30" ht="13.5" customHeight="1">
      <c r="A9" s="861"/>
      <c r="B9" s="871"/>
      <c r="C9" s="875"/>
      <c r="D9" s="872"/>
      <c r="E9" s="546"/>
      <c r="F9" s="485"/>
      <c r="G9" s="494" t="str">
        <f t="shared" si="1"/>
        <v/>
      </c>
      <c r="H9" s="495" t="str">
        <f t="shared" si="2"/>
        <v/>
      </c>
      <c r="I9" s="545" t="str">
        <f t="shared" si="3"/>
        <v/>
      </c>
      <c r="J9" s="545" t="str">
        <f t="shared" si="5"/>
        <v/>
      </c>
      <c r="K9" s="545" t="str">
        <f t="shared" si="6"/>
        <v/>
      </c>
      <c r="L9" s="487" t="str">
        <f t="shared" si="4"/>
        <v/>
      </c>
      <c r="M9" s="487">
        <f>$M$6</f>
        <v>236166.66666667</v>
      </c>
      <c r="N9" s="487">
        <f>IFERROR(IF($C6="-","",IF(E9="","",IF(G9="正規職員",M9-M8,MIN(MIN(L9:M9),M8-N8)))),0)</f>
        <v>0</v>
      </c>
      <c r="O9" s="488" t="str">
        <f t="shared" si="7"/>
        <v/>
      </c>
      <c r="P9" s="343">
        <f t="shared" si="11"/>
        <v>3</v>
      </c>
      <c r="Q9" s="343" t="e">
        <f>VLOOKUP($E9&amp;Q$5,'②-2勤務時間数入力'!$D$7:$Q$106,$P9,FALSE)</f>
        <v>#N/A</v>
      </c>
      <c r="R9" s="343" t="str">
        <f>IF(ISERROR(Q9),"×",IF(Q9="-","×","○"))</f>
        <v>×</v>
      </c>
      <c r="S9" s="343" t="e">
        <f>VLOOKUP($E9&amp;S$5,'②-2勤務時間数入力'!$D$7:$Q$106,$P9,FALSE)</f>
        <v>#N/A</v>
      </c>
      <c r="T9" s="343" t="str">
        <f>IF(ISERROR(S9),"×",IF(S9="-","×","○"))</f>
        <v>×</v>
      </c>
      <c r="U9" s="343" t="e">
        <f>VLOOKUP($E9&amp;U$5,'②-2勤務時間数入力'!$D$7:$Q$106,$P9,FALSE)</f>
        <v>#N/A</v>
      </c>
      <c r="V9" s="343" t="str">
        <f>IF(ISERROR(U9),"×",IF(U9="-","×","○"))</f>
        <v>×</v>
      </c>
      <c r="W9" s="343" t="e">
        <f>VLOOKUP($E9&amp;W$5,'②-2勤務時間数入力'!$D$7:$Q$106,$P9,FALSE)</f>
        <v>#N/A</v>
      </c>
      <c r="X9" s="343" t="str">
        <f>IF(ISERROR(W9),"×",IF(W9="-","×","○"))</f>
        <v>×</v>
      </c>
      <c r="AB9" s="455" t="str">
        <f t="shared" si="8"/>
        <v>〇</v>
      </c>
      <c r="AC9" s="455" t="str">
        <f t="shared" si="9"/>
        <v>〇</v>
      </c>
      <c r="AD9" s="455" t="str">
        <f t="shared" si="10"/>
        <v>〇</v>
      </c>
    </row>
    <row r="10" spans="1:30" ht="13.5" customHeight="1">
      <c r="A10" s="861"/>
      <c r="B10" s="871"/>
      <c r="C10" s="875"/>
      <c r="D10" s="872"/>
      <c r="E10" s="546"/>
      <c r="F10" s="485"/>
      <c r="G10" s="494" t="str">
        <f t="shared" si="1"/>
        <v/>
      </c>
      <c r="H10" s="495" t="str">
        <f t="shared" si="2"/>
        <v/>
      </c>
      <c r="I10" s="545" t="str">
        <f t="shared" si="3"/>
        <v/>
      </c>
      <c r="J10" s="545" t="str">
        <f t="shared" si="5"/>
        <v/>
      </c>
      <c r="K10" s="545" t="str">
        <f t="shared" si="6"/>
        <v/>
      </c>
      <c r="L10" s="487" t="str">
        <f t="shared" si="4"/>
        <v/>
      </c>
      <c r="M10" s="487">
        <f>$M$6</f>
        <v>236166.66666667</v>
      </c>
      <c r="N10" s="487">
        <f>IFERROR(IF($C6="-","",IF(E10="","",IF(G10="正規職員",M10-M9,MIN(MIN(L10:M10),M9-N9)))),0)</f>
        <v>0</v>
      </c>
      <c r="O10" s="488" t="str">
        <f t="shared" si="7"/>
        <v/>
      </c>
      <c r="P10" s="343">
        <f>P9</f>
        <v>3</v>
      </c>
      <c r="Q10" s="343" t="e">
        <f>VLOOKUP($E10&amp;Q$5,'②-2勤務時間数入力'!$D$7:$Q$106,$P10,FALSE)</f>
        <v>#N/A</v>
      </c>
      <c r="R10" s="343" t="str">
        <f>IF(ISERROR(Q10),"×",IF(Q10="-","×","○"))</f>
        <v>×</v>
      </c>
      <c r="S10" s="343" t="e">
        <f>VLOOKUP($E10&amp;S$5,'②-2勤務時間数入力'!$D$7:$Q$106,$P10,FALSE)</f>
        <v>#N/A</v>
      </c>
      <c r="T10" s="343" t="str">
        <f>IF(ISERROR(S10),"×",IF(S10="-","×","○"))</f>
        <v>×</v>
      </c>
      <c r="U10" s="343" t="e">
        <f>VLOOKUP($E10&amp;U$5,'②-2勤務時間数入力'!$D$7:$Q$106,$P10,FALSE)</f>
        <v>#N/A</v>
      </c>
      <c r="V10" s="343" t="str">
        <f>IF(ISERROR(U10),"×",IF(U10="-","×","○"))</f>
        <v>×</v>
      </c>
      <c r="W10" s="343" t="e">
        <f>VLOOKUP($E10&amp;W$5,'②-2勤務時間数入力'!$D$7:$Q$106,$P10,FALSE)</f>
        <v>#N/A</v>
      </c>
      <c r="X10" s="343" t="str">
        <f>IF(ISERROR(W10),"×",IF(W10="-","×","○"))</f>
        <v>×</v>
      </c>
      <c r="AB10" s="455" t="str">
        <f t="shared" si="8"/>
        <v>〇</v>
      </c>
      <c r="AC10" s="455" t="str">
        <f t="shared" si="9"/>
        <v>〇</v>
      </c>
      <c r="AD10" s="455" t="str">
        <f t="shared" si="10"/>
        <v>〇</v>
      </c>
    </row>
    <row r="11" spans="1:30" ht="13.5" customHeight="1">
      <c r="A11" s="862"/>
      <c r="B11" s="871"/>
      <c r="C11" s="876"/>
      <c r="D11" s="849"/>
      <c r="E11" s="342" t="s">
        <v>254</v>
      </c>
      <c r="F11" s="342"/>
      <c r="G11" s="494" t="s">
        <v>255</v>
      </c>
      <c r="H11" s="497"/>
      <c r="I11" s="486" t="s">
        <v>255</v>
      </c>
      <c r="J11" s="486"/>
      <c r="K11" s="486"/>
      <c r="L11" s="486" t="s">
        <v>255</v>
      </c>
      <c r="M11" s="486" t="s">
        <v>255</v>
      </c>
      <c r="N11" s="487">
        <f>MIN(IFERROR(IF(C6=1,IF(AND(B6="配置",OR(D6="調理師等",D6="栄養士")),MAX(SUM(N6:N10)-①基本情報!F38+10000,0),SUM(N6:N10)),0),0),$M$6)</f>
        <v>0</v>
      </c>
      <c r="O11" s="488"/>
      <c r="P11" s="343"/>
      <c r="Q11" s="343"/>
      <c r="R11" s="343"/>
      <c r="S11" s="343"/>
      <c r="T11" s="343"/>
      <c r="U11" s="343"/>
      <c r="V11" s="343"/>
      <c r="W11" s="343"/>
      <c r="X11" s="343"/>
      <c r="AB11" s="455"/>
      <c r="AC11" s="455"/>
      <c r="AD11" s="455"/>
    </row>
    <row r="12" spans="1:30" ht="13.5" customHeight="1">
      <c r="A12" s="844">
        <v>5</v>
      </c>
      <c r="B12" s="863" t="str">
        <f>IF(①基本情報!G36="有",①基本情報!G37,"無")</f>
        <v>無</v>
      </c>
      <c r="C12" s="874" t="e">
        <f>加算判定!K5</f>
        <v>#N/A</v>
      </c>
      <c r="D12" s="858" t="e">
        <f>加算判定!L5</f>
        <v>#N/A</v>
      </c>
      <c r="E12" s="546" t="str">
        <f>IF(E6="","",E6)</f>
        <v/>
      </c>
      <c r="F12" s="484" t="str">
        <f>IF(F6="","",F6)</f>
        <v/>
      </c>
      <c r="G12" s="494" t="str">
        <f t="shared" ref="G12:G16" si="12">IF(E12="","",IF(R12="○",Q$5,IF(T12="○",S$5,IF(V12="○",U$5,IF(X12="○",W$5,"ERROR")))))</f>
        <v/>
      </c>
      <c r="H12" s="495" t="str">
        <f t="shared" ref="H12:H16" si="13">IF(E12="","",IF(R12="○",Q12,IF(T12="○",S12,IF(V12="○",U12,IF(X12="○",W12,"ERROR")))))</f>
        <v/>
      </c>
      <c r="I12" s="545" t="str">
        <f>IF($E12="","",IF($G12="正規職員","-",IF(AND(EXACT($C6,$C12),EXACT($E6,$E12),EXACT($G6,$G12)),I6,"賃金単価を記載")))</f>
        <v/>
      </c>
      <c r="J12" s="545" t="str">
        <f>IF($E12="","",IF($G12="正規職員","-","勤務日数を記載（定期利用の場合、1と記載)"))</f>
        <v/>
      </c>
      <c r="K12" s="545" t="str">
        <f>IF($E12="","",IF($G12="正規職員","-",IF(AND(EXACT($C6,$C12),EXACT($E6,$E12),EXACT($G6,$G12)),K6,"日額の交通費を記載（定期利用の場合は月額)")))</f>
        <v/>
      </c>
      <c r="L12" s="487" t="str">
        <f t="shared" ref="L12:L16" si="14">IF($E12="","",IF($G12="正規職員","-",(H12*I12+J12*K12)))</f>
        <v/>
      </c>
      <c r="M12" s="487">
        <f>$M$6</f>
        <v>236166.66666667</v>
      </c>
      <c r="N12" s="487">
        <f t="shared" ref="N12" si="15">IFERROR(IF($C12="-","",IF(E12="",0,IF(G12="正規職員",M12,MIN(L12:M12)))),0)</f>
        <v>0</v>
      </c>
      <c r="O12" s="488" t="str">
        <f>IF(E12="","",IF(COUNTIFS(E12,"*給食室*")=1,"○","エラー"))</f>
        <v/>
      </c>
      <c r="P12" s="343">
        <v>4</v>
      </c>
      <c r="Q12" s="343" t="e">
        <f>VLOOKUP($E12&amp;Q$5,'②-2勤務時間数入力'!$D$7:$Q$106,$P12,FALSE)</f>
        <v>#N/A</v>
      </c>
      <c r="R12" s="343" t="str">
        <f>IF(ISERROR(Q12),"×",IF(Q12="-","×","○"))</f>
        <v>×</v>
      </c>
      <c r="S12" s="343" t="e">
        <f>VLOOKUP($E12&amp;S$5,'②-2勤務時間数入力'!$D$7:$Q$106,$P12,FALSE)</f>
        <v>#N/A</v>
      </c>
      <c r="T12" s="343" t="str">
        <f>IF(ISERROR(S12),"×",IF(S12="-","×","○"))</f>
        <v>×</v>
      </c>
      <c r="U12" s="343" t="e">
        <f>VLOOKUP($E12&amp;U$5,'②-2勤務時間数入力'!$D$7:$Q$106,$P12,FALSE)</f>
        <v>#N/A</v>
      </c>
      <c r="V12" s="343" t="str">
        <f>IF(ISERROR(U12),"×",IF(U12="-","×","○"))</f>
        <v>×</v>
      </c>
      <c r="W12" s="343" t="e">
        <f>VLOOKUP($E12&amp;W$5,'②-2勤務時間数入力'!$D$7:$Q$106,$P12,FALSE)</f>
        <v>#N/A</v>
      </c>
      <c r="X12" s="343" t="str">
        <f>IF(ISERROR(W12),"×",IF(W12="-","×","○"))</f>
        <v>×</v>
      </c>
      <c r="AA12" s="455" t="str">
        <f>IFERROR(IF(AND(C12=1,E12="",E13="",E14="",E15="",E16=""),"×","〇"),"〇")</f>
        <v>〇</v>
      </c>
      <c r="AB12" s="455" t="str">
        <f t="shared" si="8"/>
        <v>〇</v>
      </c>
      <c r="AC12" s="455" t="str">
        <f t="shared" si="9"/>
        <v>〇</v>
      </c>
      <c r="AD12" s="455" t="str">
        <f t="shared" si="10"/>
        <v>〇</v>
      </c>
    </row>
    <row r="13" spans="1:30" ht="13.5" customHeight="1">
      <c r="A13" s="861"/>
      <c r="B13" s="864"/>
      <c r="C13" s="875"/>
      <c r="D13" s="859"/>
      <c r="E13" s="546" t="str">
        <f t="shared" ref="E13:F13" si="16">IF(E7="","",E7)</f>
        <v/>
      </c>
      <c r="F13" s="484" t="str">
        <f t="shared" si="16"/>
        <v/>
      </c>
      <c r="G13" s="494" t="str">
        <f t="shared" si="12"/>
        <v/>
      </c>
      <c r="H13" s="495" t="str">
        <f t="shared" si="13"/>
        <v/>
      </c>
      <c r="I13" s="545" t="str">
        <f>IF($E13="","",IF($G13="正規職員","-",IF(AND(EXACT($C6,$C12),EXACT($E7,$E13),EXACT($G7,$G13)),I7,"賃金単価を記載")))</f>
        <v/>
      </c>
      <c r="J13" s="545" t="str">
        <f t="shared" ref="J13:J16" si="17">IF($E13="","",IF($G13="正規職員","-","勤務日数を記載（定期利用の場合、1と記載)"))</f>
        <v/>
      </c>
      <c r="K13" s="545" t="str">
        <f>IF($E13="","",IF($G13="正規職員","-",IF(AND(EXACT($C6,$C12),EXACT($E7,$E13),EXACT($G7,$G13)),K7,"日額の交通費を記載（定期利用の場合は月額)")))</f>
        <v/>
      </c>
      <c r="L13" s="487" t="str">
        <f t="shared" si="14"/>
        <v/>
      </c>
      <c r="M13" s="487">
        <f>$M$6</f>
        <v>236166.66666667</v>
      </c>
      <c r="N13" s="487">
        <f t="shared" ref="N13" si="18">IFERROR(IF($C12="-","",IF(E13="","",IF(G13="正規職員",M13-M12,MIN(MIN(L13:M13),M12-N12)))),0)</f>
        <v>0</v>
      </c>
      <c r="O13" s="488" t="str">
        <f t="shared" ref="O13:O16" si="19">IF(E13="","",IF(COUNTIFS(E13,"*給食室*")=1,"○","エラー"))</f>
        <v/>
      </c>
      <c r="P13" s="343">
        <f t="shared" ref="P13:P16" si="20">P12</f>
        <v>4</v>
      </c>
      <c r="Q13" s="343" t="e">
        <f>VLOOKUP($E13&amp;Q$5,'②-2勤務時間数入力'!$D$7:$Q$106,$P13,FALSE)</f>
        <v>#N/A</v>
      </c>
      <c r="R13" s="343" t="str">
        <f>IF(ISERROR(Q13),"×",IF(Q13="-","×","○"))</f>
        <v>×</v>
      </c>
      <c r="S13" s="343" t="e">
        <f>VLOOKUP($E13&amp;S$5,'②-2勤務時間数入力'!$D$7:$Q$106,$P13,FALSE)</f>
        <v>#N/A</v>
      </c>
      <c r="T13" s="343" t="str">
        <f>IF(ISERROR(S13),"×",IF(S13="-","×","○"))</f>
        <v>×</v>
      </c>
      <c r="U13" s="343" t="e">
        <f>VLOOKUP($E13&amp;U$5,'②-2勤務時間数入力'!$D$7:$Q$106,$P13,FALSE)</f>
        <v>#N/A</v>
      </c>
      <c r="V13" s="343" t="str">
        <f>IF(ISERROR(U13),"×",IF(U13="-","×","○"))</f>
        <v>×</v>
      </c>
      <c r="W13" s="343" t="e">
        <f>VLOOKUP($E13&amp;W$5,'②-2勤務時間数入力'!$D$7:$Q$106,$P13,FALSE)</f>
        <v>#N/A</v>
      </c>
      <c r="X13" s="343" t="str">
        <f>IF(ISERROR(W13),"×",IF(W13="-","×","○"))</f>
        <v>×</v>
      </c>
      <c r="AB13" s="455" t="str">
        <f t="shared" si="8"/>
        <v>〇</v>
      </c>
      <c r="AC13" s="455" t="str">
        <f t="shared" si="9"/>
        <v>〇</v>
      </c>
      <c r="AD13" s="455" t="str">
        <f t="shared" si="10"/>
        <v>〇</v>
      </c>
    </row>
    <row r="14" spans="1:30" ht="13.5" customHeight="1">
      <c r="A14" s="861"/>
      <c r="B14" s="864"/>
      <c r="C14" s="875"/>
      <c r="D14" s="859"/>
      <c r="E14" s="546" t="str">
        <f t="shared" ref="E14:F14" si="21">IF(E8="","",E8)</f>
        <v/>
      </c>
      <c r="F14" s="484" t="str">
        <f t="shared" si="21"/>
        <v/>
      </c>
      <c r="G14" s="494" t="str">
        <f t="shared" si="12"/>
        <v/>
      </c>
      <c r="H14" s="495" t="str">
        <f t="shared" si="13"/>
        <v/>
      </c>
      <c r="I14" s="545" t="str">
        <f>IF($E14="","",IF($G14="正規職員","-",IF(AND(EXACT($C6,$C12),EXACT($E8,$E14),EXACT($G8,$G14)),I8,"賃金単価を記載")))</f>
        <v/>
      </c>
      <c r="J14" s="545" t="str">
        <f t="shared" si="17"/>
        <v/>
      </c>
      <c r="K14" s="545" t="str">
        <f>IF($E14="","",IF($G14="正規職員","-",IF(AND(EXACT($C6,$C12),EXACT($E8,$E14),EXACT($G8,$G14)),K8,"日額の交通費を記載（定期利用の場合は月額)")))</f>
        <v/>
      </c>
      <c r="L14" s="487" t="str">
        <f t="shared" si="14"/>
        <v/>
      </c>
      <c r="M14" s="487">
        <f>$M$6</f>
        <v>236166.66666667</v>
      </c>
      <c r="N14" s="487">
        <f t="shared" ref="N14" si="22">IFERROR(IF($C12="-","",IF(E14="","",IF(G14="正規職員",M14-M13,MIN(MIN(L14:M14),M13-N13)))),0)</f>
        <v>0</v>
      </c>
      <c r="O14" s="488" t="str">
        <f t="shared" si="19"/>
        <v/>
      </c>
      <c r="P14" s="343">
        <f t="shared" si="20"/>
        <v>4</v>
      </c>
      <c r="Q14" s="343" t="e">
        <f>VLOOKUP($E14&amp;Q$5,'②-2勤務時間数入力'!$D$7:$Q$106,$P14,FALSE)</f>
        <v>#N/A</v>
      </c>
      <c r="R14" s="343" t="str">
        <f>IF(ISERROR(Q14),"×",IF(Q14="-","×","○"))</f>
        <v>×</v>
      </c>
      <c r="S14" s="343" t="e">
        <f>VLOOKUP($E14&amp;S$5,'②-2勤務時間数入力'!$D$7:$Q$106,$P14,FALSE)</f>
        <v>#N/A</v>
      </c>
      <c r="T14" s="343" t="str">
        <f>IF(ISERROR(S14),"×",IF(S14="-","×","○"))</f>
        <v>×</v>
      </c>
      <c r="U14" s="343" t="e">
        <f>VLOOKUP($E14&amp;U$5,'②-2勤務時間数入力'!$D$7:$Q$106,$P14,FALSE)</f>
        <v>#N/A</v>
      </c>
      <c r="V14" s="343" t="str">
        <f>IF(ISERROR(U14),"×",IF(U14="-","×","○"))</f>
        <v>×</v>
      </c>
      <c r="W14" s="343" t="e">
        <f>VLOOKUP($E14&amp;W$5,'②-2勤務時間数入力'!$D$7:$Q$106,$P14,FALSE)</f>
        <v>#N/A</v>
      </c>
      <c r="X14" s="343" t="str">
        <f>IF(ISERROR(W14),"×",IF(W14="-","×","○"))</f>
        <v>×</v>
      </c>
      <c r="AB14" s="455" t="str">
        <f t="shared" si="8"/>
        <v>〇</v>
      </c>
      <c r="AC14" s="455" t="str">
        <f t="shared" si="9"/>
        <v>〇</v>
      </c>
      <c r="AD14" s="455" t="str">
        <f t="shared" si="10"/>
        <v>〇</v>
      </c>
    </row>
    <row r="15" spans="1:30" ht="13.5" customHeight="1">
      <c r="A15" s="861"/>
      <c r="B15" s="864"/>
      <c r="C15" s="875"/>
      <c r="D15" s="859"/>
      <c r="E15" s="546" t="str">
        <f t="shared" ref="E15:F15" si="23">IF(E9="","",E9)</f>
        <v/>
      </c>
      <c r="F15" s="484" t="str">
        <f t="shared" si="23"/>
        <v/>
      </c>
      <c r="G15" s="494" t="str">
        <f t="shared" si="12"/>
        <v/>
      </c>
      <c r="H15" s="495" t="str">
        <f t="shared" si="13"/>
        <v/>
      </c>
      <c r="I15" s="545" t="str">
        <f>IF($E15="","",IF($G15="正規職員","-",IF(AND(EXACT($C6,$C12),EXACT($E9,$E15),EXACT($G9,$G15)),I9,"賃金単価を記載")))</f>
        <v/>
      </c>
      <c r="J15" s="545" t="str">
        <f t="shared" si="17"/>
        <v/>
      </c>
      <c r="K15" s="545" t="str">
        <f>IF($E15="","",IF($G15="正規職員","-",IF(AND(EXACT($C6,$C12),EXACT($E9,$E15),EXACT($G9,$G15)),K9,"日額の交通費を記載（定期利用の場合は月額)")))</f>
        <v/>
      </c>
      <c r="L15" s="487" t="str">
        <f t="shared" si="14"/>
        <v/>
      </c>
      <c r="M15" s="487">
        <f>$M$6</f>
        <v>236166.66666667</v>
      </c>
      <c r="N15" s="487">
        <f t="shared" ref="N15" si="24">IFERROR(IF($C12="-","",IF(E15="","",IF(G15="正規職員",M15-M14,MIN(MIN(L15:M15),M14-N14)))),0)</f>
        <v>0</v>
      </c>
      <c r="O15" s="488" t="str">
        <f t="shared" si="19"/>
        <v/>
      </c>
      <c r="P15" s="343">
        <f t="shared" si="20"/>
        <v>4</v>
      </c>
      <c r="Q15" s="343" t="e">
        <f>VLOOKUP($E15&amp;Q$5,'②-2勤務時間数入力'!$D$7:$Q$106,$P15,FALSE)</f>
        <v>#N/A</v>
      </c>
      <c r="R15" s="343" t="str">
        <f>IF(ISERROR(Q15),"×",IF(Q15="-","×","○"))</f>
        <v>×</v>
      </c>
      <c r="S15" s="343" t="e">
        <f>VLOOKUP($E15&amp;S$5,'②-2勤務時間数入力'!$D$7:$Q$106,$P15,FALSE)</f>
        <v>#N/A</v>
      </c>
      <c r="T15" s="343" t="str">
        <f>IF(ISERROR(S15),"×",IF(S15="-","×","○"))</f>
        <v>×</v>
      </c>
      <c r="U15" s="343" t="e">
        <f>VLOOKUP($E15&amp;U$5,'②-2勤務時間数入力'!$D$7:$Q$106,$P15,FALSE)</f>
        <v>#N/A</v>
      </c>
      <c r="V15" s="343" t="str">
        <f>IF(ISERROR(U15),"×",IF(U15="-","×","○"))</f>
        <v>×</v>
      </c>
      <c r="W15" s="343" t="e">
        <f>VLOOKUP($E15&amp;W$5,'②-2勤務時間数入力'!$D$7:$Q$106,$P15,FALSE)</f>
        <v>#N/A</v>
      </c>
      <c r="X15" s="343" t="str">
        <f>IF(ISERROR(W15),"×",IF(W15="-","×","○"))</f>
        <v>×</v>
      </c>
      <c r="AB15" s="455" t="str">
        <f t="shared" si="8"/>
        <v>〇</v>
      </c>
      <c r="AC15" s="455" t="str">
        <f t="shared" si="9"/>
        <v>〇</v>
      </c>
      <c r="AD15" s="455" t="str">
        <f t="shared" si="10"/>
        <v>〇</v>
      </c>
    </row>
    <row r="16" spans="1:30" ht="13.5" customHeight="1">
      <c r="A16" s="861"/>
      <c r="B16" s="864"/>
      <c r="C16" s="875"/>
      <c r="D16" s="859"/>
      <c r="E16" s="546" t="str">
        <f t="shared" ref="E16:F16" si="25">IF(E10="","",E10)</f>
        <v/>
      </c>
      <c r="F16" s="484" t="str">
        <f t="shared" si="25"/>
        <v/>
      </c>
      <c r="G16" s="494" t="str">
        <f t="shared" si="12"/>
        <v/>
      </c>
      <c r="H16" s="495" t="str">
        <f t="shared" si="13"/>
        <v/>
      </c>
      <c r="I16" s="545" t="str">
        <f>IF($E16="","",IF($G16="正規職員","-",IF(AND(EXACT($C6,$C12),EXACT($E10,$E16),EXACT($G10,$G16)),I10,"賃金単価を記載")))</f>
        <v/>
      </c>
      <c r="J16" s="545" t="str">
        <f t="shared" si="17"/>
        <v/>
      </c>
      <c r="K16" s="545" t="str">
        <f>IF($E16="","",IF($G16="正規職員","-",IF(AND(EXACT($C6,$C12),EXACT($E10,$E16),EXACT($G10,$G16)),K10,"日額の交通費を記載（定期利用の場合は月額)")))</f>
        <v/>
      </c>
      <c r="L16" s="487" t="str">
        <f t="shared" si="14"/>
        <v/>
      </c>
      <c r="M16" s="487">
        <f>$M$6</f>
        <v>236166.66666667</v>
      </c>
      <c r="N16" s="487">
        <f t="shared" ref="N16" si="26">IFERROR(IF($C12="-","",IF(E16="","",IF(G16="正規職員",M16-M15,MIN(MIN(L16:M16),M15-N15)))),0)</f>
        <v>0</v>
      </c>
      <c r="O16" s="488" t="str">
        <f t="shared" si="19"/>
        <v/>
      </c>
      <c r="P16" s="343">
        <f t="shared" si="20"/>
        <v>4</v>
      </c>
      <c r="Q16" s="343" t="e">
        <f>VLOOKUP($E16&amp;Q$5,'②-2勤務時間数入力'!$D$7:$Q$106,$P16,FALSE)</f>
        <v>#N/A</v>
      </c>
      <c r="R16" s="343" t="str">
        <f>IF(ISERROR(Q16),"×",IF(Q16="-","×","○"))</f>
        <v>×</v>
      </c>
      <c r="S16" s="343" t="e">
        <f>VLOOKUP($E16&amp;S$5,'②-2勤務時間数入力'!$D$7:$Q$106,$P16,FALSE)</f>
        <v>#N/A</v>
      </c>
      <c r="T16" s="343" t="str">
        <f>IF(ISERROR(S16),"×",IF(S16="-","×","○"))</f>
        <v>×</v>
      </c>
      <c r="U16" s="343" t="e">
        <f>VLOOKUP($E16&amp;U$5,'②-2勤務時間数入力'!$D$7:$Q$106,$P16,FALSE)</f>
        <v>#N/A</v>
      </c>
      <c r="V16" s="343" t="str">
        <f>IF(ISERROR(U16),"×",IF(U16="-","×","○"))</f>
        <v>×</v>
      </c>
      <c r="W16" s="343" t="e">
        <f>VLOOKUP($E16&amp;W$5,'②-2勤務時間数入力'!$D$7:$Q$106,$P16,FALSE)</f>
        <v>#N/A</v>
      </c>
      <c r="X16" s="343" t="str">
        <f>IF(ISERROR(W16),"×",IF(W16="-","×","○"))</f>
        <v>×</v>
      </c>
      <c r="AB16" s="455" t="str">
        <f t="shared" si="8"/>
        <v>〇</v>
      </c>
      <c r="AC16" s="455" t="str">
        <f t="shared" si="9"/>
        <v>〇</v>
      </c>
      <c r="AD16" s="455" t="str">
        <f t="shared" si="10"/>
        <v>〇</v>
      </c>
    </row>
    <row r="17" spans="1:30" ht="13.5" customHeight="1">
      <c r="A17" s="862"/>
      <c r="B17" s="865"/>
      <c r="C17" s="876"/>
      <c r="D17" s="860"/>
      <c r="E17" s="342" t="s">
        <v>256</v>
      </c>
      <c r="F17" s="342"/>
      <c r="G17" s="494" t="s">
        <v>255</v>
      </c>
      <c r="H17" s="498"/>
      <c r="I17" s="486" t="s">
        <v>255</v>
      </c>
      <c r="J17" s="486"/>
      <c r="K17" s="486"/>
      <c r="L17" s="486" t="s">
        <v>255</v>
      </c>
      <c r="M17" s="486" t="s">
        <v>255</v>
      </c>
      <c r="N17" s="487">
        <f>MIN(IFERROR(IF(C12=1,IF(AND(B12="配置",OR(D12="調理師等",D12="栄養士")),MAX(SUM(N12:N16)-①基本情報!G38+10000,0),SUM(N12:N16)),0),0),$M$6)</f>
        <v>0</v>
      </c>
      <c r="O17" s="488" t="e">
        <f>IF(SUM(N12:N16)&gt;#REF!*$M$6,MIN($M$6,SUM(N12:N16)-ROUNDDOWN(#REF!*$M$6,0)),0)</f>
        <v>#REF!</v>
      </c>
      <c r="P17" s="343"/>
      <c r="Q17" s="343"/>
      <c r="R17" s="343"/>
      <c r="S17" s="343"/>
      <c r="T17" s="343"/>
      <c r="U17" s="343"/>
      <c r="V17" s="343"/>
      <c r="W17" s="343"/>
      <c r="X17" s="343"/>
      <c r="AB17" s="455"/>
      <c r="AC17" s="455"/>
      <c r="AD17" s="455"/>
    </row>
    <row r="18" spans="1:30" ht="13.5" customHeight="1">
      <c r="A18" s="844">
        <v>6</v>
      </c>
      <c r="B18" s="863" t="str">
        <f>IF(①基本情報!H36="有",①基本情報!H37,"無")</f>
        <v>無</v>
      </c>
      <c r="C18" s="874" t="e">
        <f>加算判定!K6</f>
        <v>#N/A</v>
      </c>
      <c r="D18" s="858" t="e">
        <f>加算判定!L6</f>
        <v>#N/A</v>
      </c>
      <c r="E18" s="546" t="str">
        <f>IF(E12="","",E12)</f>
        <v/>
      </c>
      <c r="F18" s="484" t="str">
        <f>IF(F12="","",F12)</f>
        <v/>
      </c>
      <c r="G18" s="494" t="str">
        <f t="shared" ref="G18:G22" si="27">IF(E18="","",IF(R18="○",Q$5,IF(T18="○",S$5,IF(V18="○",U$5,IF(X18="○",W$5,"ERROR")))))</f>
        <v/>
      </c>
      <c r="H18" s="495" t="str">
        <f t="shared" ref="H18:H22" si="28">IF(E18="","",IF(R18="○",Q18,IF(T18="○",S18,IF(V18="○",U18,IF(X18="○",W18,"ERROR")))))</f>
        <v/>
      </c>
      <c r="I18" s="545" t="str">
        <f>IF($E18="","",IF($G18="正規職員","-",IF(AND(EXACT($C12,$C18),EXACT($E12,$E18),EXACT($G12,$G18)),I12,"賃金単価を記載")))</f>
        <v/>
      </c>
      <c r="J18" s="545" t="str">
        <f>IF($E18="","",IF($G18="正規職員","-","勤務日数を記載（定期利用の場合、1と記載)"))</f>
        <v/>
      </c>
      <c r="K18" s="545" t="str">
        <f>IF($E18="","",IF($G18="正規職員","-",IF(AND(EXACT($C12,$C18),EXACT($E12,$E18),EXACT($G12,$G18)),K12,"日額の交通費を記載（定期利用の場合は月額)")))</f>
        <v/>
      </c>
      <c r="L18" s="487" t="str">
        <f t="shared" ref="L18:L22" si="29">IF($E18="","",IF($G18="正規職員","-",(H18*I18+J18*K18)))</f>
        <v/>
      </c>
      <c r="M18" s="487">
        <f>$M$6</f>
        <v>236166.66666667</v>
      </c>
      <c r="N18" s="487">
        <f t="shared" ref="N18" si="30">IFERROR(IF($C18="-","",IF(E18="",0,IF(G18="正規職員",M18,MIN(L18:M18)))),0)</f>
        <v>0</v>
      </c>
      <c r="O18" s="488" t="str">
        <f>IF(E18="","",IF(COUNTIFS(E18,"*給食室*")=1,"○","エラー"))</f>
        <v/>
      </c>
      <c r="P18" s="343">
        <v>5</v>
      </c>
      <c r="Q18" s="343" t="e">
        <f>VLOOKUP($E18&amp;Q$5,'②-2勤務時間数入力'!$D$7:$Q$106,$P18,FALSE)</f>
        <v>#N/A</v>
      </c>
      <c r="R18" s="343" t="str">
        <f>IF(ISERROR(Q18),"×",IF(Q18="-","×","○"))</f>
        <v>×</v>
      </c>
      <c r="S18" s="343" t="e">
        <f>VLOOKUP($E18&amp;S$5,'②-2勤務時間数入力'!$D$7:$Q$106,$P18,FALSE)</f>
        <v>#N/A</v>
      </c>
      <c r="T18" s="343" t="str">
        <f>IF(ISERROR(S18),"×",IF(S18="-","×","○"))</f>
        <v>×</v>
      </c>
      <c r="U18" s="343" t="e">
        <f>VLOOKUP($E18&amp;U$5,'②-2勤務時間数入力'!$D$7:$Q$106,$P18,FALSE)</f>
        <v>#N/A</v>
      </c>
      <c r="V18" s="343" t="str">
        <f>IF(ISERROR(U18),"×",IF(U18="-","×","○"))</f>
        <v>×</v>
      </c>
      <c r="W18" s="343" t="e">
        <f>VLOOKUP($E18&amp;W$5,'②-2勤務時間数入力'!$D$7:$Q$106,$P18,FALSE)</f>
        <v>#N/A</v>
      </c>
      <c r="X18" s="343" t="str">
        <f>IF(ISERROR(W18),"×",IF(W18="-","×","○"))</f>
        <v>×</v>
      </c>
      <c r="AA18" s="455" t="str">
        <f>IFERROR(IF(AND(C18=1,E18="",E19="",E20="",E21="",E22=""),"×","〇"),"〇")</f>
        <v>〇</v>
      </c>
      <c r="AB18" s="455" t="str">
        <f t="shared" si="8"/>
        <v>〇</v>
      </c>
      <c r="AC18" s="455" t="str">
        <f t="shared" si="9"/>
        <v>〇</v>
      </c>
      <c r="AD18" s="455" t="str">
        <f t="shared" si="10"/>
        <v>〇</v>
      </c>
    </row>
    <row r="19" spans="1:30" ht="13.5" customHeight="1">
      <c r="A19" s="861"/>
      <c r="B19" s="864"/>
      <c r="C19" s="875"/>
      <c r="D19" s="859"/>
      <c r="E19" s="546" t="str">
        <f t="shared" ref="E19:F19" si="31">IF(E13="","",E13)</f>
        <v/>
      </c>
      <c r="F19" s="484" t="str">
        <f t="shared" si="31"/>
        <v/>
      </c>
      <c r="G19" s="494" t="str">
        <f t="shared" si="27"/>
        <v/>
      </c>
      <c r="H19" s="495" t="str">
        <f t="shared" si="28"/>
        <v/>
      </c>
      <c r="I19" s="545" t="str">
        <f>IF($E19="","",IF($G19="正規職員","-",IF(AND(EXACT($C12,$C18),EXACT($E13,$E19),EXACT($G13,$G19)),I13,"賃金単価を記載")))</f>
        <v/>
      </c>
      <c r="J19" s="545" t="str">
        <f t="shared" ref="J19:J22" si="32">IF($E19="","",IF($G19="正規職員","-","勤務日数を記載（定期利用の場合、1と記載)"))</f>
        <v/>
      </c>
      <c r="K19" s="545" t="str">
        <f>IF($E19="","",IF($G19="正規職員","-",IF(AND(EXACT($C12,$C18),EXACT($E13,$E19),EXACT($G13,$G19)),K13,"日額の交通費を記載（定期利用の場合は月額)")))</f>
        <v/>
      </c>
      <c r="L19" s="487" t="str">
        <f t="shared" si="29"/>
        <v/>
      </c>
      <c r="M19" s="487">
        <f>$M$6</f>
        <v>236166.66666667</v>
      </c>
      <c r="N19" s="487">
        <f t="shared" ref="N19" si="33">IFERROR(IF($C18="-","",IF(E19="","",IF(G19="正規職員",M19-M18,MIN(MIN(L19:M19),M18-N18)))),0)</f>
        <v>0</v>
      </c>
      <c r="O19" s="488" t="str">
        <f t="shared" ref="O19:O22" si="34">IF(E19="","",IF(COUNTIFS(E19,"*給食室*")=1,"○","エラー"))</f>
        <v/>
      </c>
      <c r="P19" s="343">
        <f t="shared" ref="P19:P22" si="35">P18</f>
        <v>5</v>
      </c>
      <c r="Q19" s="343" t="e">
        <f>VLOOKUP($E19&amp;Q$5,'②-2勤務時間数入力'!$D$7:$Q$106,$P19,FALSE)</f>
        <v>#N/A</v>
      </c>
      <c r="R19" s="343" t="str">
        <f>IF(ISERROR(Q19),"×",IF(Q19="-","×","○"))</f>
        <v>×</v>
      </c>
      <c r="S19" s="343" t="e">
        <f>VLOOKUP($E19&amp;S$5,'②-2勤務時間数入力'!$D$7:$Q$106,$P19,FALSE)</f>
        <v>#N/A</v>
      </c>
      <c r="T19" s="343" t="str">
        <f>IF(ISERROR(S19),"×",IF(S19="-","×","○"))</f>
        <v>×</v>
      </c>
      <c r="U19" s="343" t="e">
        <f>VLOOKUP($E19&amp;U$5,'②-2勤務時間数入力'!$D$7:$Q$106,$P19,FALSE)</f>
        <v>#N/A</v>
      </c>
      <c r="V19" s="343" t="str">
        <f>IF(ISERROR(U19),"×",IF(U19="-","×","○"))</f>
        <v>×</v>
      </c>
      <c r="W19" s="343" t="e">
        <f>VLOOKUP($E19&amp;W$5,'②-2勤務時間数入力'!$D$7:$Q$106,$P19,FALSE)</f>
        <v>#N/A</v>
      </c>
      <c r="X19" s="343" t="str">
        <f>IF(ISERROR(W19),"×",IF(W19="-","×","○"))</f>
        <v>×</v>
      </c>
      <c r="AB19" s="455" t="str">
        <f t="shared" si="8"/>
        <v>〇</v>
      </c>
      <c r="AC19" s="455" t="str">
        <f t="shared" si="9"/>
        <v>〇</v>
      </c>
      <c r="AD19" s="455" t="str">
        <f t="shared" si="10"/>
        <v>〇</v>
      </c>
    </row>
    <row r="20" spans="1:30" ht="13.5" customHeight="1">
      <c r="A20" s="861"/>
      <c r="B20" s="864"/>
      <c r="C20" s="875"/>
      <c r="D20" s="859"/>
      <c r="E20" s="546" t="str">
        <f t="shared" ref="E20:F20" si="36">IF(E14="","",E14)</f>
        <v/>
      </c>
      <c r="F20" s="484" t="str">
        <f t="shared" si="36"/>
        <v/>
      </c>
      <c r="G20" s="494" t="str">
        <f t="shared" si="27"/>
        <v/>
      </c>
      <c r="H20" s="495" t="str">
        <f t="shared" si="28"/>
        <v/>
      </c>
      <c r="I20" s="545" t="str">
        <f>IF($E20="","",IF($G20="正規職員","-",IF(AND(EXACT($C12,$C18),EXACT($E14,$E20),EXACT($G14,$G20)),I14,"賃金単価を記載")))</f>
        <v/>
      </c>
      <c r="J20" s="545" t="str">
        <f t="shared" si="32"/>
        <v/>
      </c>
      <c r="K20" s="545" t="str">
        <f>IF($E20="","",IF($G20="正規職員","-",IF(AND(EXACT($C12,$C18),EXACT($E14,$E20),EXACT($G14,$G20)),K14,"日額の交通費を記載（定期利用の場合は月額)")))</f>
        <v/>
      </c>
      <c r="L20" s="487" t="str">
        <f t="shared" si="29"/>
        <v/>
      </c>
      <c r="M20" s="487">
        <f>$M$6</f>
        <v>236166.66666667</v>
      </c>
      <c r="N20" s="487">
        <f t="shared" ref="N20" si="37">IFERROR(IF($C18="-","",IF(E20="","",IF(G20="正規職員",M20-M19,MIN(MIN(L20:M20),M19-N19)))),0)</f>
        <v>0</v>
      </c>
      <c r="O20" s="488" t="str">
        <f t="shared" si="34"/>
        <v/>
      </c>
      <c r="P20" s="343">
        <f t="shared" si="35"/>
        <v>5</v>
      </c>
      <c r="Q20" s="343" t="e">
        <f>VLOOKUP($E20&amp;Q$5,'②-2勤務時間数入力'!$D$7:$Q$106,$P20,FALSE)</f>
        <v>#N/A</v>
      </c>
      <c r="R20" s="343" t="str">
        <f>IF(ISERROR(Q20),"×",IF(Q20="-","×","○"))</f>
        <v>×</v>
      </c>
      <c r="S20" s="343" t="e">
        <f>VLOOKUP($E20&amp;S$5,'②-2勤務時間数入力'!$D$7:$Q$106,$P20,FALSE)</f>
        <v>#N/A</v>
      </c>
      <c r="T20" s="343" t="str">
        <f>IF(ISERROR(S20),"×",IF(S20="-","×","○"))</f>
        <v>×</v>
      </c>
      <c r="U20" s="343" t="e">
        <f>VLOOKUP($E20&amp;U$5,'②-2勤務時間数入力'!$D$7:$Q$106,$P20,FALSE)</f>
        <v>#N/A</v>
      </c>
      <c r="V20" s="343" t="str">
        <f>IF(ISERROR(U20),"×",IF(U20="-","×","○"))</f>
        <v>×</v>
      </c>
      <c r="W20" s="343" t="e">
        <f>VLOOKUP($E20&amp;W$5,'②-2勤務時間数入力'!$D$7:$Q$106,$P20,FALSE)</f>
        <v>#N/A</v>
      </c>
      <c r="X20" s="343" t="str">
        <f>IF(ISERROR(W20),"×",IF(W20="-","×","○"))</f>
        <v>×</v>
      </c>
      <c r="AB20" s="455" t="str">
        <f t="shared" si="8"/>
        <v>〇</v>
      </c>
      <c r="AC20" s="455" t="str">
        <f t="shared" si="9"/>
        <v>〇</v>
      </c>
      <c r="AD20" s="455" t="str">
        <f t="shared" si="10"/>
        <v>〇</v>
      </c>
    </row>
    <row r="21" spans="1:30" ht="13.5" customHeight="1">
      <c r="A21" s="861"/>
      <c r="B21" s="864"/>
      <c r="C21" s="875"/>
      <c r="D21" s="859"/>
      <c r="E21" s="546" t="str">
        <f t="shared" ref="E21:F21" si="38">IF(E15="","",E15)</f>
        <v/>
      </c>
      <c r="F21" s="484" t="str">
        <f t="shared" si="38"/>
        <v/>
      </c>
      <c r="G21" s="494" t="str">
        <f t="shared" si="27"/>
        <v/>
      </c>
      <c r="H21" s="495" t="str">
        <f t="shared" si="28"/>
        <v/>
      </c>
      <c r="I21" s="545" t="str">
        <f>IF($E21="","",IF($G21="正規職員","-",IF(AND(EXACT($C12,$C18),EXACT($E15,$E21),EXACT($G15,$G21)),I15,"賃金単価を記載")))</f>
        <v/>
      </c>
      <c r="J21" s="545" t="str">
        <f t="shared" si="32"/>
        <v/>
      </c>
      <c r="K21" s="545" t="str">
        <f>IF($E21="","",IF($G21="正規職員","-",IF(AND(EXACT($C12,$C18),EXACT($E15,$E21),EXACT($G15,$G21)),K15,"日額の交通費を記載（定期利用の場合は月額)")))</f>
        <v/>
      </c>
      <c r="L21" s="487" t="str">
        <f t="shared" si="29"/>
        <v/>
      </c>
      <c r="M21" s="487">
        <f>$M$6</f>
        <v>236166.66666667</v>
      </c>
      <c r="N21" s="487">
        <f t="shared" ref="N21" si="39">IFERROR(IF($C18="-","",IF(E21="","",IF(G21="正規職員",M21-M20,MIN(MIN(L21:M21),M20-N20)))),0)</f>
        <v>0</v>
      </c>
      <c r="O21" s="488" t="str">
        <f t="shared" si="34"/>
        <v/>
      </c>
      <c r="P21" s="343">
        <f t="shared" si="35"/>
        <v>5</v>
      </c>
      <c r="Q21" s="343" t="e">
        <f>VLOOKUP($E21&amp;Q$5,'②-2勤務時間数入力'!$D$7:$Q$106,$P21,FALSE)</f>
        <v>#N/A</v>
      </c>
      <c r="R21" s="343" t="str">
        <f>IF(ISERROR(Q21),"×",IF(Q21="-","×","○"))</f>
        <v>×</v>
      </c>
      <c r="S21" s="343" t="e">
        <f>VLOOKUP($E21&amp;S$5,'②-2勤務時間数入力'!$D$7:$Q$106,$P21,FALSE)</f>
        <v>#N/A</v>
      </c>
      <c r="T21" s="343" t="str">
        <f>IF(ISERROR(S21),"×",IF(S21="-","×","○"))</f>
        <v>×</v>
      </c>
      <c r="U21" s="343" t="e">
        <f>VLOOKUP($E21&amp;U$5,'②-2勤務時間数入力'!$D$7:$Q$106,$P21,FALSE)</f>
        <v>#N/A</v>
      </c>
      <c r="V21" s="343" t="str">
        <f>IF(ISERROR(U21),"×",IF(U21="-","×","○"))</f>
        <v>×</v>
      </c>
      <c r="W21" s="343" t="e">
        <f>VLOOKUP($E21&amp;W$5,'②-2勤務時間数入力'!$D$7:$Q$106,$P21,FALSE)</f>
        <v>#N/A</v>
      </c>
      <c r="X21" s="343" t="str">
        <f>IF(ISERROR(W21),"×",IF(W21="-","×","○"))</f>
        <v>×</v>
      </c>
      <c r="AB21" s="455" t="str">
        <f t="shared" si="8"/>
        <v>〇</v>
      </c>
      <c r="AC21" s="455" t="str">
        <f t="shared" si="9"/>
        <v>〇</v>
      </c>
      <c r="AD21" s="455" t="str">
        <f t="shared" si="10"/>
        <v>〇</v>
      </c>
    </row>
    <row r="22" spans="1:30" ht="13.5" customHeight="1">
      <c r="A22" s="861"/>
      <c r="B22" s="864"/>
      <c r="C22" s="875"/>
      <c r="D22" s="859"/>
      <c r="E22" s="546" t="str">
        <f t="shared" ref="E22:F22" si="40">IF(E16="","",E16)</f>
        <v/>
      </c>
      <c r="F22" s="484" t="str">
        <f t="shared" si="40"/>
        <v/>
      </c>
      <c r="G22" s="494" t="str">
        <f t="shared" si="27"/>
        <v/>
      </c>
      <c r="H22" s="495" t="str">
        <f t="shared" si="28"/>
        <v/>
      </c>
      <c r="I22" s="545" t="str">
        <f>IF($E22="","",IF($G22="正規職員","-",IF(AND(EXACT($C12,$C18),EXACT($E16,$E22),EXACT($G16,$G22)),I16,"賃金単価を記載")))</f>
        <v/>
      </c>
      <c r="J22" s="545" t="str">
        <f t="shared" si="32"/>
        <v/>
      </c>
      <c r="K22" s="545" t="str">
        <f>IF($E22="","",IF($G22="正規職員","-",IF(AND(EXACT($C12,$C18),EXACT($E16,$E22),EXACT($G16,$G22)),K16,"日額の交通費を記載（定期利用の場合は月額)")))</f>
        <v/>
      </c>
      <c r="L22" s="487" t="str">
        <f t="shared" si="29"/>
        <v/>
      </c>
      <c r="M22" s="487">
        <f>$M$6</f>
        <v>236166.66666667</v>
      </c>
      <c r="N22" s="487">
        <f t="shared" ref="N22" si="41">IFERROR(IF($C18="-","",IF(E22="","",IF(G22="正規職員",M22-M21,MIN(MIN(L22:M22),M21-N21)))),0)</f>
        <v>0</v>
      </c>
      <c r="O22" s="488" t="str">
        <f t="shared" si="34"/>
        <v/>
      </c>
      <c r="P22" s="343">
        <f t="shared" si="35"/>
        <v>5</v>
      </c>
      <c r="Q22" s="343" t="e">
        <f>VLOOKUP($E22&amp;Q$5,'②-2勤務時間数入力'!$D$7:$Q$106,$P22,FALSE)</f>
        <v>#N/A</v>
      </c>
      <c r="R22" s="343" t="str">
        <f>IF(ISERROR(Q22),"×",IF(Q22="-","×","○"))</f>
        <v>×</v>
      </c>
      <c r="S22" s="343" t="e">
        <f>VLOOKUP($E22&amp;S$5,'②-2勤務時間数入力'!$D$7:$Q$106,$P22,FALSE)</f>
        <v>#N/A</v>
      </c>
      <c r="T22" s="343" t="str">
        <f>IF(ISERROR(S22),"×",IF(S22="-","×","○"))</f>
        <v>×</v>
      </c>
      <c r="U22" s="343" t="e">
        <f>VLOOKUP($E22&amp;U$5,'②-2勤務時間数入力'!$D$7:$Q$106,$P22,FALSE)</f>
        <v>#N/A</v>
      </c>
      <c r="V22" s="343" t="str">
        <f>IF(ISERROR(U22),"×",IF(U22="-","×","○"))</f>
        <v>×</v>
      </c>
      <c r="W22" s="343" t="e">
        <f>VLOOKUP($E22&amp;W$5,'②-2勤務時間数入力'!$D$7:$Q$106,$P22,FALSE)</f>
        <v>#N/A</v>
      </c>
      <c r="X22" s="343" t="str">
        <f>IF(ISERROR(W22),"×",IF(W22="-","×","○"))</f>
        <v>×</v>
      </c>
      <c r="AB22" s="455" t="str">
        <f t="shared" si="8"/>
        <v>〇</v>
      </c>
      <c r="AC22" s="455" t="str">
        <f t="shared" si="9"/>
        <v>〇</v>
      </c>
      <c r="AD22" s="455" t="str">
        <f t="shared" si="10"/>
        <v>〇</v>
      </c>
    </row>
    <row r="23" spans="1:30" ht="13.5" customHeight="1">
      <c r="A23" s="862"/>
      <c r="B23" s="865"/>
      <c r="C23" s="876"/>
      <c r="D23" s="860"/>
      <c r="E23" s="342" t="s">
        <v>257</v>
      </c>
      <c r="F23" s="342"/>
      <c r="G23" s="494" t="s">
        <v>255</v>
      </c>
      <c r="H23" s="498"/>
      <c r="I23" s="486" t="s">
        <v>255</v>
      </c>
      <c r="J23" s="486"/>
      <c r="K23" s="486"/>
      <c r="L23" s="486" t="s">
        <v>255</v>
      </c>
      <c r="M23" s="486" t="s">
        <v>255</v>
      </c>
      <c r="N23" s="487">
        <f>MIN(IFERROR(IF(C18=1,IF(AND(B18="配置",OR(D18="調理師等",D18="栄養士")),MAX(SUM(N18:N22)-①基本情報!H38+10000,0),SUM(N18:N22)),0),0),$M$6)</f>
        <v>0</v>
      </c>
      <c r="O23" s="488" t="e">
        <f>IF(SUM(N18:N22)&gt;#REF!*$M$6,MIN($M$6,SUM(N18:N22)-ROUNDDOWN(#REF!*$M$6,0)),0)</f>
        <v>#REF!</v>
      </c>
      <c r="P23" s="343"/>
      <c r="Q23" s="343"/>
      <c r="R23" s="343"/>
      <c r="S23" s="343"/>
      <c r="T23" s="343"/>
      <c r="U23" s="343"/>
      <c r="V23" s="343"/>
      <c r="W23" s="343"/>
      <c r="X23" s="343"/>
      <c r="AB23" s="455"/>
      <c r="AC23" s="455"/>
      <c r="AD23" s="455"/>
    </row>
    <row r="24" spans="1:30" ht="13.5" customHeight="1">
      <c r="A24" s="844">
        <v>7</v>
      </c>
      <c r="B24" s="863" t="str">
        <f>IF(①基本情報!I36="有",①基本情報!I37,"無")</f>
        <v>無</v>
      </c>
      <c r="C24" s="874" t="e">
        <f>加算判定!K7</f>
        <v>#N/A</v>
      </c>
      <c r="D24" s="858" t="e">
        <f>加算判定!L7</f>
        <v>#N/A</v>
      </c>
      <c r="E24" s="546" t="str">
        <f>IF(E18="","",E18)</f>
        <v/>
      </c>
      <c r="F24" s="484" t="str">
        <f>IF(F18="","",F18)</f>
        <v/>
      </c>
      <c r="G24" s="494" t="str">
        <f t="shared" ref="G24:G28" si="42">IF(E24="","",IF(R24="○",Q$5,IF(T24="○",S$5,IF(V24="○",U$5,IF(X24="○",W$5,"ERROR")))))</f>
        <v/>
      </c>
      <c r="H24" s="495" t="str">
        <f t="shared" ref="H24:H28" si="43">IF(E24="","",IF(R24="○",Q24,IF(T24="○",S24,IF(V24="○",U24,IF(X24="○",W24,"ERROR")))))</f>
        <v/>
      </c>
      <c r="I24" s="545" t="str">
        <f>IF($E24="","",IF($G24="正規職員","-",IF(AND(EXACT($C18,$C24),EXACT($E18,$E24),EXACT($G18,$G24)),I18,"賃金単価を記載")))</f>
        <v/>
      </c>
      <c r="J24" s="545" t="str">
        <f>IF($E24="","",IF($G24="正規職員","-","勤務日数を記載（定期利用の場合、1と記載)"))</f>
        <v/>
      </c>
      <c r="K24" s="545" t="str">
        <f>IF($E24="","",IF($G24="正規職員","-",IF(AND(EXACT($C18,$C24),EXACT($E18,$E24),EXACT($G18,$G24)),K18,"日額の交通費を記載（定期利用の場合は月額)")))</f>
        <v/>
      </c>
      <c r="L24" s="487" t="str">
        <f t="shared" ref="L24:L28" si="44">IF($E24="","",IF($G24="正規職員","-",(H24*I24+J24*K24)))</f>
        <v/>
      </c>
      <c r="M24" s="487">
        <f>$M$6</f>
        <v>236166.66666667</v>
      </c>
      <c r="N24" s="487">
        <f t="shared" ref="N24" si="45">IFERROR(IF($C24="-","",IF(E24="",0,IF(G24="正規職員",M24,MIN(L24:M24)))),0)</f>
        <v>0</v>
      </c>
      <c r="O24" s="488" t="str">
        <f>IF(E24="","",IF(COUNTIFS(E24,"*給食室*")=1,"○","エラー"))</f>
        <v/>
      </c>
      <c r="P24" s="343">
        <v>6</v>
      </c>
      <c r="Q24" s="343" t="e">
        <f>VLOOKUP($E24&amp;Q$5,'②-2勤務時間数入力'!$D$7:$Q$106,$P24,FALSE)</f>
        <v>#N/A</v>
      </c>
      <c r="R24" s="343" t="str">
        <f>IF(ISERROR(Q24),"×",IF(Q24="-","×","○"))</f>
        <v>×</v>
      </c>
      <c r="S24" s="343" t="e">
        <f>VLOOKUP($E24&amp;S$5,'②-2勤務時間数入力'!$D$7:$Q$106,$P24,FALSE)</f>
        <v>#N/A</v>
      </c>
      <c r="T24" s="343" t="str">
        <f>IF(ISERROR(S24),"×",IF(S24="-","×","○"))</f>
        <v>×</v>
      </c>
      <c r="U24" s="343" t="e">
        <f>VLOOKUP($E24&amp;U$5,'②-2勤務時間数入力'!$D$7:$Q$106,$P24,FALSE)</f>
        <v>#N/A</v>
      </c>
      <c r="V24" s="343" t="str">
        <f>IF(ISERROR(U24),"×",IF(U24="-","×","○"))</f>
        <v>×</v>
      </c>
      <c r="W24" s="343" t="e">
        <f>VLOOKUP($E24&amp;W$5,'②-2勤務時間数入力'!$D$7:$Q$106,$P24,FALSE)</f>
        <v>#N/A</v>
      </c>
      <c r="X24" s="343" t="str">
        <f>IF(ISERROR(W24),"×",IF(W24="-","×","○"))</f>
        <v>×</v>
      </c>
      <c r="AA24" s="455" t="str">
        <f>IFERROR(IF(AND(C24=1,E24="",E25="",E26="",E27="",E28=""),"×","〇"),"〇")</f>
        <v>〇</v>
      </c>
      <c r="AB24" s="455" t="str">
        <f t="shared" si="8"/>
        <v>〇</v>
      </c>
      <c r="AC24" s="455" t="str">
        <f t="shared" si="9"/>
        <v>〇</v>
      </c>
      <c r="AD24" s="455" t="str">
        <f t="shared" si="10"/>
        <v>〇</v>
      </c>
    </row>
    <row r="25" spans="1:30" ht="13.5" customHeight="1">
      <c r="A25" s="861"/>
      <c r="B25" s="864"/>
      <c r="C25" s="875"/>
      <c r="D25" s="859"/>
      <c r="E25" s="546" t="str">
        <f t="shared" ref="E25:F25" si="46">IF(E19="","",E19)</f>
        <v/>
      </c>
      <c r="F25" s="484" t="str">
        <f t="shared" si="46"/>
        <v/>
      </c>
      <c r="G25" s="494" t="str">
        <f t="shared" si="42"/>
        <v/>
      </c>
      <c r="H25" s="495" t="str">
        <f t="shared" si="43"/>
        <v/>
      </c>
      <c r="I25" s="545" t="str">
        <f>IF($E25="","",IF($G25="正規職員","-",IF(AND(EXACT($C18,$C24),EXACT($E19,$E25),EXACT($G19,$G25)),I19,"賃金単価を記載")))</f>
        <v/>
      </c>
      <c r="J25" s="545" t="str">
        <f t="shared" ref="J25:J28" si="47">IF($E25="","",IF($G25="正規職員","-","勤務日数を記載（定期利用の場合、1と記載)"))</f>
        <v/>
      </c>
      <c r="K25" s="545" t="str">
        <f>IF($E25="","",IF($G25="正規職員","-",IF(AND(EXACT($C18,$C24),EXACT($E19,$E25),EXACT($G19,$G25)),K19,"日額の交通費を記載（定期利用の場合は月額)")))</f>
        <v/>
      </c>
      <c r="L25" s="487" t="str">
        <f t="shared" si="44"/>
        <v/>
      </c>
      <c r="M25" s="487">
        <f>$M$6</f>
        <v>236166.66666667</v>
      </c>
      <c r="N25" s="487">
        <f t="shared" ref="N25" si="48">IFERROR(IF($C24="-","",IF(E25="","",IF(G25="正規職員",M25-M24,MIN(MIN(L25:M25),M24-N24)))),0)</f>
        <v>0</v>
      </c>
      <c r="O25" s="488" t="str">
        <f t="shared" ref="O25:O28" si="49">IF(E25="","",IF(COUNTIFS(E25,"*給食室*")=1,"○","エラー"))</f>
        <v/>
      </c>
      <c r="P25" s="343">
        <f t="shared" ref="P25:P28" si="50">P24</f>
        <v>6</v>
      </c>
      <c r="Q25" s="343" t="e">
        <f>VLOOKUP($E25&amp;Q$5,'②-2勤務時間数入力'!$D$7:$Q$106,$P25,FALSE)</f>
        <v>#N/A</v>
      </c>
      <c r="R25" s="343" t="str">
        <f>IF(ISERROR(Q25),"×",IF(Q25="-","×","○"))</f>
        <v>×</v>
      </c>
      <c r="S25" s="343" t="e">
        <f>VLOOKUP($E25&amp;S$5,'②-2勤務時間数入力'!$D$7:$Q$106,$P25,FALSE)</f>
        <v>#N/A</v>
      </c>
      <c r="T25" s="343" t="str">
        <f>IF(ISERROR(S25),"×",IF(S25="-","×","○"))</f>
        <v>×</v>
      </c>
      <c r="U25" s="343" t="e">
        <f>VLOOKUP($E25&amp;U$5,'②-2勤務時間数入力'!$D$7:$Q$106,$P25,FALSE)</f>
        <v>#N/A</v>
      </c>
      <c r="V25" s="343" t="str">
        <f>IF(ISERROR(U25),"×",IF(U25="-","×","○"))</f>
        <v>×</v>
      </c>
      <c r="W25" s="343" t="e">
        <f>VLOOKUP($E25&amp;W$5,'②-2勤務時間数入力'!$D$7:$Q$106,$P25,FALSE)</f>
        <v>#N/A</v>
      </c>
      <c r="X25" s="343" t="str">
        <f>IF(ISERROR(W25),"×",IF(W25="-","×","○"))</f>
        <v>×</v>
      </c>
      <c r="AB25" s="455" t="str">
        <f t="shared" si="8"/>
        <v>〇</v>
      </c>
      <c r="AC25" s="455" t="str">
        <f t="shared" si="9"/>
        <v>〇</v>
      </c>
      <c r="AD25" s="455" t="str">
        <f t="shared" si="10"/>
        <v>〇</v>
      </c>
    </row>
    <row r="26" spans="1:30" ht="13.5" customHeight="1">
      <c r="A26" s="861"/>
      <c r="B26" s="864"/>
      <c r="C26" s="875"/>
      <c r="D26" s="859"/>
      <c r="E26" s="546" t="str">
        <f t="shared" ref="E26:F26" si="51">IF(E20="","",E20)</f>
        <v/>
      </c>
      <c r="F26" s="484" t="str">
        <f t="shared" si="51"/>
        <v/>
      </c>
      <c r="G26" s="494" t="str">
        <f t="shared" si="42"/>
        <v/>
      </c>
      <c r="H26" s="495" t="str">
        <f t="shared" si="43"/>
        <v/>
      </c>
      <c r="I26" s="545" t="str">
        <f>IF($E26="","",IF($G26="正規職員","-",IF(AND(EXACT($C18,$C24),EXACT($E20,$E26),EXACT($G20,$G26)),I20,"賃金単価を記載")))</f>
        <v/>
      </c>
      <c r="J26" s="545" t="str">
        <f t="shared" si="47"/>
        <v/>
      </c>
      <c r="K26" s="545" t="str">
        <f>IF($E26="","",IF($G26="正規職員","-",IF(AND(EXACT($C18,$C24),EXACT($E20,$E26),EXACT($G20,$G26)),K20,"日額の交通費を記載（定期利用の場合は月額)")))</f>
        <v/>
      </c>
      <c r="L26" s="487" t="str">
        <f t="shared" si="44"/>
        <v/>
      </c>
      <c r="M26" s="487">
        <f>$M$6</f>
        <v>236166.66666667</v>
      </c>
      <c r="N26" s="487">
        <f t="shared" ref="N26" si="52">IFERROR(IF($C24="-","",IF(E26="","",IF(G26="正規職員",M26-M25,MIN(MIN(L26:M26),M25-N25)))),0)</f>
        <v>0</v>
      </c>
      <c r="O26" s="488" t="str">
        <f>IF(E26="","",IF(COUNTIFS(E26,"*給食室*")=1,"○","エラー"))</f>
        <v/>
      </c>
      <c r="P26" s="343">
        <f t="shared" si="50"/>
        <v>6</v>
      </c>
      <c r="Q26" s="343" t="e">
        <f>VLOOKUP($E26&amp;Q$5,'②-2勤務時間数入力'!$D$7:$Q$106,$P26,FALSE)</f>
        <v>#N/A</v>
      </c>
      <c r="R26" s="343" t="str">
        <f>IF(ISERROR(Q26),"×",IF(Q26="-","×","○"))</f>
        <v>×</v>
      </c>
      <c r="S26" s="343" t="e">
        <f>VLOOKUP($E26&amp;S$5,'②-2勤務時間数入力'!$D$7:$Q$106,$P26,FALSE)</f>
        <v>#N/A</v>
      </c>
      <c r="T26" s="343" t="str">
        <f>IF(ISERROR(S26),"×",IF(S26="-","×","○"))</f>
        <v>×</v>
      </c>
      <c r="U26" s="343" t="e">
        <f>VLOOKUP($E26&amp;U$5,'②-2勤務時間数入力'!$D$7:$Q$106,$P26,FALSE)</f>
        <v>#N/A</v>
      </c>
      <c r="V26" s="343" t="str">
        <f>IF(ISERROR(U26),"×",IF(U26="-","×","○"))</f>
        <v>×</v>
      </c>
      <c r="W26" s="343" t="e">
        <f>VLOOKUP($E26&amp;W$5,'②-2勤務時間数入力'!$D$7:$Q$106,$P26,FALSE)</f>
        <v>#N/A</v>
      </c>
      <c r="X26" s="343" t="str">
        <f>IF(ISERROR(W26),"×",IF(W26="-","×","○"))</f>
        <v>×</v>
      </c>
      <c r="AB26" s="455" t="str">
        <f t="shared" si="8"/>
        <v>〇</v>
      </c>
      <c r="AC26" s="455" t="str">
        <f t="shared" si="9"/>
        <v>〇</v>
      </c>
      <c r="AD26" s="455" t="str">
        <f t="shared" si="10"/>
        <v>〇</v>
      </c>
    </row>
    <row r="27" spans="1:30" ht="13.5" customHeight="1">
      <c r="A27" s="861"/>
      <c r="B27" s="864"/>
      <c r="C27" s="875"/>
      <c r="D27" s="859"/>
      <c r="E27" s="546" t="str">
        <f t="shared" ref="E27:F27" si="53">IF(E21="","",E21)</f>
        <v/>
      </c>
      <c r="F27" s="484" t="str">
        <f t="shared" si="53"/>
        <v/>
      </c>
      <c r="G27" s="494" t="str">
        <f t="shared" si="42"/>
        <v/>
      </c>
      <c r="H27" s="495" t="str">
        <f t="shared" si="43"/>
        <v/>
      </c>
      <c r="I27" s="545" t="str">
        <f>IF($E27="","",IF($G27="正規職員","-",IF(AND(EXACT($C18,$C24),EXACT($E21,$E27),EXACT($G21,$G27)),I21,"賃金単価を記載")))</f>
        <v/>
      </c>
      <c r="J27" s="545" t="str">
        <f t="shared" si="47"/>
        <v/>
      </c>
      <c r="K27" s="545" t="str">
        <f>IF($E27="","",IF($G27="正規職員","-",IF(AND(EXACT($C18,$C24),EXACT($E21,$E27),EXACT($G21,$G27)),K21,"日額の交通費を記載（定期利用の場合は月額)")))</f>
        <v/>
      </c>
      <c r="L27" s="487" t="str">
        <f t="shared" si="44"/>
        <v/>
      </c>
      <c r="M27" s="487">
        <f>$M$6</f>
        <v>236166.66666667</v>
      </c>
      <c r="N27" s="487">
        <f t="shared" ref="N27" si="54">IFERROR(IF($C24="-","",IF(E27="","",IF(G27="正規職員",M27-M26,MIN(MIN(L27:M27),M26-N26)))),0)</f>
        <v>0</v>
      </c>
      <c r="O27" s="488" t="str">
        <f t="shared" si="49"/>
        <v/>
      </c>
      <c r="P27" s="343">
        <f t="shared" si="50"/>
        <v>6</v>
      </c>
      <c r="Q27" s="343" t="e">
        <f>VLOOKUP($E27&amp;Q$5,'②-2勤務時間数入力'!$D$7:$Q$106,$P27,FALSE)</f>
        <v>#N/A</v>
      </c>
      <c r="R27" s="343" t="str">
        <f>IF(ISERROR(Q27),"×",IF(Q27="-","×","○"))</f>
        <v>×</v>
      </c>
      <c r="S27" s="343" t="e">
        <f>VLOOKUP($E27&amp;S$5,'②-2勤務時間数入力'!$D$7:$Q$106,$P27,FALSE)</f>
        <v>#N/A</v>
      </c>
      <c r="T27" s="343" t="str">
        <f>IF(ISERROR(S27),"×",IF(S27="-","×","○"))</f>
        <v>×</v>
      </c>
      <c r="U27" s="343" t="e">
        <f>VLOOKUP($E27&amp;U$5,'②-2勤務時間数入力'!$D$7:$Q$106,$P27,FALSE)</f>
        <v>#N/A</v>
      </c>
      <c r="V27" s="343" t="str">
        <f>IF(ISERROR(U27),"×",IF(U27="-","×","○"))</f>
        <v>×</v>
      </c>
      <c r="W27" s="343" t="e">
        <f>VLOOKUP($E27&amp;W$5,'②-2勤務時間数入力'!$D$7:$Q$106,$P27,FALSE)</f>
        <v>#N/A</v>
      </c>
      <c r="X27" s="343" t="str">
        <f>IF(ISERROR(W27),"×",IF(W27="-","×","○"))</f>
        <v>×</v>
      </c>
      <c r="AB27" s="455" t="str">
        <f t="shared" si="8"/>
        <v>〇</v>
      </c>
      <c r="AC27" s="455" t="str">
        <f t="shared" si="9"/>
        <v>〇</v>
      </c>
      <c r="AD27" s="455" t="str">
        <f t="shared" si="10"/>
        <v>〇</v>
      </c>
    </row>
    <row r="28" spans="1:30" ht="13.5" customHeight="1">
      <c r="A28" s="861"/>
      <c r="B28" s="864"/>
      <c r="C28" s="875"/>
      <c r="D28" s="859"/>
      <c r="E28" s="546" t="str">
        <f t="shared" ref="E28:F28" si="55">IF(E22="","",E22)</f>
        <v/>
      </c>
      <c r="F28" s="484" t="str">
        <f t="shared" si="55"/>
        <v/>
      </c>
      <c r="G28" s="494" t="str">
        <f t="shared" si="42"/>
        <v/>
      </c>
      <c r="H28" s="495" t="str">
        <f t="shared" si="43"/>
        <v/>
      </c>
      <c r="I28" s="545" t="str">
        <f>IF($E28="","",IF($G28="正規職員","-",IF(AND(EXACT($C18,$C24),EXACT($E22,$E28),EXACT($G22,$G28)),I22,"賃金単価を記載")))</f>
        <v/>
      </c>
      <c r="J28" s="545" t="str">
        <f t="shared" si="47"/>
        <v/>
      </c>
      <c r="K28" s="545" t="str">
        <f>IF($E28="","",IF($G28="正規職員","-",IF(AND(EXACT($C18,$C24),EXACT($E22,$E28),EXACT($G22,$G28)),K22,"日額の交通費を記載（定期利用の場合は月額)")))</f>
        <v/>
      </c>
      <c r="L28" s="487" t="str">
        <f t="shared" si="44"/>
        <v/>
      </c>
      <c r="M28" s="487">
        <f>$M$6</f>
        <v>236166.66666667</v>
      </c>
      <c r="N28" s="487">
        <f t="shared" ref="N28" si="56">IFERROR(IF($C24="-","",IF(E28="","",IF(G28="正規職員",M28-M27,MIN(MIN(L28:M28),M27-N27)))),0)</f>
        <v>0</v>
      </c>
      <c r="O28" s="488" t="str">
        <f t="shared" si="49"/>
        <v/>
      </c>
      <c r="P28" s="343">
        <f t="shared" si="50"/>
        <v>6</v>
      </c>
      <c r="Q28" s="343" t="e">
        <f>VLOOKUP($E28&amp;Q$5,'②-2勤務時間数入力'!$D$7:$Q$106,$P28,FALSE)</f>
        <v>#N/A</v>
      </c>
      <c r="R28" s="343" t="str">
        <f>IF(ISERROR(Q28),"×",IF(Q28="-","×","○"))</f>
        <v>×</v>
      </c>
      <c r="S28" s="343" t="e">
        <f>VLOOKUP($E28&amp;S$5,'②-2勤務時間数入力'!$D$7:$Q$106,$P28,FALSE)</f>
        <v>#N/A</v>
      </c>
      <c r="T28" s="343" t="str">
        <f>IF(ISERROR(S28),"×",IF(S28="-","×","○"))</f>
        <v>×</v>
      </c>
      <c r="U28" s="343" t="e">
        <f>VLOOKUP($E28&amp;U$5,'②-2勤務時間数入力'!$D$7:$Q$106,$P28,FALSE)</f>
        <v>#N/A</v>
      </c>
      <c r="V28" s="343" t="str">
        <f>IF(ISERROR(U28),"×",IF(U28="-","×","○"))</f>
        <v>×</v>
      </c>
      <c r="W28" s="343" t="e">
        <f>VLOOKUP($E28&amp;W$5,'②-2勤務時間数入力'!$D$7:$Q$106,$P28,FALSE)</f>
        <v>#N/A</v>
      </c>
      <c r="X28" s="343" t="str">
        <f>IF(ISERROR(W28),"×",IF(W28="-","×","○"))</f>
        <v>×</v>
      </c>
      <c r="AB28" s="455" t="str">
        <f t="shared" si="8"/>
        <v>〇</v>
      </c>
      <c r="AC28" s="455" t="str">
        <f t="shared" si="9"/>
        <v>〇</v>
      </c>
      <c r="AD28" s="455" t="str">
        <f t="shared" si="10"/>
        <v>〇</v>
      </c>
    </row>
    <row r="29" spans="1:30" ht="13.5" customHeight="1">
      <c r="A29" s="862"/>
      <c r="B29" s="865"/>
      <c r="C29" s="876"/>
      <c r="D29" s="860"/>
      <c r="E29" s="342" t="s">
        <v>258</v>
      </c>
      <c r="F29" s="342"/>
      <c r="G29" s="494" t="s">
        <v>255</v>
      </c>
      <c r="H29" s="498"/>
      <c r="I29" s="486" t="s">
        <v>255</v>
      </c>
      <c r="J29" s="486"/>
      <c r="K29" s="486"/>
      <c r="L29" s="486" t="s">
        <v>255</v>
      </c>
      <c r="M29" s="486" t="s">
        <v>255</v>
      </c>
      <c r="N29" s="487">
        <f>MIN(IFERROR(IF(C24=1,IF(AND(B24="配置",OR(D24="調理師等",D24="栄養士")),MAX(SUM(N24:N28)-①基本情報!I38+10000,0),SUM(N24:N28)),0),0),$M$6)</f>
        <v>0</v>
      </c>
      <c r="O29" s="488" t="e">
        <f>IF(SUM(N24:N28)&gt;#REF!*$M$6,MIN($M$6,SUM(N24:N28)-ROUNDDOWN(#REF!*$M$6,0)),0)</f>
        <v>#REF!</v>
      </c>
      <c r="P29" s="343"/>
      <c r="Q29" s="343"/>
      <c r="R29" s="343"/>
      <c r="S29" s="343"/>
      <c r="T29" s="343"/>
      <c r="U29" s="343"/>
      <c r="V29" s="343"/>
      <c r="W29" s="343"/>
      <c r="X29" s="343"/>
      <c r="AB29" s="455"/>
      <c r="AC29" s="455"/>
      <c r="AD29" s="455"/>
    </row>
    <row r="30" spans="1:30" ht="13.5" customHeight="1">
      <c r="A30" s="844">
        <v>8</v>
      </c>
      <c r="B30" s="863" t="str">
        <f>IF(①基本情報!J36="有",①基本情報!J37,"無")</f>
        <v>無</v>
      </c>
      <c r="C30" s="874" t="e">
        <f>加算判定!K8</f>
        <v>#N/A</v>
      </c>
      <c r="D30" s="858" t="e">
        <f>加算判定!L8</f>
        <v>#N/A</v>
      </c>
      <c r="E30" s="546" t="str">
        <f>IF(E24="","",E24)</f>
        <v/>
      </c>
      <c r="F30" s="484" t="str">
        <f>IF(F24="","",F24)</f>
        <v/>
      </c>
      <c r="G30" s="494" t="str">
        <f t="shared" ref="G30:G34" si="57">IF(E30="","",IF(R30="○",Q$5,IF(T30="○",S$5,IF(V30="○",U$5,IF(X30="○",W$5,"ERROR")))))</f>
        <v/>
      </c>
      <c r="H30" s="495" t="str">
        <f t="shared" ref="H30:H34" si="58">IF(E30="","",IF(R30="○",Q30,IF(T30="○",S30,IF(V30="○",U30,IF(X30="○",W30,"ERROR")))))</f>
        <v/>
      </c>
      <c r="I30" s="545" t="str">
        <f>IF($E30="","",IF($G30="正規職員","-",IF(AND(EXACT($C24,$C30),EXACT($E24,$E30),EXACT($G24,$G30)),I24,"賃金単価を記載")))</f>
        <v/>
      </c>
      <c r="J30" s="545" t="str">
        <f>IF($E30="","",IF($G30="正規職員","-","勤務日数を記載（定期利用の場合、1と記載)"))</f>
        <v/>
      </c>
      <c r="K30" s="545" t="str">
        <f>IF($E30="","",IF($G30="正規職員","-",IF(AND(EXACT($C24,$C30),EXACT($E24,$E30),EXACT($G24,$G30)),K24,"日額の交通費を記載（定期利用の場合は月額)")))</f>
        <v/>
      </c>
      <c r="L30" s="487" t="str">
        <f t="shared" ref="L30:L34" si="59">IF($E30="","",IF($G30="正規職員","-",(H30*I30+J30*K30)))</f>
        <v/>
      </c>
      <c r="M30" s="487">
        <f>$M$6</f>
        <v>236166.66666667</v>
      </c>
      <c r="N30" s="487">
        <f t="shared" ref="N30" si="60">IFERROR(IF($C30="-","",IF(E30="",0,IF(G30="正規職員",M30,MIN(L30:M30)))),0)</f>
        <v>0</v>
      </c>
      <c r="O30" s="488" t="str">
        <f>IF(E30="","",IF(COUNTIFS(E30,"*給食室*")=1,"○","エラー"))</f>
        <v/>
      </c>
      <c r="P30" s="343">
        <v>7</v>
      </c>
      <c r="Q30" s="343" t="e">
        <f>VLOOKUP($E30&amp;Q$5,'②-2勤務時間数入力'!$D$7:$Q$106,$P30,FALSE)</f>
        <v>#N/A</v>
      </c>
      <c r="R30" s="343" t="str">
        <f>IF(ISERROR(Q30),"×",IF(Q30="-","×","○"))</f>
        <v>×</v>
      </c>
      <c r="S30" s="343" t="e">
        <f>VLOOKUP($E30&amp;S$5,'②-2勤務時間数入力'!$D$7:$Q$106,$P30,FALSE)</f>
        <v>#N/A</v>
      </c>
      <c r="T30" s="343" t="str">
        <f>IF(ISERROR(S30),"×",IF(S30="-","×","○"))</f>
        <v>×</v>
      </c>
      <c r="U30" s="343" t="e">
        <f>VLOOKUP($E30&amp;U$5,'②-2勤務時間数入力'!$D$7:$Q$106,$P30,FALSE)</f>
        <v>#N/A</v>
      </c>
      <c r="V30" s="343" t="str">
        <f>IF(ISERROR(U30),"×",IF(U30="-","×","○"))</f>
        <v>×</v>
      </c>
      <c r="W30" s="343" t="e">
        <f>VLOOKUP($E30&amp;W$5,'②-2勤務時間数入力'!$D$7:$Q$106,$P30,FALSE)</f>
        <v>#N/A</v>
      </c>
      <c r="X30" s="343" t="str">
        <f>IF(ISERROR(W30),"×",IF(W30="-","×","○"))</f>
        <v>×</v>
      </c>
      <c r="AA30" s="455" t="str">
        <f>IFERROR(IF(AND(C30=1,E30="",E31="",E32="",E33="",E34=""),"×","〇"),"〇")</f>
        <v>〇</v>
      </c>
      <c r="AB30" s="455" t="str">
        <f t="shared" si="8"/>
        <v>〇</v>
      </c>
      <c r="AC30" s="455" t="str">
        <f t="shared" si="9"/>
        <v>〇</v>
      </c>
      <c r="AD30" s="455" t="str">
        <f t="shared" si="10"/>
        <v>〇</v>
      </c>
    </row>
    <row r="31" spans="1:30" ht="13.5" customHeight="1">
      <c r="A31" s="861"/>
      <c r="B31" s="864"/>
      <c r="C31" s="875"/>
      <c r="D31" s="859"/>
      <c r="E31" s="546" t="str">
        <f t="shared" ref="E31:F31" si="61">IF(E25="","",E25)</f>
        <v/>
      </c>
      <c r="F31" s="484" t="str">
        <f t="shared" si="61"/>
        <v/>
      </c>
      <c r="G31" s="494" t="str">
        <f t="shared" si="57"/>
        <v/>
      </c>
      <c r="H31" s="495" t="str">
        <f t="shared" si="58"/>
        <v/>
      </c>
      <c r="I31" s="545" t="str">
        <f>IF($E31="","",IF($G31="正規職員","-",IF(AND(EXACT($C24,$C30),EXACT($E25,$E31),EXACT($G25,$G31)),I25,"賃金単価を記載")))</f>
        <v/>
      </c>
      <c r="J31" s="545" t="str">
        <f t="shared" ref="J31:J34" si="62">IF($E31="","",IF($G31="正規職員","-","勤務日数を記載（定期利用の場合、1と記載)"))</f>
        <v/>
      </c>
      <c r="K31" s="545" t="str">
        <f>IF($E31="","",IF($G31="正規職員","-",IF(AND(EXACT($C24,$C30),EXACT($E25,$E31),EXACT($G25,$G31)),K25,"日額の交通費を記載（定期利用の場合は月額)")))</f>
        <v/>
      </c>
      <c r="L31" s="487" t="str">
        <f t="shared" si="59"/>
        <v/>
      </c>
      <c r="M31" s="487">
        <f>$M$6</f>
        <v>236166.66666667</v>
      </c>
      <c r="N31" s="487">
        <f t="shared" ref="N31" si="63">IFERROR(IF($C30="-","",IF(E31="","",IF(G31="正規職員",M31-M30,MIN(MIN(L31:M31),M30-N30)))),0)</f>
        <v>0</v>
      </c>
      <c r="O31" s="488" t="str">
        <f t="shared" ref="O31:O34" si="64">IF(E31="","",IF(COUNTIFS(E31,"*給食室*")=1,"○","エラー"))</f>
        <v/>
      </c>
      <c r="P31" s="343">
        <f t="shared" ref="P31:P34" si="65">P30</f>
        <v>7</v>
      </c>
      <c r="Q31" s="343" t="e">
        <f>VLOOKUP($E31&amp;Q$5,'②-2勤務時間数入力'!$D$7:$Q$106,$P31,FALSE)</f>
        <v>#N/A</v>
      </c>
      <c r="R31" s="343" t="str">
        <f>IF(ISERROR(Q31),"×",IF(Q31="-","×","○"))</f>
        <v>×</v>
      </c>
      <c r="S31" s="343" t="e">
        <f>VLOOKUP($E31&amp;S$5,'②-2勤務時間数入力'!$D$7:$Q$106,$P31,FALSE)</f>
        <v>#N/A</v>
      </c>
      <c r="T31" s="343" t="str">
        <f>IF(ISERROR(S31),"×",IF(S31="-","×","○"))</f>
        <v>×</v>
      </c>
      <c r="U31" s="343" t="e">
        <f>VLOOKUP($E31&amp;U$5,'②-2勤務時間数入力'!$D$7:$Q$106,$P31,FALSE)</f>
        <v>#N/A</v>
      </c>
      <c r="V31" s="343" t="str">
        <f>IF(ISERROR(U31),"×",IF(U31="-","×","○"))</f>
        <v>×</v>
      </c>
      <c r="W31" s="343" t="e">
        <f>VLOOKUP($E31&amp;W$5,'②-2勤務時間数入力'!$D$7:$Q$106,$P31,FALSE)</f>
        <v>#N/A</v>
      </c>
      <c r="X31" s="343" t="str">
        <f>IF(ISERROR(W31),"×",IF(W31="-","×","○"))</f>
        <v>×</v>
      </c>
      <c r="AB31" s="455" t="str">
        <f t="shared" si="8"/>
        <v>〇</v>
      </c>
      <c r="AC31" s="455" t="str">
        <f t="shared" si="9"/>
        <v>〇</v>
      </c>
      <c r="AD31" s="455" t="str">
        <f t="shared" si="10"/>
        <v>〇</v>
      </c>
    </row>
    <row r="32" spans="1:30" ht="13.5" customHeight="1">
      <c r="A32" s="861"/>
      <c r="B32" s="864"/>
      <c r="C32" s="875"/>
      <c r="D32" s="859"/>
      <c r="E32" s="546" t="str">
        <f t="shared" ref="E32:F32" si="66">IF(E26="","",E26)</f>
        <v/>
      </c>
      <c r="F32" s="484" t="str">
        <f t="shared" si="66"/>
        <v/>
      </c>
      <c r="G32" s="494" t="str">
        <f t="shared" si="57"/>
        <v/>
      </c>
      <c r="H32" s="495" t="str">
        <f t="shared" si="58"/>
        <v/>
      </c>
      <c r="I32" s="545" t="str">
        <f>IF($E32="","",IF($G32="正規職員","-",IF(AND(EXACT($C24,$C30),EXACT($E26,$E32),EXACT($G26,$G32)),I26,"賃金単価を記載")))</f>
        <v/>
      </c>
      <c r="J32" s="545" t="str">
        <f t="shared" si="62"/>
        <v/>
      </c>
      <c r="K32" s="545" t="str">
        <f>IF($E32="","",IF($G32="正規職員","-",IF(AND(EXACT($C24,$C30),EXACT($E26,$E32),EXACT($G26,$G32)),K26,"日額の交通費を記載（定期利用の場合は月額)")))</f>
        <v/>
      </c>
      <c r="L32" s="487" t="str">
        <f t="shared" si="59"/>
        <v/>
      </c>
      <c r="M32" s="487">
        <f>$M$6</f>
        <v>236166.66666667</v>
      </c>
      <c r="N32" s="487">
        <f t="shared" ref="N32" si="67">IFERROR(IF($C30="-","",IF(E32="","",IF(G32="正規職員",M32-M31,MIN(MIN(L32:M32),M31-N31)))),0)</f>
        <v>0</v>
      </c>
      <c r="O32" s="488" t="str">
        <f t="shared" si="64"/>
        <v/>
      </c>
      <c r="P32" s="343">
        <f t="shared" si="65"/>
        <v>7</v>
      </c>
      <c r="Q32" s="343" t="e">
        <f>VLOOKUP($E32&amp;Q$5,'②-2勤務時間数入力'!$D$7:$Q$106,$P32,FALSE)</f>
        <v>#N/A</v>
      </c>
      <c r="R32" s="343" t="str">
        <f>IF(ISERROR(Q32),"×",IF(Q32="-","×","○"))</f>
        <v>×</v>
      </c>
      <c r="S32" s="343" t="e">
        <f>VLOOKUP($E32&amp;S$5,'②-2勤務時間数入力'!$D$7:$Q$106,$P32,FALSE)</f>
        <v>#N/A</v>
      </c>
      <c r="T32" s="343" t="str">
        <f>IF(ISERROR(S32),"×",IF(S32="-","×","○"))</f>
        <v>×</v>
      </c>
      <c r="U32" s="343" t="e">
        <f>VLOOKUP($E32&amp;U$5,'②-2勤務時間数入力'!$D$7:$Q$106,$P32,FALSE)</f>
        <v>#N/A</v>
      </c>
      <c r="V32" s="343" t="str">
        <f>IF(ISERROR(U32),"×",IF(U32="-","×","○"))</f>
        <v>×</v>
      </c>
      <c r="W32" s="343" t="e">
        <f>VLOOKUP($E32&amp;W$5,'②-2勤務時間数入力'!$D$7:$Q$106,$P32,FALSE)</f>
        <v>#N/A</v>
      </c>
      <c r="X32" s="343" t="str">
        <f>IF(ISERROR(W32),"×",IF(W32="-","×","○"))</f>
        <v>×</v>
      </c>
      <c r="AB32" s="455" t="str">
        <f t="shared" si="8"/>
        <v>〇</v>
      </c>
      <c r="AC32" s="455" t="str">
        <f t="shared" si="9"/>
        <v>〇</v>
      </c>
      <c r="AD32" s="455" t="str">
        <f t="shared" si="10"/>
        <v>〇</v>
      </c>
    </row>
    <row r="33" spans="1:30" ht="13.5" customHeight="1">
      <c r="A33" s="861"/>
      <c r="B33" s="864"/>
      <c r="C33" s="875"/>
      <c r="D33" s="859"/>
      <c r="E33" s="546" t="str">
        <f t="shared" ref="E33:F33" si="68">IF(E27="","",E27)</f>
        <v/>
      </c>
      <c r="F33" s="484" t="str">
        <f t="shared" si="68"/>
        <v/>
      </c>
      <c r="G33" s="494" t="str">
        <f t="shared" si="57"/>
        <v/>
      </c>
      <c r="H33" s="495" t="str">
        <f t="shared" si="58"/>
        <v/>
      </c>
      <c r="I33" s="545" t="str">
        <f>IF($E33="","",IF($G33="正規職員","-",IF(AND(EXACT($C24,$C30),EXACT($E27,$E33),EXACT($G27,$G33)),I27,"賃金単価を記載")))</f>
        <v/>
      </c>
      <c r="J33" s="545" t="str">
        <f t="shared" si="62"/>
        <v/>
      </c>
      <c r="K33" s="545" t="str">
        <f>IF($E33="","",IF($G33="正規職員","-",IF(AND(EXACT($C24,$C30),EXACT($E27,$E33),EXACT($G27,$G33)),K27,"日額の交通費を記載（定期利用の場合は月額)")))</f>
        <v/>
      </c>
      <c r="L33" s="487" t="str">
        <f t="shared" si="59"/>
        <v/>
      </c>
      <c r="M33" s="487">
        <f>$M$6</f>
        <v>236166.66666667</v>
      </c>
      <c r="N33" s="487">
        <f t="shared" ref="N33" si="69">IFERROR(IF($C30="-","",IF(E33="","",IF(G33="正規職員",M33-M32,MIN(MIN(L33:M33),M32-N32)))),0)</f>
        <v>0</v>
      </c>
      <c r="O33" s="488" t="str">
        <f t="shared" si="64"/>
        <v/>
      </c>
      <c r="P33" s="343">
        <f t="shared" si="65"/>
        <v>7</v>
      </c>
      <c r="Q33" s="343" t="e">
        <f>VLOOKUP($E33&amp;Q$5,'②-2勤務時間数入力'!$D$7:$Q$106,$P33,FALSE)</f>
        <v>#N/A</v>
      </c>
      <c r="R33" s="343" t="str">
        <f>IF(ISERROR(Q33),"×",IF(Q33="-","×","○"))</f>
        <v>×</v>
      </c>
      <c r="S33" s="343" t="e">
        <f>VLOOKUP($E33&amp;S$5,'②-2勤務時間数入力'!$D$7:$Q$106,$P33,FALSE)</f>
        <v>#N/A</v>
      </c>
      <c r="T33" s="343" t="str">
        <f>IF(ISERROR(S33),"×",IF(S33="-","×","○"))</f>
        <v>×</v>
      </c>
      <c r="U33" s="343" t="e">
        <f>VLOOKUP($E33&amp;U$5,'②-2勤務時間数入力'!$D$7:$Q$106,$P33,FALSE)</f>
        <v>#N/A</v>
      </c>
      <c r="V33" s="343" t="str">
        <f>IF(ISERROR(U33),"×",IF(U33="-","×","○"))</f>
        <v>×</v>
      </c>
      <c r="W33" s="343" t="e">
        <f>VLOOKUP($E33&amp;W$5,'②-2勤務時間数入力'!$D$7:$Q$106,$P33,FALSE)</f>
        <v>#N/A</v>
      </c>
      <c r="X33" s="343" t="str">
        <f>IF(ISERROR(W33),"×",IF(W33="-","×","○"))</f>
        <v>×</v>
      </c>
      <c r="AB33" s="455" t="str">
        <f t="shared" si="8"/>
        <v>〇</v>
      </c>
      <c r="AC33" s="455" t="str">
        <f t="shared" si="9"/>
        <v>〇</v>
      </c>
      <c r="AD33" s="455" t="str">
        <f t="shared" si="10"/>
        <v>〇</v>
      </c>
    </row>
    <row r="34" spans="1:30" ht="13.5" customHeight="1">
      <c r="A34" s="861"/>
      <c r="B34" s="864"/>
      <c r="C34" s="875"/>
      <c r="D34" s="859"/>
      <c r="E34" s="546" t="str">
        <f t="shared" ref="E34:F34" si="70">IF(E28="","",E28)</f>
        <v/>
      </c>
      <c r="F34" s="484" t="str">
        <f t="shared" si="70"/>
        <v/>
      </c>
      <c r="G34" s="494" t="str">
        <f t="shared" si="57"/>
        <v/>
      </c>
      <c r="H34" s="495" t="str">
        <f t="shared" si="58"/>
        <v/>
      </c>
      <c r="I34" s="545" t="str">
        <f>IF($E34="","",IF($G34="正規職員","-",IF(AND(EXACT($C24,$C30),EXACT($E28,$E34),EXACT($G28,$G34)),I28,"賃金単価を記載")))</f>
        <v/>
      </c>
      <c r="J34" s="545" t="str">
        <f t="shared" si="62"/>
        <v/>
      </c>
      <c r="K34" s="545" t="str">
        <f>IF($E34="","",IF($G34="正規職員","-",IF(AND(EXACT($C24,$C30),EXACT($E28,$E34),EXACT($G28,$G34)),K28,"日額の交通費を記載（定期利用の場合は月額)")))</f>
        <v/>
      </c>
      <c r="L34" s="487" t="str">
        <f t="shared" si="59"/>
        <v/>
      </c>
      <c r="M34" s="487">
        <f>$M$6</f>
        <v>236166.66666667</v>
      </c>
      <c r="N34" s="487">
        <f t="shared" ref="N34" si="71">IFERROR(IF($C30="-","",IF(E34="","",IF(G34="正規職員",M34-M33,MIN(MIN(L34:M34),M33-N33)))),0)</f>
        <v>0</v>
      </c>
      <c r="O34" s="488" t="str">
        <f t="shared" si="64"/>
        <v/>
      </c>
      <c r="P34" s="343">
        <f t="shared" si="65"/>
        <v>7</v>
      </c>
      <c r="Q34" s="343" t="e">
        <f>VLOOKUP($E34&amp;Q$5,'②-2勤務時間数入力'!$D$7:$Q$106,$P34,FALSE)</f>
        <v>#N/A</v>
      </c>
      <c r="R34" s="343" t="str">
        <f>IF(ISERROR(Q34),"×",IF(Q34="-","×","○"))</f>
        <v>×</v>
      </c>
      <c r="S34" s="343" t="e">
        <f>VLOOKUP($E34&amp;S$5,'②-2勤務時間数入力'!$D$7:$Q$106,$P34,FALSE)</f>
        <v>#N/A</v>
      </c>
      <c r="T34" s="343" t="str">
        <f>IF(ISERROR(S34),"×",IF(S34="-","×","○"))</f>
        <v>×</v>
      </c>
      <c r="U34" s="343" t="e">
        <f>VLOOKUP($E34&amp;U$5,'②-2勤務時間数入力'!$D$7:$Q$106,$P34,FALSE)</f>
        <v>#N/A</v>
      </c>
      <c r="V34" s="343" t="str">
        <f>IF(ISERROR(U34),"×",IF(U34="-","×","○"))</f>
        <v>×</v>
      </c>
      <c r="W34" s="343" t="e">
        <f>VLOOKUP($E34&amp;W$5,'②-2勤務時間数入力'!$D$7:$Q$106,$P34,FALSE)</f>
        <v>#N/A</v>
      </c>
      <c r="X34" s="343" t="str">
        <f>IF(ISERROR(W34),"×",IF(W34="-","×","○"))</f>
        <v>×</v>
      </c>
      <c r="AB34" s="455" t="str">
        <f t="shared" si="8"/>
        <v>〇</v>
      </c>
      <c r="AC34" s="455" t="str">
        <f t="shared" si="9"/>
        <v>〇</v>
      </c>
      <c r="AD34" s="455" t="str">
        <f t="shared" si="10"/>
        <v>〇</v>
      </c>
    </row>
    <row r="35" spans="1:30" ht="13.5" customHeight="1">
      <c r="A35" s="862"/>
      <c r="B35" s="865"/>
      <c r="C35" s="876"/>
      <c r="D35" s="860"/>
      <c r="E35" s="342" t="s">
        <v>259</v>
      </c>
      <c r="F35" s="342"/>
      <c r="G35" s="494" t="s">
        <v>255</v>
      </c>
      <c r="H35" s="498"/>
      <c r="I35" s="486" t="s">
        <v>255</v>
      </c>
      <c r="J35" s="486"/>
      <c r="K35" s="486"/>
      <c r="L35" s="486" t="s">
        <v>255</v>
      </c>
      <c r="M35" s="486" t="s">
        <v>255</v>
      </c>
      <c r="N35" s="487">
        <f>MIN(IFERROR(IF(C30=1,IF(AND(B30="配置",OR(D30="調理師等",D30="栄養士")),MAX(SUM(N30:N34)-①基本情報!J38+10000,0),SUM(N30:N34)),0),0),$M$6)</f>
        <v>0</v>
      </c>
      <c r="O35" s="488" t="e">
        <f>IF(SUM(N30:N34)&gt;#REF!*$M$6,MIN($M$6,SUM(N30:N34)-ROUNDDOWN(#REF!*$M$6,0)),0)</f>
        <v>#REF!</v>
      </c>
      <c r="P35" s="343"/>
      <c r="Q35" s="343"/>
      <c r="R35" s="343"/>
      <c r="S35" s="343"/>
      <c r="T35" s="343"/>
      <c r="U35" s="343"/>
      <c r="V35" s="343"/>
      <c r="W35" s="343"/>
      <c r="X35" s="343"/>
      <c r="AB35" s="455"/>
      <c r="AC35" s="455"/>
      <c r="AD35" s="455"/>
    </row>
    <row r="36" spans="1:30" ht="13.5" customHeight="1">
      <c r="A36" s="844">
        <v>9</v>
      </c>
      <c r="B36" s="863" t="str">
        <f>IF(①基本情報!K36="有",①基本情報!K37,"無")</f>
        <v>無</v>
      </c>
      <c r="C36" s="874" t="e">
        <f>加算判定!K9</f>
        <v>#N/A</v>
      </c>
      <c r="D36" s="858" t="e">
        <f>加算判定!L9</f>
        <v>#N/A</v>
      </c>
      <c r="E36" s="546" t="str">
        <f>IF(E30="","",E30)</f>
        <v/>
      </c>
      <c r="F36" s="484" t="str">
        <f>IF(F30="","",F30)</f>
        <v/>
      </c>
      <c r="G36" s="494" t="str">
        <f t="shared" ref="G36:G40" si="72">IF(E36="","",IF(R36="○",Q$5,IF(T36="○",S$5,IF(V36="○",U$5,IF(X36="○",W$5,"ERROR")))))</f>
        <v/>
      </c>
      <c r="H36" s="495" t="str">
        <f t="shared" ref="H36:H40" si="73">IF(E36="","",IF(R36="○",Q36,IF(T36="○",S36,IF(V36="○",U36,IF(X36="○",W36,"ERROR")))))</f>
        <v/>
      </c>
      <c r="I36" s="545" t="str">
        <f>IF($E36="","",IF($G36="正規職員","-",IF(AND(EXACT($C30,$C36),EXACT($E30,$E36),EXACT($G30,$G36)),I30,"賃金単価を記載")))</f>
        <v/>
      </c>
      <c r="J36" s="545" t="str">
        <f>IF($E36="","",IF($G36="正規職員","-","勤務日数を記載（定期利用の場合、1と記載)"))</f>
        <v/>
      </c>
      <c r="K36" s="545" t="str">
        <f>IF($E36="","",IF($G36="正規職員","-",IF(AND(EXACT($C30,$C36),EXACT($E30,$E36),EXACT($G30,$G36)),K30,"日額の交通費を記載（定期利用の場合は月額)")))</f>
        <v/>
      </c>
      <c r="L36" s="487" t="str">
        <f t="shared" ref="L36:L40" si="74">IF($E36="","",IF($G36="正規職員","-",(H36*I36+J36*K36)))</f>
        <v/>
      </c>
      <c r="M36" s="487">
        <f>$M$6</f>
        <v>236166.66666667</v>
      </c>
      <c r="N36" s="487">
        <f t="shared" ref="N36" si="75">IFERROR(IF($C36="-","",IF(E36="",0,IF(G36="正規職員",M36,MIN(L36:M36)))),0)</f>
        <v>0</v>
      </c>
      <c r="O36" s="488" t="str">
        <f>IF(E36="","",IF(COUNTIFS(E36,"*給食室*")=1,"○","エラー"))</f>
        <v/>
      </c>
      <c r="P36" s="343">
        <v>8</v>
      </c>
      <c r="Q36" s="343" t="e">
        <f>VLOOKUP($E36&amp;Q$5,'②-2勤務時間数入力'!$D$7:$Q$106,$P36,FALSE)</f>
        <v>#N/A</v>
      </c>
      <c r="R36" s="343" t="str">
        <f>IF(ISERROR(Q36),"×",IF(Q36="-","×","○"))</f>
        <v>×</v>
      </c>
      <c r="S36" s="343" t="e">
        <f>VLOOKUP($E36&amp;S$5,'②-2勤務時間数入力'!$D$7:$Q$106,$P36,FALSE)</f>
        <v>#N/A</v>
      </c>
      <c r="T36" s="343" t="str">
        <f>IF(ISERROR(S36),"×",IF(S36="-","×","○"))</f>
        <v>×</v>
      </c>
      <c r="U36" s="343" t="e">
        <f>VLOOKUP($E36&amp;U$5,'②-2勤務時間数入力'!$D$7:$Q$106,$P36,FALSE)</f>
        <v>#N/A</v>
      </c>
      <c r="V36" s="343" t="str">
        <f>IF(ISERROR(U36),"×",IF(U36="-","×","○"))</f>
        <v>×</v>
      </c>
      <c r="W36" s="343" t="e">
        <f>VLOOKUP($E36&amp;W$5,'②-2勤務時間数入力'!$D$7:$Q$106,$P36,FALSE)</f>
        <v>#N/A</v>
      </c>
      <c r="X36" s="343" t="str">
        <f>IF(ISERROR(W36),"×",IF(W36="-","×","○"))</f>
        <v>×</v>
      </c>
      <c r="AA36" s="455" t="str">
        <f>IFERROR(IF(AND(C36=1,E36="",E37="",E38="",E39="",E40=""),"×","〇"),"〇")</f>
        <v>〇</v>
      </c>
      <c r="AB36" s="455" t="str">
        <f t="shared" si="8"/>
        <v>〇</v>
      </c>
      <c r="AC36" s="455" t="str">
        <f t="shared" si="9"/>
        <v>〇</v>
      </c>
      <c r="AD36" s="455" t="str">
        <f t="shared" si="10"/>
        <v>〇</v>
      </c>
    </row>
    <row r="37" spans="1:30" ht="13.5" customHeight="1">
      <c r="A37" s="861"/>
      <c r="B37" s="864"/>
      <c r="C37" s="875"/>
      <c r="D37" s="859"/>
      <c r="E37" s="546" t="str">
        <f t="shared" ref="E37:F37" si="76">IF(E31="","",E31)</f>
        <v/>
      </c>
      <c r="F37" s="484" t="str">
        <f t="shared" si="76"/>
        <v/>
      </c>
      <c r="G37" s="494" t="str">
        <f t="shared" si="72"/>
        <v/>
      </c>
      <c r="H37" s="495" t="str">
        <f t="shared" si="73"/>
        <v/>
      </c>
      <c r="I37" s="545" t="str">
        <f>IF($E37="","",IF($G37="正規職員","-",IF(AND(EXACT($C30,$C36),EXACT($E31,$E37),EXACT($G31,$G37)),I31,"賃金単価を記載")))</f>
        <v/>
      </c>
      <c r="J37" s="545" t="str">
        <f t="shared" ref="J37:J40" si="77">IF($E37="","",IF($G37="正規職員","-","勤務日数を記載（定期利用の場合、1と記載)"))</f>
        <v/>
      </c>
      <c r="K37" s="545" t="str">
        <f>IF($E37="","",IF($G37="正規職員","-",IF(AND(EXACT($C30,$C36),EXACT($E31,$E37),EXACT($G31,$G37)),K31,"日額の交通費を記載（定期利用の場合は月額)")))</f>
        <v/>
      </c>
      <c r="L37" s="487" t="str">
        <f t="shared" si="74"/>
        <v/>
      </c>
      <c r="M37" s="487">
        <f>$M$6</f>
        <v>236166.66666667</v>
      </c>
      <c r="N37" s="487">
        <f t="shared" ref="N37" si="78">IFERROR(IF($C36="-","",IF(E37="","",IF(G37="正規職員",M37-M36,MIN(MIN(L37:M37),M36-N36)))),0)</f>
        <v>0</v>
      </c>
      <c r="O37" s="488" t="str">
        <f t="shared" ref="O37:O40" si="79">IF(E37="","",IF(COUNTIFS(E37,"*給食室*")=1,"○","エラー"))</f>
        <v/>
      </c>
      <c r="P37" s="343">
        <f t="shared" ref="P37:P40" si="80">P36</f>
        <v>8</v>
      </c>
      <c r="Q37" s="343" t="e">
        <f>VLOOKUP($E37&amp;Q$5,'②-2勤務時間数入力'!$D$7:$Q$106,$P37,FALSE)</f>
        <v>#N/A</v>
      </c>
      <c r="R37" s="343" t="str">
        <f>IF(ISERROR(Q37),"×",IF(Q37="-","×","○"))</f>
        <v>×</v>
      </c>
      <c r="S37" s="343" t="e">
        <f>VLOOKUP($E37&amp;S$5,'②-2勤務時間数入力'!$D$7:$Q$106,$P37,FALSE)</f>
        <v>#N/A</v>
      </c>
      <c r="T37" s="343" t="str">
        <f>IF(ISERROR(S37),"×",IF(S37="-","×","○"))</f>
        <v>×</v>
      </c>
      <c r="U37" s="343" t="e">
        <f>VLOOKUP($E37&amp;U$5,'②-2勤務時間数入力'!$D$7:$Q$106,$P37,FALSE)</f>
        <v>#N/A</v>
      </c>
      <c r="V37" s="343" t="str">
        <f>IF(ISERROR(U37),"×",IF(U37="-","×","○"))</f>
        <v>×</v>
      </c>
      <c r="W37" s="343" t="e">
        <f>VLOOKUP($E37&amp;W$5,'②-2勤務時間数入力'!$D$7:$Q$106,$P37,FALSE)</f>
        <v>#N/A</v>
      </c>
      <c r="X37" s="343" t="str">
        <f>IF(ISERROR(W37),"×",IF(W37="-","×","○"))</f>
        <v>×</v>
      </c>
      <c r="AB37" s="455" t="str">
        <f t="shared" si="8"/>
        <v>〇</v>
      </c>
      <c r="AC37" s="455" t="str">
        <f t="shared" si="9"/>
        <v>〇</v>
      </c>
      <c r="AD37" s="455" t="str">
        <f t="shared" si="10"/>
        <v>〇</v>
      </c>
    </row>
    <row r="38" spans="1:30" ht="13.5" customHeight="1">
      <c r="A38" s="861"/>
      <c r="B38" s="864"/>
      <c r="C38" s="875"/>
      <c r="D38" s="859"/>
      <c r="E38" s="546" t="str">
        <f t="shared" ref="E38:F38" si="81">IF(E32="","",E32)</f>
        <v/>
      </c>
      <c r="F38" s="484" t="str">
        <f t="shared" si="81"/>
        <v/>
      </c>
      <c r="G38" s="494" t="str">
        <f t="shared" si="72"/>
        <v/>
      </c>
      <c r="H38" s="495" t="str">
        <f t="shared" si="73"/>
        <v/>
      </c>
      <c r="I38" s="545" t="str">
        <f>IF($E38="","",IF($G38="正規職員","-",IF(AND(EXACT($C30,$C36),EXACT($E32,$E38),EXACT($G32,$G38)),I32,"賃金単価を記載")))</f>
        <v/>
      </c>
      <c r="J38" s="545" t="str">
        <f t="shared" si="77"/>
        <v/>
      </c>
      <c r="K38" s="545" t="str">
        <f>IF($E38="","",IF($G38="正規職員","-",IF(AND(EXACT($C30,$C36),EXACT($E32,$E38),EXACT($G32,$G38)),K32,"日額の交通費を記載（定期利用の場合は月額)")))</f>
        <v/>
      </c>
      <c r="L38" s="487" t="str">
        <f t="shared" si="74"/>
        <v/>
      </c>
      <c r="M38" s="487">
        <f>$M$6</f>
        <v>236166.66666667</v>
      </c>
      <c r="N38" s="487">
        <f t="shared" ref="N38" si="82">IFERROR(IF($C36="-","",IF(E38="","",IF(G38="正規職員",M38-M37,MIN(MIN(L38:M38),M37-N37)))),0)</f>
        <v>0</v>
      </c>
      <c r="O38" s="488" t="str">
        <f t="shared" si="79"/>
        <v/>
      </c>
      <c r="P38" s="343">
        <f t="shared" si="80"/>
        <v>8</v>
      </c>
      <c r="Q38" s="343" t="e">
        <f>VLOOKUP($E38&amp;Q$5,'②-2勤務時間数入力'!$D$7:$Q$106,$P38,FALSE)</f>
        <v>#N/A</v>
      </c>
      <c r="R38" s="343" t="str">
        <f>IF(ISERROR(Q38),"×",IF(Q38="-","×","○"))</f>
        <v>×</v>
      </c>
      <c r="S38" s="343" t="e">
        <f>VLOOKUP($E38&amp;S$5,'②-2勤務時間数入力'!$D$7:$Q$106,$P38,FALSE)</f>
        <v>#N/A</v>
      </c>
      <c r="T38" s="343" t="str">
        <f>IF(ISERROR(S38),"×",IF(S38="-","×","○"))</f>
        <v>×</v>
      </c>
      <c r="U38" s="343" t="e">
        <f>VLOOKUP($E38&amp;U$5,'②-2勤務時間数入力'!$D$7:$Q$106,$P38,FALSE)</f>
        <v>#N/A</v>
      </c>
      <c r="V38" s="343" t="str">
        <f>IF(ISERROR(U38),"×",IF(U38="-","×","○"))</f>
        <v>×</v>
      </c>
      <c r="W38" s="343" t="e">
        <f>VLOOKUP($E38&amp;W$5,'②-2勤務時間数入力'!$D$7:$Q$106,$P38,FALSE)</f>
        <v>#N/A</v>
      </c>
      <c r="X38" s="343" t="str">
        <f>IF(ISERROR(W38),"×",IF(W38="-","×","○"))</f>
        <v>×</v>
      </c>
      <c r="AB38" s="455" t="str">
        <f t="shared" si="8"/>
        <v>〇</v>
      </c>
      <c r="AC38" s="455" t="str">
        <f t="shared" si="9"/>
        <v>〇</v>
      </c>
      <c r="AD38" s="455" t="str">
        <f t="shared" si="10"/>
        <v>〇</v>
      </c>
    </row>
    <row r="39" spans="1:30" ht="13.5" customHeight="1">
      <c r="A39" s="861"/>
      <c r="B39" s="864"/>
      <c r="C39" s="875"/>
      <c r="D39" s="859"/>
      <c r="E39" s="546" t="str">
        <f t="shared" ref="E39:F39" si="83">IF(E33="","",E33)</f>
        <v/>
      </c>
      <c r="F39" s="484" t="str">
        <f t="shared" si="83"/>
        <v/>
      </c>
      <c r="G39" s="494" t="str">
        <f t="shared" si="72"/>
        <v/>
      </c>
      <c r="H39" s="495" t="str">
        <f t="shared" si="73"/>
        <v/>
      </c>
      <c r="I39" s="545" t="str">
        <f>IF($E39="","",IF($G39="正規職員","-",IF(AND(EXACT($C30,$C36),EXACT($E33,$E39),EXACT($G33,$G39)),I33,"賃金単価を記載")))</f>
        <v/>
      </c>
      <c r="J39" s="545" t="str">
        <f t="shared" si="77"/>
        <v/>
      </c>
      <c r="K39" s="545" t="str">
        <f>IF($E39="","",IF($G39="正規職員","-",IF(AND(EXACT($C30,$C36),EXACT($E33,$E39),EXACT($G33,$G39)),K33,"日額の交通費を記載（定期利用の場合は月額)")))</f>
        <v/>
      </c>
      <c r="L39" s="487" t="str">
        <f t="shared" si="74"/>
        <v/>
      </c>
      <c r="M39" s="487">
        <f>$M$6</f>
        <v>236166.66666667</v>
      </c>
      <c r="N39" s="487">
        <f t="shared" ref="N39" si="84">IFERROR(IF($C36="-","",IF(E39="","",IF(G39="正規職員",M39-M38,MIN(MIN(L39:M39),M38-N38)))),0)</f>
        <v>0</v>
      </c>
      <c r="O39" s="488" t="str">
        <f t="shared" si="79"/>
        <v/>
      </c>
      <c r="P39" s="343">
        <f t="shared" si="80"/>
        <v>8</v>
      </c>
      <c r="Q39" s="343" t="e">
        <f>VLOOKUP($E39&amp;Q$5,'②-2勤務時間数入力'!$D$7:$Q$106,$P39,FALSE)</f>
        <v>#N/A</v>
      </c>
      <c r="R39" s="343" t="str">
        <f>IF(ISERROR(Q39),"×",IF(Q39="-","×","○"))</f>
        <v>×</v>
      </c>
      <c r="S39" s="343" t="e">
        <f>VLOOKUP($E39&amp;S$5,'②-2勤務時間数入力'!$D$7:$Q$106,$P39,FALSE)</f>
        <v>#N/A</v>
      </c>
      <c r="T39" s="343" t="str">
        <f>IF(ISERROR(S39),"×",IF(S39="-","×","○"))</f>
        <v>×</v>
      </c>
      <c r="U39" s="343" t="e">
        <f>VLOOKUP($E39&amp;U$5,'②-2勤務時間数入力'!$D$7:$Q$106,$P39,FALSE)</f>
        <v>#N/A</v>
      </c>
      <c r="V39" s="343" t="str">
        <f>IF(ISERROR(U39),"×",IF(U39="-","×","○"))</f>
        <v>×</v>
      </c>
      <c r="W39" s="343" t="e">
        <f>VLOOKUP($E39&amp;W$5,'②-2勤務時間数入力'!$D$7:$Q$106,$P39,FALSE)</f>
        <v>#N/A</v>
      </c>
      <c r="X39" s="343" t="str">
        <f>IF(ISERROR(W39),"×",IF(W39="-","×","○"))</f>
        <v>×</v>
      </c>
      <c r="AB39" s="455" t="str">
        <f t="shared" si="8"/>
        <v>〇</v>
      </c>
      <c r="AC39" s="455" t="str">
        <f t="shared" si="9"/>
        <v>〇</v>
      </c>
      <c r="AD39" s="455" t="str">
        <f t="shared" si="10"/>
        <v>〇</v>
      </c>
    </row>
    <row r="40" spans="1:30" ht="13.5" customHeight="1">
      <c r="A40" s="861"/>
      <c r="B40" s="864"/>
      <c r="C40" s="875"/>
      <c r="D40" s="859"/>
      <c r="E40" s="546" t="str">
        <f t="shared" ref="E40:F40" si="85">IF(E34="","",E34)</f>
        <v/>
      </c>
      <c r="F40" s="484" t="str">
        <f t="shared" si="85"/>
        <v/>
      </c>
      <c r="G40" s="494" t="str">
        <f t="shared" si="72"/>
        <v/>
      </c>
      <c r="H40" s="495" t="str">
        <f t="shared" si="73"/>
        <v/>
      </c>
      <c r="I40" s="545" t="str">
        <f>IF($E40="","",IF($G40="正規職員","-",IF(AND(EXACT($C30,$C36),EXACT($E34,$E40),EXACT($G34,$G40)),I34,"賃金単価を記載")))</f>
        <v/>
      </c>
      <c r="J40" s="545" t="str">
        <f t="shared" si="77"/>
        <v/>
      </c>
      <c r="K40" s="545" t="str">
        <f>IF($E40="","",IF($G40="正規職員","-",IF(AND(EXACT($C30,$C36),EXACT($E34,$E40),EXACT($G34,$G40)),K34,"日額の交通費を記載（定期利用の場合は月額)")))</f>
        <v/>
      </c>
      <c r="L40" s="487" t="str">
        <f t="shared" si="74"/>
        <v/>
      </c>
      <c r="M40" s="487">
        <f>$M$6</f>
        <v>236166.66666667</v>
      </c>
      <c r="N40" s="487">
        <f t="shared" ref="N40" si="86">IFERROR(IF($C36="-","",IF(E40="","",IF(G40="正規職員",M40-M39,MIN(MIN(L40:M40),M39-N39)))),0)</f>
        <v>0</v>
      </c>
      <c r="O40" s="488" t="str">
        <f t="shared" si="79"/>
        <v/>
      </c>
      <c r="P40" s="343">
        <f t="shared" si="80"/>
        <v>8</v>
      </c>
      <c r="Q40" s="343" t="e">
        <f>VLOOKUP($E40&amp;Q$5,'②-2勤務時間数入力'!$D$7:$Q$106,$P40,FALSE)</f>
        <v>#N/A</v>
      </c>
      <c r="R40" s="343" t="str">
        <f>IF(ISERROR(Q40),"×",IF(Q40="-","×","○"))</f>
        <v>×</v>
      </c>
      <c r="S40" s="343" t="e">
        <f>VLOOKUP($E40&amp;S$5,'②-2勤務時間数入力'!$D$7:$Q$106,$P40,FALSE)</f>
        <v>#N/A</v>
      </c>
      <c r="T40" s="343" t="str">
        <f>IF(ISERROR(S40),"×",IF(S40="-","×","○"))</f>
        <v>×</v>
      </c>
      <c r="U40" s="343" t="e">
        <f>VLOOKUP($E40&amp;U$5,'②-2勤務時間数入力'!$D$7:$Q$106,$P40,FALSE)</f>
        <v>#N/A</v>
      </c>
      <c r="V40" s="343" t="str">
        <f>IF(ISERROR(U40),"×",IF(U40="-","×","○"))</f>
        <v>×</v>
      </c>
      <c r="W40" s="343" t="e">
        <f>VLOOKUP($E40&amp;W$5,'②-2勤務時間数入力'!$D$7:$Q$106,$P40,FALSE)</f>
        <v>#N/A</v>
      </c>
      <c r="X40" s="343" t="str">
        <f>IF(ISERROR(W40),"×",IF(W40="-","×","○"))</f>
        <v>×</v>
      </c>
      <c r="AB40" s="455" t="str">
        <f t="shared" si="8"/>
        <v>〇</v>
      </c>
      <c r="AC40" s="455" t="str">
        <f t="shared" si="9"/>
        <v>〇</v>
      </c>
      <c r="AD40" s="455" t="str">
        <f t="shared" si="10"/>
        <v>〇</v>
      </c>
    </row>
    <row r="41" spans="1:30" ht="13.5" customHeight="1">
      <c r="A41" s="862"/>
      <c r="B41" s="865"/>
      <c r="C41" s="876"/>
      <c r="D41" s="860"/>
      <c r="E41" s="342" t="s">
        <v>260</v>
      </c>
      <c r="F41" s="342"/>
      <c r="G41" s="494" t="s">
        <v>255</v>
      </c>
      <c r="H41" s="498"/>
      <c r="I41" s="486" t="s">
        <v>255</v>
      </c>
      <c r="J41" s="486"/>
      <c r="K41" s="486"/>
      <c r="L41" s="486" t="s">
        <v>255</v>
      </c>
      <c r="M41" s="486" t="s">
        <v>255</v>
      </c>
      <c r="N41" s="487">
        <f>MIN(IFERROR(IF(C36=1,IF(AND(B36="配置",OR(D36="調理師等",D36="栄養士")),MAX(SUM(N36:N40)-①基本情報!K38+10000,0),SUM(N36:N40)),0),0),$M$6)</f>
        <v>0</v>
      </c>
      <c r="O41" s="488" t="e">
        <f>IF(SUM(N36:N40)&gt;#REF!*$M$6,MIN($M$6,SUM(N36:N40)-ROUNDDOWN(#REF!*$M$6,0)),0)</f>
        <v>#REF!</v>
      </c>
      <c r="P41" s="343"/>
      <c r="Q41" s="343"/>
      <c r="R41" s="343"/>
      <c r="S41" s="343"/>
      <c r="T41" s="343"/>
      <c r="U41" s="343"/>
      <c r="V41" s="343"/>
      <c r="W41" s="343"/>
      <c r="X41" s="343"/>
      <c r="AB41" s="455"/>
      <c r="AC41" s="455"/>
      <c r="AD41" s="455"/>
    </row>
    <row r="42" spans="1:30" ht="13.5" customHeight="1">
      <c r="A42" s="844">
        <v>10</v>
      </c>
      <c r="B42" s="863" t="str">
        <f>IF(①基本情報!L36="有",①基本情報!L37,"無")</f>
        <v>無</v>
      </c>
      <c r="C42" s="874" t="e">
        <f>加算判定!K10</f>
        <v>#N/A</v>
      </c>
      <c r="D42" s="858" t="e">
        <f>加算判定!L10</f>
        <v>#N/A</v>
      </c>
      <c r="E42" s="546" t="str">
        <f>IF(E36="","",E36)</f>
        <v/>
      </c>
      <c r="F42" s="484" t="str">
        <f>IF(F36="","",F36)</f>
        <v/>
      </c>
      <c r="G42" s="494" t="str">
        <f t="shared" ref="G42:G46" si="87">IF(E42="","",IF(R42="○",Q$5,IF(T42="○",S$5,IF(V42="○",U$5,IF(X42="○",W$5,"ERROR")))))</f>
        <v/>
      </c>
      <c r="H42" s="495" t="str">
        <f t="shared" ref="H42:H46" si="88">IF(E42="","",IF(R42="○",Q42,IF(T42="○",S42,IF(V42="○",U42,IF(X42="○",W42,"ERROR")))))</f>
        <v/>
      </c>
      <c r="I42" s="545" t="str">
        <f>IF($E42="","",IF($G42="正規職員","-",IF(AND(EXACT($C36,$C42),EXACT($E36,$E42),EXACT($G36,$G42)),I36,"賃金単価を記載")))</f>
        <v/>
      </c>
      <c r="J42" s="545" t="str">
        <f>IF($E42="","",IF($G42="正規職員","-","勤務日数を記載（定期利用の場合、1と記載)"))</f>
        <v/>
      </c>
      <c r="K42" s="545" t="str">
        <f>IF($E42="","",IF($G42="正規職員","-",IF(AND(EXACT($C36,$C42),EXACT($E36,$E42),EXACT($G36,$G42)),K36,"日額の交通費を記載（定期利用の場合は月額)")))</f>
        <v/>
      </c>
      <c r="L42" s="487" t="str">
        <f t="shared" ref="L42:L46" si="89">IF($E42="","",IF($G42="正規職員","-",(H42*I42+J42*K42)))</f>
        <v/>
      </c>
      <c r="M42" s="487">
        <f>$M$6</f>
        <v>236166.66666667</v>
      </c>
      <c r="N42" s="487">
        <f t="shared" ref="N42" si="90">IFERROR(IF($C42="-","",IF(E42="",0,IF(G42="正規職員",M42,MIN(L42:M42)))),0)</f>
        <v>0</v>
      </c>
      <c r="O42" s="488" t="str">
        <f>IF(E42="","",IF(COUNTIFS(E42,"*給食室*")=1,"○","エラー"))</f>
        <v/>
      </c>
      <c r="P42" s="343">
        <v>9</v>
      </c>
      <c r="Q42" s="343" t="e">
        <f>VLOOKUP($E42&amp;Q$5,'②-2勤務時間数入力'!$D$7:$Q$106,$P42,FALSE)</f>
        <v>#N/A</v>
      </c>
      <c r="R42" s="343" t="str">
        <f>IF(ISERROR(Q42),"×",IF(Q42="-","×","○"))</f>
        <v>×</v>
      </c>
      <c r="S42" s="343" t="e">
        <f>VLOOKUP($E42&amp;S$5,'②-2勤務時間数入力'!$D$7:$Q$106,$P42,FALSE)</f>
        <v>#N/A</v>
      </c>
      <c r="T42" s="343" t="str">
        <f>IF(ISERROR(S42),"×",IF(S42="-","×","○"))</f>
        <v>×</v>
      </c>
      <c r="U42" s="343" t="e">
        <f>VLOOKUP($E42&amp;U$5,'②-2勤務時間数入力'!$D$7:$Q$106,$P42,FALSE)</f>
        <v>#N/A</v>
      </c>
      <c r="V42" s="343" t="str">
        <f>IF(ISERROR(U42),"×",IF(U42="-","×","○"))</f>
        <v>×</v>
      </c>
      <c r="W42" s="343" t="e">
        <f>VLOOKUP($E42&amp;W$5,'②-2勤務時間数入力'!$D$7:$Q$106,$P42,FALSE)</f>
        <v>#N/A</v>
      </c>
      <c r="X42" s="343" t="str">
        <f>IF(ISERROR(W42),"×",IF(W42="-","×","○"))</f>
        <v>×</v>
      </c>
      <c r="AA42" s="455" t="str">
        <f>IFERROR(IF(AND(C42=1,E42="",E43="",E44="",E45="",E46=""),"×","〇"),"〇")</f>
        <v>〇</v>
      </c>
      <c r="AB42" s="455" t="str">
        <f t="shared" si="8"/>
        <v>〇</v>
      </c>
      <c r="AC42" s="455" t="str">
        <f t="shared" si="9"/>
        <v>〇</v>
      </c>
      <c r="AD42" s="455" t="str">
        <f t="shared" si="10"/>
        <v>〇</v>
      </c>
    </row>
    <row r="43" spans="1:30" ht="13.5" customHeight="1">
      <c r="A43" s="861"/>
      <c r="B43" s="864"/>
      <c r="C43" s="875"/>
      <c r="D43" s="859"/>
      <c r="E43" s="546" t="str">
        <f t="shared" ref="E43:F43" si="91">IF(E37="","",E37)</f>
        <v/>
      </c>
      <c r="F43" s="484" t="str">
        <f t="shared" si="91"/>
        <v/>
      </c>
      <c r="G43" s="494" t="str">
        <f t="shared" si="87"/>
        <v/>
      </c>
      <c r="H43" s="495" t="str">
        <f t="shared" si="88"/>
        <v/>
      </c>
      <c r="I43" s="545" t="str">
        <f>IF($E43="","",IF($G43="正規職員","-",IF(AND(EXACT($C36,$C42),EXACT($E37,$E43),EXACT($G37,$G43)),I37,"賃金単価を記載")))</f>
        <v/>
      </c>
      <c r="J43" s="545" t="str">
        <f t="shared" ref="J43:J46" si="92">IF($E43="","",IF($G43="正規職員","-","勤務日数を記載（定期利用の場合、1と記載)"))</f>
        <v/>
      </c>
      <c r="K43" s="545" t="str">
        <f>IF($E43="","",IF($G43="正規職員","-",IF(AND(EXACT($C36,$C42),EXACT($E37,$E43),EXACT($G37,$G43)),K37,"日額の交通費を記載（定期利用の場合は月額)")))</f>
        <v/>
      </c>
      <c r="L43" s="487" t="str">
        <f t="shared" si="89"/>
        <v/>
      </c>
      <c r="M43" s="487">
        <f>$M$6</f>
        <v>236166.66666667</v>
      </c>
      <c r="N43" s="487">
        <f t="shared" ref="N43" si="93">IFERROR(IF($C42="-","",IF(E43="","",IF(G43="正規職員",M43-M42,MIN(MIN(L43:M43),M42-N42)))),0)</f>
        <v>0</v>
      </c>
      <c r="O43" s="488" t="str">
        <f t="shared" ref="O43:O46" si="94">IF(E43="","",IF(COUNTIFS(E43,"*給食室*")=1,"○","エラー"))</f>
        <v/>
      </c>
      <c r="P43" s="343">
        <f t="shared" ref="P43:P46" si="95">P42</f>
        <v>9</v>
      </c>
      <c r="Q43" s="343" t="e">
        <f>VLOOKUP($E43&amp;Q$5,'②-2勤務時間数入力'!$D$7:$Q$106,$P43,FALSE)</f>
        <v>#N/A</v>
      </c>
      <c r="R43" s="343" t="str">
        <f>IF(ISERROR(Q43),"×",IF(Q43="-","×","○"))</f>
        <v>×</v>
      </c>
      <c r="S43" s="343" t="e">
        <f>VLOOKUP($E43&amp;S$5,'②-2勤務時間数入力'!$D$7:$Q$106,$P43,FALSE)</f>
        <v>#N/A</v>
      </c>
      <c r="T43" s="343" t="str">
        <f>IF(ISERROR(S43),"×",IF(S43="-","×","○"))</f>
        <v>×</v>
      </c>
      <c r="U43" s="343" t="e">
        <f>VLOOKUP($E43&amp;U$5,'②-2勤務時間数入力'!$D$7:$Q$106,$P43,FALSE)</f>
        <v>#N/A</v>
      </c>
      <c r="V43" s="343" t="str">
        <f>IF(ISERROR(U43),"×",IF(U43="-","×","○"))</f>
        <v>×</v>
      </c>
      <c r="W43" s="343" t="e">
        <f>VLOOKUP($E43&amp;W$5,'②-2勤務時間数入力'!$D$7:$Q$106,$P43,FALSE)</f>
        <v>#N/A</v>
      </c>
      <c r="X43" s="343" t="str">
        <f>IF(ISERROR(W43),"×",IF(W43="-","×","○"))</f>
        <v>×</v>
      </c>
      <c r="AB43" s="455" t="str">
        <f t="shared" si="8"/>
        <v>〇</v>
      </c>
      <c r="AC43" s="455" t="str">
        <f t="shared" si="9"/>
        <v>〇</v>
      </c>
      <c r="AD43" s="455" t="str">
        <f t="shared" si="10"/>
        <v>〇</v>
      </c>
    </row>
    <row r="44" spans="1:30" ht="13.5" customHeight="1">
      <c r="A44" s="861"/>
      <c r="B44" s="864"/>
      <c r="C44" s="875"/>
      <c r="D44" s="859"/>
      <c r="E44" s="546" t="str">
        <f t="shared" ref="E44:F44" si="96">IF(E38="","",E38)</f>
        <v/>
      </c>
      <c r="F44" s="484" t="str">
        <f t="shared" si="96"/>
        <v/>
      </c>
      <c r="G44" s="494" t="str">
        <f t="shared" si="87"/>
        <v/>
      </c>
      <c r="H44" s="495" t="str">
        <f t="shared" si="88"/>
        <v/>
      </c>
      <c r="I44" s="545" t="str">
        <f>IF($E44="","",IF($G44="正規職員","-",IF(AND(EXACT($C36,$C42),EXACT($E38,$E44),EXACT($G38,$G44)),I38,"賃金単価を記載")))</f>
        <v/>
      </c>
      <c r="J44" s="545" t="str">
        <f t="shared" si="92"/>
        <v/>
      </c>
      <c r="K44" s="545" t="str">
        <f>IF($E44="","",IF($G44="正規職員","-",IF(AND(EXACT($C36,$C42),EXACT($E38,$E44),EXACT($G38,$G44)),K38,"日額の交通費を記載（定期利用の場合は月額)")))</f>
        <v/>
      </c>
      <c r="L44" s="487" t="str">
        <f t="shared" si="89"/>
        <v/>
      </c>
      <c r="M44" s="487">
        <f>$M$6</f>
        <v>236166.66666667</v>
      </c>
      <c r="N44" s="487">
        <f t="shared" ref="N44" si="97">IFERROR(IF($C42="-","",IF(E44="","",IF(G44="正規職員",M44-M43,MIN(MIN(L44:M44),M43-N43)))),0)</f>
        <v>0</v>
      </c>
      <c r="O44" s="488" t="str">
        <f t="shared" si="94"/>
        <v/>
      </c>
      <c r="P44" s="343">
        <f t="shared" si="95"/>
        <v>9</v>
      </c>
      <c r="Q44" s="343" t="e">
        <f>VLOOKUP($E44&amp;Q$5,'②-2勤務時間数入力'!$D$7:$Q$106,$P44,FALSE)</f>
        <v>#N/A</v>
      </c>
      <c r="R44" s="343" t="str">
        <f>IF(ISERROR(Q44),"×",IF(Q44="-","×","○"))</f>
        <v>×</v>
      </c>
      <c r="S44" s="343" t="e">
        <f>VLOOKUP($E44&amp;S$5,'②-2勤務時間数入力'!$D$7:$Q$106,$P44,FALSE)</f>
        <v>#N/A</v>
      </c>
      <c r="T44" s="343" t="str">
        <f>IF(ISERROR(S44),"×",IF(S44="-","×","○"))</f>
        <v>×</v>
      </c>
      <c r="U44" s="343" t="e">
        <f>VLOOKUP($E44&amp;U$5,'②-2勤務時間数入力'!$D$7:$Q$106,$P44,FALSE)</f>
        <v>#N/A</v>
      </c>
      <c r="V44" s="343" t="str">
        <f>IF(ISERROR(U44),"×",IF(U44="-","×","○"))</f>
        <v>×</v>
      </c>
      <c r="W44" s="343" t="e">
        <f>VLOOKUP($E44&amp;W$5,'②-2勤務時間数入力'!$D$7:$Q$106,$P44,FALSE)</f>
        <v>#N/A</v>
      </c>
      <c r="X44" s="343" t="str">
        <f>IF(ISERROR(W44),"×",IF(W44="-","×","○"))</f>
        <v>×</v>
      </c>
      <c r="AB44" s="455" t="str">
        <f t="shared" si="8"/>
        <v>〇</v>
      </c>
      <c r="AC44" s="455" t="str">
        <f t="shared" si="9"/>
        <v>〇</v>
      </c>
      <c r="AD44" s="455" t="str">
        <f t="shared" si="10"/>
        <v>〇</v>
      </c>
    </row>
    <row r="45" spans="1:30" ht="13.5" customHeight="1">
      <c r="A45" s="861"/>
      <c r="B45" s="864"/>
      <c r="C45" s="875"/>
      <c r="D45" s="859"/>
      <c r="E45" s="546" t="str">
        <f t="shared" ref="E45:F45" si="98">IF(E39="","",E39)</f>
        <v/>
      </c>
      <c r="F45" s="484" t="str">
        <f t="shared" si="98"/>
        <v/>
      </c>
      <c r="G45" s="494" t="str">
        <f t="shared" si="87"/>
        <v/>
      </c>
      <c r="H45" s="495" t="str">
        <f t="shared" si="88"/>
        <v/>
      </c>
      <c r="I45" s="545" t="str">
        <f>IF($E45="","",IF($G45="正規職員","-",IF(AND(EXACT($C36,$C42),EXACT($E39,$E45),EXACT($G39,$G45)),I39,"賃金単価を記載")))</f>
        <v/>
      </c>
      <c r="J45" s="545" t="str">
        <f t="shared" si="92"/>
        <v/>
      </c>
      <c r="K45" s="545" t="str">
        <f>IF($E45="","",IF($G45="正規職員","-",IF(AND(EXACT($C36,$C42),EXACT($E39,$E45),EXACT($G39,$G45)),K39,"日額の交通費を記載（定期利用の場合は月額)")))</f>
        <v/>
      </c>
      <c r="L45" s="487" t="str">
        <f t="shared" si="89"/>
        <v/>
      </c>
      <c r="M45" s="487">
        <f>$M$6</f>
        <v>236166.66666667</v>
      </c>
      <c r="N45" s="487">
        <f t="shared" ref="N45" si="99">IFERROR(IF($C42="-","",IF(E45="","",IF(G45="正規職員",M45-M44,MIN(MIN(L45:M45),M44-N44)))),0)</f>
        <v>0</v>
      </c>
      <c r="O45" s="488" t="str">
        <f t="shared" si="94"/>
        <v/>
      </c>
      <c r="P45" s="343">
        <f t="shared" si="95"/>
        <v>9</v>
      </c>
      <c r="Q45" s="343" t="e">
        <f>VLOOKUP($E45&amp;Q$5,'②-2勤務時間数入力'!$D$7:$Q$106,$P45,FALSE)</f>
        <v>#N/A</v>
      </c>
      <c r="R45" s="343" t="str">
        <f>IF(ISERROR(Q45),"×",IF(Q45="-","×","○"))</f>
        <v>×</v>
      </c>
      <c r="S45" s="343" t="e">
        <f>VLOOKUP($E45&amp;S$5,'②-2勤務時間数入力'!$D$7:$Q$106,$P45,FALSE)</f>
        <v>#N/A</v>
      </c>
      <c r="T45" s="343" t="str">
        <f>IF(ISERROR(S45),"×",IF(S45="-","×","○"))</f>
        <v>×</v>
      </c>
      <c r="U45" s="343" t="e">
        <f>VLOOKUP($E45&amp;U$5,'②-2勤務時間数入力'!$D$7:$Q$106,$P45,FALSE)</f>
        <v>#N/A</v>
      </c>
      <c r="V45" s="343" t="str">
        <f>IF(ISERROR(U45),"×",IF(U45="-","×","○"))</f>
        <v>×</v>
      </c>
      <c r="W45" s="343" t="e">
        <f>VLOOKUP($E45&amp;W$5,'②-2勤務時間数入力'!$D$7:$Q$106,$P45,FALSE)</f>
        <v>#N/A</v>
      </c>
      <c r="X45" s="343" t="str">
        <f>IF(ISERROR(W45),"×",IF(W45="-","×","○"))</f>
        <v>×</v>
      </c>
      <c r="AB45" s="455" t="str">
        <f t="shared" si="8"/>
        <v>〇</v>
      </c>
      <c r="AC45" s="455" t="str">
        <f t="shared" si="9"/>
        <v>〇</v>
      </c>
      <c r="AD45" s="455" t="str">
        <f t="shared" si="10"/>
        <v>〇</v>
      </c>
    </row>
    <row r="46" spans="1:30" ht="13.5" customHeight="1">
      <c r="A46" s="861"/>
      <c r="B46" s="864"/>
      <c r="C46" s="875"/>
      <c r="D46" s="859"/>
      <c r="E46" s="546" t="str">
        <f t="shared" ref="E46:F46" si="100">IF(E40="","",E40)</f>
        <v/>
      </c>
      <c r="F46" s="484" t="str">
        <f t="shared" si="100"/>
        <v/>
      </c>
      <c r="G46" s="494" t="str">
        <f t="shared" si="87"/>
        <v/>
      </c>
      <c r="H46" s="495" t="str">
        <f t="shared" si="88"/>
        <v/>
      </c>
      <c r="I46" s="545" t="str">
        <f>IF($E46="","",IF($G46="正規職員","-",IF(AND(EXACT($C36,$C42),EXACT($E40,$E46),EXACT($G40,$G46)),I40,"賃金単価を記載")))</f>
        <v/>
      </c>
      <c r="J46" s="545" t="str">
        <f t="shared" si="92"/>
        <v/>
      </c>
      <c r="K46" s="545" t="str">
        <f>IF($E46="","",IF($G46="正規職員","-",IF(AND(EXACT($C36,$C42),EXACT($E40,$E46),EXACT($G40,$G46)),K40,"日額の交通費を記載（定期利用の場合は月額)")))</f>
        <v/>
      </c>
      <c r="L46" s="487" t="str">
        <f t="shared" si="89"/>
        <v/>
      </c>
      <c r="M46" s="487">
        <f>$M$6</f>
        <v>236166.66666667</v>
      </c>
      <c r="N46" s="487">
        <f t="shared" ref="N46" si="101">IFERROR(IF($C42="-","",IF(E46="","",IF(G46="正規職員",M46-M45,MIN(MIN(L46:M46),M45-N45)))),0)</f>
        <v>0</v>
      </c>
      <c r="O46" s="488" t="str">
        <f t="shared" si="94"/>
        <v/>
      </c>
      <c r="P46" s="343">
        <f t="shared" si="95"/>
        <v>9</v>
      </c>
      <c r="Q46" s="343" t="e">
        <f>VLOOKUP($E46&amp;Q$5,'②-2勤務時間数入力'!$D$7:$Q$106,$P46,FALSE)</f>
        <v>#N/A</v>
      </c>
      <c r="R46" s="343" t="str">
        <f>IF(ISERROR(Q46),"×",IF(Q46="-","×","○"))</f>
        <v>×</v>
      </c>
      <c r="S46" s="343" t="e">
        <f>VLOOKUP($E46&amp;S$5,'②-2勤務時間数入力'!$D$7:$Q$106,$P46,FALSE)</f>
        <v>#N/A</v>
      </c>
      <c r="T46" s="343" t="str">
        <f>IF(ISERROR(S46),"×",IF(S46="-","×","○"))</f>
        <v>×</v>
      </c>
      <c r="U46" s="343" t="e">
        <f>VLOOKUP($E46&amp;U$5,'②-2勤務時間数入力'!$D$7:$Q$106,$P46,FALSE)</f>
        <v>#N/A</v>
      </c>
      <c r="V46" s="343" t="str">
        <f>IF(ISERROR(U46),"×",IF(U46="-","×","○"))</f>
        <v>×</v>
      </c>
      <c r="W46" s="343" t="e">
        <f>VLOOKUP($E46&amp;W$5,'②-2勤務時間数入力'!$D$7:$Q$106,$P46,FALSE)</f>
        <v>#N/A</v>
      </c>
      <c r="X46" s="343" t="str">
        <f>IF(ISERROR(W46),"×",IF(W46="-","×","○"))</f>
        <v>×</v>
      </c>
      <c r="AB46" s="455" t="str">
        <f t="shared" si="8"/>
        <v>〇</v>
      </c>
      <c r="AC46" s="455" t="str">
        <f t="shared" si="9"/>
        <v>〇</v>
      </c>
      <c r="AD46" s="455" t="str">
        <f t="shared" si="10"/>
        <v>〇</v>
      </c>
    </row>
    <row r="47" spans="1:30" ht="13.5" customHeight="1">
      <c r="A47" s="862"/>
      <c r="B47" s="865"/>
      <c r="C47" s="876"/>
      <c r="D47" s="860"/>
      <c r="E47" s="342" t="s">
        <v>261</v>
      </c>
      <c r="F47" s="342"/>
      <c r="G47" s="494" t="s">
        <v>255</v>
      </c>
      <c r="H47" s="498"/>
      <c r="I47" s="486" t="s">
        <v>255</v>
      </c>
      <c r="J47" s="486"/>
      <c r="K47" s="486"/>
      <c r="L47" s="486" t="s">
        <v>255</v>
      </c>
      <c r="M47" s="486" t="s">
        <v>255</v>
      </c>
      <c r="N47" s="487">
        <f>MIN(IFERROR(IF(C42=1,IF(AND(B42="配置",OR(D42="調理師等",D42="栄養士")),MAX(SUM(N42:N46)-①基本情報!L38+10000,0),SUM(N42:N46)),0),0),$M$6)</f>
        <v>0</v>
      </c>
      <c r="O47" s="488" t="e">
        <f>IF(SUM(N42:N46)&gt;#REF!*$M$6,MIN($M$6,SUM(N42:N46)-ROUNDDOWN(#REF!*$M$6,0)),0)</f>
        <v>#REF!</v>
      </c>
      <c r="P47" s="343"/>
      <c r="Q47" s="343"/>
      <c r="R47" s="343"/>
      <c r="S47" s="343"/>
      <c r="T47" s="343"/>
      <c r="U47" s="343"/>
      <c r="V47" s="343"/>
      <c r="W47" s="343"/>
      <c r="X47" s="343"/>
      <c r="AB47" s="455"/>
      <c r="AC47" s="455"/>
      <c r="AD47" s="455"/>
    </row>
    <row r="48" spans="1:30" ht="13.5" customHeight="1">
      <c r="A48" s="844">
        <v>11</v>
      </c>
      <c r="B48" s="863" t="str">
        <f>IF(①基本情報!M36="有",①基本情報!M37,"無")</f>
        <v>無</v>
      </c>
      <c r="C48" s="874" t="e">
        <f>加算判定!K11</f>
        <v>#N/A</v>
      </c>
      <c r="D48" s="858" t="e">
        <f>加算判定!L11</f>
        <v>#N/A</v>
      </c>
      <c r="E48" s="546" t="str">
        <f>IF(E42="","",E42)</f>
        <v/>
      </c>
      <c r="F48" s="484" t="str">
        <f>IF(F42="","",F42)</f>
        <v/>
      </c>
      <c r="G48" s="494" t="str">
        <f t="shared" ref="G48:G52" si="102">IF(E48="","",IF(R48="○",Q$5,IF(T48="○",S$5,IF(V48="○",U$5,IF(X48="○",W$5,"ERROR")))))</f>
        <v/>
      </c>
      <c r="H48" s="495" t="str">
        <f t="shared" ref="H48:H52" si="103">IF(E48="","",IF(R48="○",Q48,IF(T48="○",S48,IF(V48="○",U48,IF(X48="○",W48,"ERROR")))))</f>
        <v/>
      </c>
      <c r="I48" s="545" t="str">
        <f>IF($E48="","",IF($G48="正規職員","-",IF(AND(EXACT($C42,$C48),EXACT($E42,$E48),EXACT($G42,$G48)),I42,"賃金単価を記載")))</f>
        <v/>
      </c>
      <c r="J48" s="545" t="str">
        <f>IF($E48="","",IF($G48="正規職員","-","勤務日数を記載（定期利用の場合、1と記載)"))</f>
        <v/>
      </c>
      <c r="K48" s="545" t="str">
        <f>IF($E48="","",IF($G48="正規職員","-",IF(AND(EXACT($C42,$C48),EXACT($E42,$E48),EXACT($G42,$G48)),K42,"日額の交通費を記載（定期利用の場合は月額)")))</f>
        <v/>
      </c>
      <c r="L48" s="487" t="str">
        <f t="shared" ref="L48:L52" si="104">IF($E48="","",IF($G48="正規職員","-",(H48*I48+J48*K48)))</f>
        <v/>
      </c>
      <c r="M48" s="487">
        <f>$M$6</f>
        <v>236166.66666667</v>
      </c>
      <c r="N48" s="487">
        <f t="shared" ref="N48" si="105">IFERROR(IF($C48="-","",IF(E48="",0,IF(G48="正規職員",M48,MIN(L48:M48)))),0)</f>
        <v>0</v>
      </c>
      <c r="O48" s="488" t="str">
        <f>IF(E48="","",IF(COUNTIFS(E48,"*給食室*")=1,"○","エラー"))</f>
        <v/>
      </c>
      <c r="P48" s="343">
        <v>10</v>
      </c>
      <c r="Q48" s="343" t="e">
        <f>VLOOKUP($E48&amp;Q$5,'②-2勤務時間数入力'!$D$7:$Q$106,$P48,FALSE)</f>
        <v>#N/A</v>
      </c>
      <c r="R48" s="343" t="str">
        <f>IF(ISERROR(Q48),"×",IF(Q48="-","×","○"))</f>
        <v>×</v>
      </c>
      <c r="S48" s="343" t="e">
        <f>VLOOKUP($E48&amp;S$5,'②-2勤務時間数入力'!$D$7:$Q$106,$P48,FALSE)</f>
        <v>#N/A</v>
      </c>
      <c r="T48" s="343" t="str">
        <f>IF(ISERROR(S48),"×",IF(S48="-","×","○"))</f>
        <v>×</v>
      </c>
      <c r="U48" s="343" t="e">
        <f>VLOOKUP($E48&amp;U$5,'②-2勤務時間数入力'!$D$7:$Q$106,$P48,FALSE)</f>
        <v>#N/A</v>
      </c>
      <c r="V48" s="343" t="str">
        <f>IF(ISERROR(U48),"×",IF(U48="-","×","○"))</f>
        <v>×</v>
      </c>
      <c r="W48" s="343" t="e">
        <f>VLOOKUP($E48&amp;W$5,'②-2勤務時間数入力'!$D$7:$Q$106,$P48,FALSE)</f>
        <v>#N/A</v>
      </c>
      <c r="X48" s="343" t="str">
        <f>IF(ISERROR(W48),"×",IF(W48="-","×","○"))</f>
        <v>×</v>
      </c>
      <c r="AA48" s="455" t="str">
        <f>IFERROR(IF(AND(C48=1,E48="",E49="",E50="",E51="",E52=""),"×","〇"),"〇")</f>
        <v>〇</v>
      </c>
      <c r="AB48" s="455" t="str">
        <f t="shared" si="8"/>
        <v>〇</v>
      </c>
      <c r="AC48" s="455" t="str">
        <f t="shared" si="9"/>
        <v>〇</v>
      </c>
      <c r="AD48" s="455" t="str">
        <f t="shared" si="10"/>
        <v>〇</v>
      </c>
    </row>
    <row r="49" spans="1:30" ht="13.5" customHeight="1">
      <c r="A49" s="861"/>
      <c r="B49" s="864"/>
      <c r="C49" s="875"/>
      <c r="D49" s="859"/>
      <c r="E49" s="546" t="str">
        <f t="shared" ref="E49:F49" si="106">IF(E43="","",E43)</f>
        <v/>
      </c>
      <c r="F49" s="484" t="str">
        <f t="shared" si="106"/>
        <v/>
      </c>
      <c r="G49" s="494" t="str">
        <f t="shared" si="102"/>
        <v/>
      </c>
      <c r="H49" s="495" t="str">
        <f t="shared" si="103"/>
        <v/>
      </c>
      <c r="I49" s="545" t="str">
        <f>IF($E49="","",IF($G49="正規職員","-",IF(AND(EXACT($C42,$C48),EXACT($E43,$E49),EXACT($G43,$G49)),I43,"賃金単価を記載")))</f>
        <v/>
      </c>
      <c r="J49" s="545" t="str">
        <f t="shared" ref="J49:J52" si="107">IF($E49="","",IF($G49="正規職員","-","勤務日数を記載（定期利用の場合、1と記載)"))</f>
        <v/>
      </c>
      <c r="K49" s="545" t="str">
        <f>IF($E49="","",IF($G49="正規職員","-",IF(AND(EXACT($C42,$C48),EXACT($E43,$E49),EXACT($G43,$G49)),K43,"日額の交通費を記載（定期利用の場合は月額)")))</f>
        <v/>
      </c>
      <c r="L49" s="487" t="str">
        <f t="shared" si="104"/>
        <v/>
      </c>
      <c r="M49" s="487">
        <f>$M$6</f>
        <v>236166.66666667</v>
      </c>
      <c r="N49" s="487">
        <f t="shared" ref="N49" si="108">IFERROR(IF($C48="-","",IF(E49="","",IF(G49="正規職員",M49-M48,MIN(MIN(L49:M49),M48-N48)))),0)</f>
        <v>0</v>
      </c>
      <c r="O49" s="488" t="str">
        <f t="shared" ref="O49:O52" si="109">IF(E49="","",IF(COUNTIFS(E49,"*給食室*")=1,"○","エラー"))</f>
        <v/>
      </c>
      <c r="P49" s="343">
        <f t="shared" ref="P49:P52" si="110">P48</f>
        <v>10</v>
      </c>
      <c r="Q49" s="343" t="e">
        <f>VLOOKUP($E49&amp;Q$5,'②-2勤務時間数入力'!$D$7:$Q$106,$P49,FALSE)</f>
        <v>#N/A</v>
      </c>
      <c r="R49" s="343" t="str">
        <f>IF(ISERROR(Q49),"×",IF(Q49="-","×","○"))</f>
        <v>×</v>
      </c>
      <c r="S49" s="343" t="e">
        <f>VLOOKUP($E49&amp;S$5,'②-2勤務時間数入力'!$D$7:$Q$106,$P49,FALSE)</f>
        <v>#N/A</v>
      </c>
      <c r="T49" s="343" t="str">
        <f>IF(ISERROR(S49),"×",IF(S49="-","×","○"))</f>
        <v>×</v>
      </c>
      <c r="U49" s="343" t="e">
        <f>VLOOKUP($E49&amp;U$5,'②-2勤務時間数入力'!$D$7:$Q$106,$P49,FALSE)</f>
        <v>#N/A</v>
      </c>
      <c r="V49" s="343" t="str">
        <f>IF(ISERROR(U49),"×",IF(U49="-","×","○"))</f>
        <v>×</v>
      </c>
      <c r="W49" s="343" t="e">
        <f>VLOOKUP($E49&amp;W$5,'②-2勤務時間数入力'!$D$7:$Q$106,$P49,FALSE)</f>
        <v>#N/A</v>
      </c>
      <c r="X49" s="343" t="str">
        <f>IF(ISERROR(W49),"×",IF(W49="-","×","○"))</f>
        <v>×</v>
      </c>
      <c r="AB49" s="455" t="str">
        <f t="shared" si="8"/>
        <v>〇</v>
      </c>
      <c r="AC49" s="455" t="str">
        <f t="shared" si="9"/>
        <v>〇</v>
      </c>
      <c r="AD49" s="455" t="str">
        <f t="shared" si="10"/>
        <v>〇</v>
      </c>
    </row>
    <row r="50" spans="1:30" ht="13.5" customHeight="1">
      <c r="A50" s="861"/>
      <c r="B50" s="864"/>
      <c r="C50" s="875"/>
      <c r="D50" s="859"/>
      <c r="E50" s="546" t="str">
        <f t="shared" ref="E50:F50" si="111">IF(E44="","",E44)</f>
        <v/>
      </c>
      <c r="F50" s="484" t="str">
        <f t="shared" si="111"/>
        <v/>
      </c>
      <c r="G50" s="494" t="str">
        <f t="shared" si="102"/>
        <v/>
      </c>
      <c r="H50" s="495" t="str">
        <f t="shared" si="103"/>
        <v/>
      </c>
      <c r="I50" s="545" t="str">
        <f>IF($E50="","",IF($G50="正規職員","-",IF(AND(EXACT($C42,$C48),EXACT($E44,$E50),EXACT($G44,$G50)),I44,"賃金単価を記載")))</f>
        <v/>
      </c>
      <c r="J50" s="545" t="str">
        <f t="shared" si="107"/>
        <v/>
      </c>
      <c r="K50" s="545" t="str">
        <f>IF($E50="","",IF($G50="正規職員","-",IF(AND(EXACT($C42,$C48),EXACT($E44,$E50),EXACT($G44,$G50)),K44,"日額の交通費を記載（定期利用の場合は月額)")))</f>
        <v/>
      </c>
      <c r="L50" s="487" t="str">
        <f t="shared" si="104"/>
        <v/>
      </c>
      <c r="M50" s="487">
        <f>$M$6</f>
        <v>236166.66666667</v>
      </c>
      <c r="N50" s="487">
        <f t="shared" ref="N50" si="112">IFERROR(IF($C48="-","",IF(E50="","",IF(G50="正規職員",M50-M49,MIN(MIN(L50:M50),M49-N49)))),0)</f>
        <v>0</v>
      </c>
      <c r="O50" s="488" t="str">
        <f t="shared" si="109"/>
        <v/>
      </c>
      <c r="P50" s="343">
        <f t="shared" si="110"/>
        <v>10</v>
      </c>
      <c r="Q50" s="343" t="e">
        <f>VLOOKUP($E50&amp;Q$5,'②-2勤務時間数入力'!$D$7:$Q$106,$P50,FALSE)</f>
        <v>#N/A</v>
      </c>
      <c r="R50" s="343" t="str">
        <f>IF(ISERROR(Q50),"×",IF(Q50="-","×","○"))</f>
        <v>×</v>
      </c>
      <c r="S50" s="343" t="e">
        <f>VLOOKUP($E50&amp;S$5,'②-2勤務時間数入力'!$D$7:$Q$106,$P50,FALSE)</f>
        <v>#N/A</v>
      </c>
      <c r="T50" s="343" t="str">
        <f>IF(ISERROR(S50),"×",IF(S50="-","×","○"))</f>
        <v>×</v>
      </c>
      <c r="U50" s="343" t="e">
        <f>VLOOKUP($E50&amp;U$5,'②-2勤務時間数入力'!$D$7:$Q$106,$P50,FALSE)</f>
        <v>#N/A</v>
      </c>
      <c r="V50" s="343" t="str">
        <f>IF(ISERROR(U50),"×",IF(U50="-","×","○"))</f>
        <v>×</v>
      </c>
      <c r="W50" s="343" t="e">
        <f>VLOOKUP($E50&amp;W$5,'②-2勤務時間数入力'!$D$7:$Q$106,$P50,FALSE)</f>
        <v>#N/A</v>
      </c>
      <c r="X50" s="343" t="str">
        <f>IF(ISERROR(W50),"×",IF(W50="-","×","○"))</f>
        <v>×</v>
      </c>
      <c r="AB50" s="455" t="str">
        <f t="shared" si="8"/>
        <v>〇</v>
      </c>
      <c r="AC50" s="455" t="str">
        <f t="shared" si="9"/>
        <v>〇</v>
      </c>
      <c r="AD50" s="455" t="str">
        <f t="shared" si="10"/>
        <v>〇</v>
      </c>
    </row>
    <row r="51" spans="1:30" ht="13.5" customHeight="1">
      <c r="A51" s="861"/>
      <c r="B51" s="864"/>
      <c r="C51" s="875"/>
      <c r="D51" s="859"/>
      <c r="E51" s="546" t="str">
        <f t="shared" ref="E51:F51" si="113">IF(E45="","",E45)</f>
        <v/>
      </c>
      <c r="F51" s="484" t="str">
        <f t="shared" si="113"/>
        <v/>
      </c>
      <c r="G51" s="494" t="str">
        <f t="shared" si="102"/>
        <v/>
      </c>
      <c r="H51" s="495" t="str">
        <f t="shared" si="103"/>
        <v/>
      </c>
      <c r="I51" s="545" t="str">
        <f>IF($E51="","",IF($G51="正規職員","-",IF(AND(EXACT($C42,$C48),EXACT($E45,$E51),EXACT($G45,$G51)),I45,"賃金単価を記載")))</f>
        <v/>
      </c>
      <c r="J51" s="545" t="str">
        <f t="shared" si="107"/>
        <v/>
      </c>
      <c r="K51" s="545" t="str">
        <f>IF($E51="","",IF($G51="正規職員","-",IF(AND(EXACT($C42,$C48),EXACT($E45,$E51),EXACT($G45,$G51)),K45,"日額の交通費を記載（定期利用の場合は月額)")))</f>
        <v/>
      </c>
      <c r="L51" s="487" t="str">
        <f t="shared" si="104"/>
        <v/>
      </c>
      <c r="M51" s="487">
        <f>$M$6</f>
        <v>236166.66666667</v>
      </c>
      <c r="N51" s="487">
        <f t="shared" ref="N51" si="114">IFERROR(IF($C48="-","",IF(E51="","",IF(G51="正規職員",M51-M50,MIN(MIN(L51:M51),M50-N50)))),0)</f>
        <v>0</v>
      </c>
      <c r="O51" s="488" t="str">
        <f t="shared" si="109"/>
        <v/>
      </c>
      <c r="P51" s="343">
        <f t="shared" si="110"/>
        <v>10</v>
      </c>
      <c r="Q51" s="343" t="e">
        <f>VLOOKUP($E51&amp;Q$5,'②-2勤務時間数入力'!$D$7:$Q$106,$P51,FALSE)</f>
        <v>#N/A</v>
      </c>
      <c r="R51" s="343" t="str">
        <f>IF(ISERROR(Q51),"×",IF(Q51="-","×","○"))</f>
        <v>×</v>
      </c>
      <c r="S51" s="343" t="e">
        <f>VLOOKUP($E51&amp;S$5,'②-2勤務時間数入力'!$D$7:$Q$106,$P51,FALSE)</f>
        <v>#N/A</v>
      </c>
      <c r="T51" s="343" t="str">
        <f>IF(ISERROR(S51),"×",IF(S51="-","×","○"))</f>
        <v>×</v>
      </c>
      <c r="U51" s="343" t="e">
        <f>VLOOKUP($E51&amp;U$5,'②-2勤務時間数入力'!$D$7:$Q$106,$P51,FALSE)</f>
        <v>#N/A</v>
      </c>
      <c r="V51" s="343" t="str">
        <f>IF(ISERROR(U51),"×",IF(U51="-","×","○"))</f>
        <v>×</v>
      </c>
      <c r="W51" s="343" t="e">
        <f>VLOOKUP($E51&amp;W$5,'②-2勤務時間数入力'!$D$7:$Q$106,$P51,FALSE)</f>
        <v>#N/A</v>
      </c>
      <c r="X51" s="343" t="str">
        <f>IF(ISERROR(W51),"×",IF(W51="-","×","○"))</f>
        <v>×</v>
      </c>
      <c r="AB51" s="455" t="str">
        <f t="shared" si="8"/>
        <v>〇</v>
      </c>
      <c r="AC51" s="455" t="str">
        <f t="shared" si="9"/>
        <v>〇</v>
      </c>
      <c r="AD51" s="455" t="str">
        <f t="shared" si="10"/>
        <v>〇</v>
      </c>
    </row>
    <row r="52" spans="1:30" ht="13.5" customHeight="1">
      <c r="A52" s="861"/>
      <c r="B52" s="864"/>
      <c r="C52" s="875"/>
      <c r="D52" s="859"/>
      <c r="E52" s="546" t="str">
        <f t="shared" ref="E52:F52" si="115">IF(E46="","",E46)</f>
        <v/>
      </c>
      <c r="F52" s="484" t="str">
        <f t="shared" si="115"/>
        <v/>
      </c>
      <c r="G52" s="494" t="str">
        <f t="shared" si="102"/>
        <v/>
      </c>
      <c r="H52" s="495" t="str">
        <f t="shared" si="103"/>
        <v/>
      </c>
      <c r="I52" s="545" t="str">
        <f>IF($E52="","",IF($G52="正規職員","-",IF(AND(EXACT($C42,$C48),EXACT($E46,$E52),EXACT($G46,$G52)),I46,"賃金単価を記載")))</f>
        <v/>
      </c>
      <c r="J52" s="545" t="str">
        <f t="shared" si="107"/>
        <v/>
      </c>
      <c r="K52" s="545" t="str">
        <f>IF($E52="","",IF($G52="正規職員","-",IF(AND(EXACT($C42,$C48),EXACT($E46,$E52),EXACT($G46,$G52)),K46,"日額の交通費を記載（定期利用の場合は月額)")))</f>
        <v/>
      </c>
      <c r="L52" s="487" t="str">
        <f t="shared" si="104"/>
        <v/>
      </c>
      <c r="M52" s="487">
        <f>$M$6</f>
        <v>236166.66666667</v>
      </c>
      <c r="N52" s="487">
        <f t="shared" ref="N52" si="116">IFERROR(IF($C48="-","",IF(E52="","",IF(G52="正規職員",M52-M51,MIN(MIN(L52:M52),M51-N51)))),0)</f>
        <v>0</v>
      </c>
      <c r="O52" s="488" t="str">
        <f t="shared" si="109"/>
        <v/>
      </c>
      <c r="P52" s="343">
        <f t="shared" si="110"/>
        <v>10</v>
      </c>
      <c r="Q52" s="343" t="e">
        <f>VLOOKUP($E52&amp;Q$5,'②-2勤務時間数入力'!$D$7:$Q$106,$P52,FALSE)</f>
        <v>#N/A</v>
      </c>
      <c r="R52" s="343" t="str">
        <f>IF(ISERROR(Q52),"×",IF(Q52="-","×","○"))</f>
        <v>×</v>
      </c>
      <c r="S52" s="343" t="e">
        <f>VLOOKUP($E52&amp;S$5,'②-2勤務時間数入力'!$D$7:$Q$106,$P52,FALSE)</f>
        <v>#N/A</v>
      </c>
      <c r="T52" s="343" t="str">
        <f>IF(ISERROR(S52),"×",IF(S52="-","×","○"))</f>
        <v>×</v>
      </c>
      <c r="U52" s="343" t="e">
        <f>VLOOKUP($E52&amp;U$5,'②-2勤務時間数入力'!$D$7:$Q$106,$P52,FALSE)</f>
        <v>#N/A</v>
      </c>
      <c r="V52" s="343" t="str">
        <f>IF(ISERROR(U52),"×",IF(U52="-","×","○"))</f>
        <v>×</v>
      </c>
      <c r="W52" s="343" t="e">
        <f>VLOOKUP($E52&amp;W$5,'②-2勤務時間数入力'!$D$7:$Q$106,$P52,FALSE)</f>
        <v>#N/A</v>
      </c>
      <c r="X52" s="343" t="str">
        <f>IF(ISERROR(W52),"×",IF(W52="-","×","○"))</f>
        <v>×</v>
      </c>
      <c r="AB52" s="455" t="str">
        <f t="shared" si="8"/>
        <v>〇</v>
      </c>
      <c r="AC52" s="455" t="str">
        <f t="shared" si="9"/>
        <v>〇</v>
      </c>
      <c r="AD52" s="455" t="str">
        <f t="shared" si="10"/>
        <v>〇</v>
      </c>
    </row>
    <row r="53" spans="1:30" ht="13.5" customHeight="1">
      <c r="A53" s="862"/>
      <c r="B53" s="865"/>
      <c r="C53" s="876"/>
      <c r="D53" s="860"/>
      <c r="E53" s="342" t="s">
        <v>262</v>
      </c>
      <c r="F53" s="342"/>
      <c r="G53" s="494" t="s">
        <v>255</v>
      </c>
      <c r="H53" s="498"/>
      <c r="I53" s="486" t="s">
        <v>255</v>
      </c>
      <c r="J53" s="486"/>
      <c r="K53" s="486"/>
      <c r="L53" s="486" t="s">
        <v>255</v>
      </c>
      <c r="M53" s="486" t="s">
        <v>255</v>
      </c>
      <c r="N53" s="487">
        <f>MIN(IFERROR(IF(C48=1,IF(AND(B48="配置",OR(D48="調理師等",D48="栄養士")),MAX(SUM(N48:N52)-①基本情報!M38+10000,0),SUM(N48:N52)),0),0),$M$6)</f>
        <v>0</v>
      </c>
      <c r="O53" s="488" t="e">
        <f>IF(SUM(N48:N52)&gt;#REF!*$M$6,MIN($M$6,SUM(N48:N52)-ROUNDDOWN(#REF!*$M$6,0)),0)</f>
        <v>#REF!</v>
      </c>
      <c r="P53" s="343"/>
      <c r="Q53" s="343"/>
      <c r="R53" s="343"/>
      <c r="S53" s="343"/>
      <c r="T53" s="343"/>
      <c r="U53" s="343"/>
      <c r="V53" s="343"/>
      <c r="W53" s="343"/>
      <c r="X53" s="343"/>
      <c r="AB53" s="455"/>
      <c r="AC53" s="455"/>
      <c r="AD53" s="455"/>
    </row>
    <row r="54" spans="1:30" ht="13.5" customHeight="1">
      <c r="A54" s="844">
        <v>12</v>
      </c>
      <c r="B54" s="863" t="str">
        <f>IF(①基本情報!N36="有",①基本情報!N37,"無")</f>
        <v>無</v>
      </c>
      <c r="C54" s="874" t="e">
        <f>加算判定!K12</f>
        <v>#N/A</v>
      </c>
      <c r="D54" s="858" t="e">
        <f>加算判定!L12</f>
        <v>#N/A</v>
      </c>
      <c r="E54" s="546" t="str">
        <f>IF(E48="","",E48)</f>
        <v/>
      </c>
      <c r="F54" s="484" t="str">
        <f>IF(F48="","",F48)</f>
        <v/>
      </c>
      <c r="G54" s="494" t="str">
        <f t="shared" ref="G54:G58" si="117">IF(E54="","",IF(R54="○",Q$5,IF(T54="○",S$5,IF(V54="○",U$5,IF(X54="○",W$5,"ERROR")))))</f>
        <v/>
      </c>
      <c r="H54" s="495" t="str">
        <f t="shared" ref="H54:H58" si="118">IF(E54="","",IF(R54="○",Q54,IF(T54="○",S54,IF(V54="○",U54,IF(X54="○",W54,"ERROR")))))</f>
        <v/>
      </c>
      <c r="I54" s="545" t="str">
        <f>IF($E54="","",IF($G54="正規職員","-",IF(AND(EXACT($C48,$C54),EXACT($E48,$E54),EXACT($G48,$G54)),I48,"賃金単価を記載")))</f>
        <v/>
      </c>
      <c r="J54" s="545" t="str">
        <f>IF($E54="","",IF($G54="正規職員","-","勤務日数を記載（定期利用の場合、1と記載)"))</f>
        <v/>
      </c>
      <c r="K54" s="545" t="str">
        <f>IF($E54="","",IF($G54="正規職員","-",IF(AND(EXACT($C48,$C54),EXACT($E48,$E54),EXACT($G48,$G54)),K48,"日額の交通費を記載（定期利用の場合は月額)")))</f>
        <v/>
      </c>
      <c r="L54" s="487" t="str">
        <f t="shared" ref="L54:L58" si="119">IF($E54="","",IF($G54="正規職員","-",(H54*I54+J54*K54)))</f>
        <v/>
      </c>
      <c r="M54" s="487">
        <f>$M$6</f>
        <v>236166.66666667</v>
      </c>
      <c r="N54" s="487">
        <f t="shared" ref="N54" si="120">IFERROR(IF($C54="-","",IF(E54="",0,IF(G54="正規職員",M54,MIN(L54:M54)))),0)</f>
        <v>0</v>
      </c>
      <c r="O54" s="488" t="str">
        <f>IF(E54="","",IF(COUNTIFS(E54,"*給食室*")=1,"○","エラー"))</f>
        <v/>
      </c>
      <c r="P54" s="343">
        <v>11</v>
      </c>
      <c r="Q54" s="343" t="e">
        <f>VLOOKUP($E54&amp;Q$5,'②-2勤務時間数入力'!$D$7:$Q$106,$P54,FALSE)</f>
        <v>#N/A</v>
      </c>
      <c r="R54" s="343" t="str">
        <f>IF(ISERROR(Q54),"×",IF(Q54="-","×","○"))</f>
        <v>×</v>
      </c>
      <c r="S54" s="343" t="e">
        <f>VLOOKUP($E54&amp;S$5,'②-2勤務時間数入力'!$D$7:$Q$106,$P54,FALSE)</f>
        <v>#N/A</v>
      </c>
      <c r="T54" s="343" t="str">
        <f>IF(ISERROR(S54),"×",IF(S54="-","×","○"))</f>
        <v>×</v>
      </c>
      <c r="U54" s="343" t="e">
        <f>VLOOKUP($E54&amp;U$5,'②-2勤務時間数入力'!$D$7:$Q$106,$P54,FALSE)</f>
        <v>#N/A</v>
      </c>
      <c r="V54" s="343" t="str">
        <f>IF(ISERROR(U54),"×",IF(U54="-","×","○"))</f>
        <v>×</v>
      </c>
      <c r="W54" s="343" t="e">
        <f>VLOOKUP($E54&amp;W$5,'②-2勤務時間数入力'!$D$7:$Q$106,$P54,FALSE)</f>
        <v>#N/A</v>
      </c>
      <c r="X54" s="343" t="str">
        <f>IF(ISERROR(W54),"×",IF(W54="-","×","○"))</f>
        <v>×</v>
      </c>
      <c r="AA54" s="455" t="str">
        <f>IFERROR(IF(AND(C54=1,E54="",E55="",E56="",E57="",E58=""),"×","〇"),"〇")</f>
        <v>〇</v>
      </c>
      <c r="AB54" s="455" t="str">
        <f t="shared" si="8"/>
        <v>〇</v>
      </c>
      <c r="AC54" s="455" t="str">
        <f t="shared" si="9"/>
        <v>〇</v>
      </c>
      <c r="AD54" s="455" t="str">
        <f t="shared" si="10"/>
        <v>〇</v>
      </c>
    </row>
    <row r="55" spans="1:30" ht="13.5" customHeight="1">
      <c r="A55" s="861"/>
      <c r="B55" s="864"/>
      <c r="C55" s="875"/>
      <c r="D55" s="859"/>
      <c r="E55" s="546" t="str">
        <f t="shared" ref="E55:F55" si="121">IF(E49="","",E49)</f>
        <v/>
      </c>
      <c r="F55" s="484" t="str">
        <f t="shared" si="121"/>
        <v/>
      </c>
      <c r="G55" s="494" t="str">
        <f t="shared" si="117"/>
        <v/>
      </c>
      <c r="H55" s="495" t="str">
        <f t="shared" si="118"/>
        <v/>
      </c>
      <c r="I55" s="545" t="str">
        <f>IF($E55="","",IF($G55="正規職員","-",IF(AND(EXACT($C48,$C54),EXACT($E49,$E55),EXACT($G49,$G55)),I49,"賃金単価を記載")))</f>
        <v/>
      </c>
      <c r="J55" s="545" t="str">
        <f t="shared" ref="J55:J58" si="122">IF($E55="","",IF($G55="正規職員","-","勤務日数を記載（定期利用の場合、1と記載)"))</f>
        <v/>
      </c>
      <c r="K55" s="545" t="str">
        <f>IF($E55="","",IF($G55="正規職員","-",IF(AND(EXACT($C48,$C54),EXACT($E49,$E55),EXACT($G49,$G55)),K49,"日額の交通費を記載（定期利用の場合は月額)")))</f>
        <v/>
      </c>
      <c r="L55" s="487" t="str">
        <f t="shared" si="119"/>
        <v/>
      </c>
      <c r="M55" s="487">
        <f>$M$6</f>
        <v>236166.66666667</v>
      </c>
      <c r="N55" s="487">
        <f t="shared" ref="N55" si="123">IFERROR(IF($C54="-","",IF(E55="","",IF(G55="正規職員",M55-M54,MIN(MIN(L55:M55),M54-N54)))),0)</f>
        <v>0</v>
      </c>
      <c r="O55" s="488" t="str">
        <f t="shared" ref="O55:O58" si="124">IF(E55="","",IF(COUNTIFS(E55,"*給食室*")=1,"○","エラー"))</f>
        <v/>
      </c>
      <c r="P55" s="343">
        <f t="shared" ref="P55:P58" si="125">P54</f>
        <v>11</v>
      </c>
      <c r="Q55" s="343" t="e">
        <f>VLOOKUP($E55&amp;Q$5,'②-2勤務時間数入力'!$D$7:$Q$106,$P55,FALSE)</f>
        <v>#N/A</v>
      </c>
      <c r="R55" s="343" t="str">
        <f>IF(ISERROR(Q55),"×",IF(Q55="-","×","○"))</f>
        <v>×</v>
      </c>
      <c r="S55" s="343" t="e">
        <f>VLOOKUP($E55&amp;S$5,'②-2勤務時間数入力'!$D$7:$Q$106,$P55,FALSE)</f>
        <v>#N/A</v>
      </c>
      <c r="T55" s="343" t="str">
        <f>IF(ISERROR(S55),"×",IF(S55="-","×","○"))</f>
        <v>×</v>
      </c>
      <c r="U55" s="343" t="e">
        <f>VLOOKUP($E55&amp;U$5,'②-2勤務時間数入力'!$D$7:$Q$106,$P55,FALSE)</f>
        <v>#N/A</v>
      </c>
      <c r="V55" s="343" t="str">
        <f>IF(ISERROR(U55),"×",IF(U55="-","×","○"))</f>
        <v>×</v>
      </c>
      <c r="W55" s="343" t="e">
        <f>VLOOKUP($E55&amp;W$5,'②-2勤務時間数入力'!$D$7:$Q$106,$P55,FALSE)</f>
        <v>#N/A</v>
      </c>
      <c r="X55" s="343" t="str">
        <f>IF(ISERROR(W55),"×",IF(W55="-","×","○"))</f>
        <v>×</v>
      </c>
      <c r="AB55" s="455" t="str">
        <f t="shared" si="8"/>
        <v>〇</v>
      </c>
      <c r="AC55" s="455" t="str">
        <f t="shared" si="9"/>
        <v>〇</v>
      </c>
      <c r="AD55" s="455" t="str">
        <f t="shared" si="10"/>
        <v>〇</v>
      </c>
    </row>
    <row r="56" spans="1:30" ht="13.5" customHeight="1">
      <c r="A56" s="861"/>
      <c r="B56" s="864"/>
      <c r="C56" s="875"/>
      <c r="D56" s="859"/>
      <c r="E56" s="546" t="str">
        <f t="shared" ref="E56:F56" si="126">IF(E50="","",E50)</f>
        <v/>
      </c>
      <c r="F56" s="484" t="str">
        <f t="shared" si="126"/>
        <v/>
      </c>
      <c r="G56" s="494" t="str">
        <f t="shared" si="117"/>
        <v/>
      </c>
      <c r="H56" s="495" t="str">
        <f t="shared" si="118"/>
        <v/>
      </c>
      <c r="I56" s="545" t="str">
        <f>IF($E56="","",IF($G56="正規職員","-",IF(AND(EXACT($C48,$C54),EXACT($E50,$E56),EXACT($G50,$G56)),I50,"賃金単価を記載")))</f>
        <v/>
      </c>
      <c r="J56" s="545" t="str">
        <f t="shared" si="122"/>
        <v/>
      </c>
      <c r="K56" s="545" t="str">
        <f>IF($E56="","",IF($G56="正規職員","-",IF(AND(EXACT($C48,$C54),EXACT($E50,$E56),EXACT($G50,$G56)),K50,"日額の交通費を記載（定期利用の場合は月額)")))</f>
        <v/>
      </c>
      <c r="L56" s="487" t="str">
        <f t="shared" si="119"/>
        <v/>
      </c>
      <c r="M56" s="487">
        <f>$M$6</f>
        <v>236166.66666667</v>
      </c>
      <c r="N56" s="487">
        <f t="shared" ref="N56" si="127">IFERROR(IF($C54="-","",IF(E56="","",IF(G56="正規職員",M56-M55,MIN(MIN(L56:M56),M55-N55)))),0)</f>
        <v>0</v>
      </c>
      <c r="O56" s="488" t="str">
        <f t="shared" si="124"/>
        <v/>
      </c>
      <c r="P56" s="343">
        <f t="shared" si="125"/>
        <v>11</v>
      </c>
      <c r="Q56" s="343" t="e">
        <f>VLOOKUP($E56&amp;Q$5,'②-2勤務時間数入力'!$D$7:$Q$106,$P56,FALSE)</f>
        <v>#N/A</v>
      </c>
      <c r="R56" s="343" t="str">
        <f>IF(ISERROR(Q56),"×",IF(Q56="-","×","○"))</f>
        <v>×</v>
      </c>
      <c r="S56" s="343" t="e">
        <f>VLOOKUP($E56&amp;S$5,'②-2勤務時間数入力'!$D$7:$Q$106,$P56,FALSE)</f>
        <v>#N/A</v>
      </c>
      <c r="T56" s="343" t="str">
        <f>IF(ISERROR(S56),"×",IF(S56="-","×","○"))</f>
        <v>×</v>
      </c>
      <c r="U56" s="343" t="e">
        <f>VLOOKUP($E56&amp;U$5,'②-2勤務時間数入力'!$D$7:$Q$106,$P56,FALSE)</f>
        <v>#N/A</v>
      </c>
      <c r="V56" s="343" t="str">
        <f>IF(ISERROR(U56),"×",IF(U56="-","×","○"))</f>
        <v>×</v>
      </c>
      <c r="W56" s="343" t="e">
        <f>VLOOKUP($E56&amp;W$5,'②-2勤務時間数入力'!$D$7:$Q$106,$P56,FALSE)</f>
        <v>#N/A</v>
      </c>
      <c r="X56" s="343" t="str">
        <f>IF(ISERROR(W56),"×",IF(W56="-","×","○"))</f>
        <v>×</v>
      </c>
      <c r="AB56" s="455" t="str">
        <f t="shared" si="8"/>
        <v>〇</v>
      </c>
      <c r="AC56" s="455" t="str">
        <f t="shared" si="9"/>
        <v>〇</v>
      </c>
      <c r="AD56" s="455" t="str">
        <f t="shared" si="10"/>
        <v>〇</v>
      </c>
    </row>
    <row r="57" spans="1:30" ht="13.5" customHeight="1">
      <c r="A57" s="861"/>
      <c r="B57" s="864"/>
      <c r="C57" s="875"/>
      <c r="D57" s="859"/>
      <c r="E57" s="546" t="str">
        <f t="shared" ref="E57:F57" si="128">IF(E51="","",E51)</f>
        <v/>
      </c>
      <c r="F57" s="484" t="str">
        <f t="shared" si="128"/>
        <v/>
      </c>
      <c r="G57" s="494" t="str">
        <f t="shared" si="117"/>
        <v/>
      </c>
      <c r="H57" s="495" t="str">
        <f t="shared" si="118"/>
        <v/>
      </c>
      <c r="I57" s="545" t="str">
        <f>IF($E57="","",IF($G57="正規職員","-",IF(AND(EXACT($C48,$C54),EXACT($E51,$E57),EXACT($G51,$G57)),I51,"賃金単価を記載")))</f>
        <v/>
      </c>
      <c r="J57" s="545" t="str">
        <f t="shared" si="122"/>
        <v/>
      </c>
      <c r="K57" s="545" t="str">
        <f>IF($E57="","",IF($G57="正規職員","-",IF(AND(EXACT($C48,$C54),EXACT($E51,$E57),EXACT($G51,$G57)),K51,"日額の交通費を記載（定期利用の場合は月額)")))</f>
        <v/>
      </c>
      <c r="L57" s="487" t="str">
        <f t="shared" si="119"/>
        <v/>
      </c>
      <c r="M57" s="487">
        <f>$M$6</f>
        <v>236166.66666667</v>
      </c>
      <c r="N57" s="487">
        <f t="shared" ref="N57" si="129">IFERROR(IF($C54="-","",IF(E57="","",IF(G57="正規職員",M57-M56,MIN(MIN(L57:M57),M56-N56)))),0)</f>
        <v>0</v>
      </c>
      <c r="O57" s="488" t="str">
        <f t="shared" si="124"/>
        <v/>
      </c>
      <c r="P57" s="343">
        <f t="shared" si="125"/>
        <v>11</v>
      </c>
      <c r="Q57" s="343" t="e">
        <f>VLOOKUP($E57&amp;Q$5,'②-2勤務時間数入力'!$D$7:$Q$106,$P57,FALSE)</f>
        <v>#N/A</v>
      </c>
      <c r="R57" s="343" t="str">
        <f>IF(ISERROR(Q57),"×",IF(Q57="-","×","○"))</f>
        <v>×</v>
      </c>
      <c r="S57" s="343" t="e">
        <f>VLOOKUP($E57&amp;S$5,'②-2勤務時間数入力'!$D$7:$Q$106,$P57,FALSE)</f>
        <v>#N/A</v>
      </c>
      <c r="T57" s="343" t="str">
        <f>IF(ISERROR(S57),"×",IF(S57="-","×","○"))</f>
        <v>×</v>
      </c>
      <c r="U57" s="343" t="e">
        <f>VLOOKUP($E57&amp;U$5,'②-2勤務時間数入力'!$D$7:$Q$106,$P57,FALSE)</f>
        <v>#N/A</v>
      </c>
      <c r="V57" s="343" t="str">
        <f>IF(ISERROR(U57),"×",IF(U57="-","×","○"))</f>
        <v>×</v>
      </c>
      <c r="W57" s="343" t="e">
        <f>VLOOKUP($E57&amp;W$5,'②-2勤務時間数入力'!$D$7:$Q$106,$P57,FALSE)</f>
        <v>#N/A</v>
      </c>
      <c r="X57" s="343" t="str">
        <f>IF(ISERROR(W57),"×",IF(W57="-","×","○"))</f>
        <v>×</v>
      </c>
      <c r="AB57" s="455" t="str">
        <f t="shared" si="8"/>
        <v>〇</v>
      </c>
      <c r="AC57" s="455" t="str">
        <f t="shared" si="9"/>
        <v>〇</v>
      </c>
      <c r="AD57" s="455" t="str">
        <f t="shared" si="10"/>
        <v>〇</v>
      </c>
    </row>
    <row r="58" spans="1:30" ht="13.5" customHeight="1">
      <c r="A58" s="861"/>
      <c r="B58" s="864"/>
      <c r="C58" s="875"/>
      <c r="D58" s="859"/>
      <c r="E58" s="546" t="str">
        <f t="shared" ref="E58:F58" si="130">IF(E52="","",E52)</f>
        <v/>
      </c>
      <c r="F58" s="484" t="str">
        <f t="shared" si="130"/>
        <v/>
      </c>
      <c r="G58" s="494" t="str">
        <f t="shared" si="117"/>
        <v/>
      </c>
      <c r="H58" s="495" t="str">
        <f t="shared" si="118"/>
        <v/>
      </c>
      <c r="I58" s="545" t="str">
        <f>IF($E58="","",IF($G58="正規職員","-",IF(AND(EXACT($C48,$C54),EXACT($E52,$E58),EXACT($G52,$G58)),I52,"賃金単価を記載")))</f>
        <v/>
      </c>
      <c r="J58" s="545" t="str">
        <f t="shared" si="122"/>
        <v/>
      </c>
      <c r="K58" s="545" t="str">
        <f>IF($E58="","",IF($G58="正規職員","-",IF(AND(EXACT($C48,$C54),EXACT($E52,$E58),EXACT($G52,$G58)),K52,"日額の交通費を記載（定期利用の場合は月額)")))</f>
        <v/>
      </c>
      <c r="L58" s="487" t="str">
        <f t="shared" si="119"/>
        <v/>
      </c>
      <c r="M58" s="487">
        <f>$M$6</f>
        <v>236166.66666667</v>
      </c>
      <c r="N58" s="487">
        <f t="shared" ref="N58" si="131">IFERROR(IF($C54="-","",IF(E58="","",IF(G58="正規職員",M58-M57,MIN(MIN(L58:M58),M57-N57)))),0)</f>
        <v>0</v>
      </c>
      <c r="O58" s="488" t="str">
        <f t="shared" si="124"/>
        <v/>
      </c>
      <c r="P58" s="343">
        <f t="shared" si="125"/>
        <v>11</v>
      </c>
      <c r="Q58" s="343" t="e">
        <f>VLOOKUP($E58&amp;Q$5,'②-2勤務時間数入力'!$D$7:$Q$106,$P58,FALSE)</f>
        <v>#N/A</v>
      </c>
      <c r="R58" s="343" t="str">
        <f>IF(ISERROR(Q58),"×",IF(Q58="-","×","○"))</f>
        <v>×</v>
      </c>
      <c r="S58" s="343" t="e">
        <f>VLOOKUP($E58&amp;S$5,'②-2勤務時間数入力'!$D$7:$Q$106,$P58,FALSE)</f>
        <v>#N/A</v>
      </c>
      <c r="T58" s="343" t="str">
        <f>IF(ISERROR(S58),"×",IF(S58="-","×","○"))</f>
        <v>×</v>
      </c>
      <c r="U58" s="343" t="e">
        <f>VLOOKUP($E58&amp;U$5,'②-2勤務時間数入力'!$D$7:$Q$106,$P58,FALSE)</f>
        <v>#N/A</v>
      </c>
      <c r="V58" s="343" t="str">
        <f>IF(ISERROR(U58),"×",IF(U58="-","×","○"))</f>
        <v>×</v>
      </c>
      <c r="W58" s="343" t="e">
        <f>VLOOKUP($E58&amp;W$5,'②-2勤務時間数入力'!$D$7:$Q$106,$P58,FALSE)</f>
        <v>#N/A</v>
      </c>
      <c r="X58" s="343" t="str">
        <f>IF(ISERROR(W58),"×",IF(W58="-","×","○"))</f>
        <v>×</v>
      </c>
      <c r="AB58" s="455" t="str">
        <f t="shared" si="8"/>
        <v>〇</v>
      </c>
      <c r="AC58" s="455" t="str">
        <f t="shared" si="9"/>
        <v>〇</v>
      </c>
      <c r="AD58" s="455" t="str">
        <f t="shared" si="10"/>
        <v>〇</v>
      </c>
    </row>
    <row r="59" spans="1:30" ht="13.5" customHeight="1">
      <c r="A59" s="862"/>
      <c r="B59" s="865"/>
      <c r="C59" s="876"/>
      <c r="D59" s="860"/>
      <c r="E59" s="342" t="s">
        <v>263</v>
      </c>
      <c r="F59" s="342"/>
      <c r="G59" s="494" t="s">
        <v>255</v>
      </c>
      <c r="H59" s="498"/>
      <c r="I59" s="486" t="s">
        <v>255</v>
      </c>
      <c r="J59" s="486"/>
      <c r="K59" s="486"/>
      <c r="L59" s="486" t="s">
        <v>255</v>
      </c>
      <c r="M59" s="486" t="s">
        <v>255</v>
      </c>
      <c r="N59" s="487">
        <f>MIN(IFERROR(IF(C54=1,IF(AND(B54="配置",OR(D54="調理師等",D54="栄養士")),MAX(SUM(N54:N58)-①基本情報!N38+10000,0),SUM(N54:N58)),0),0),$M$6)</f>
        <v>0</v>
      </c>
      <c r="O59" s="488" t="e">
        <f>IF(SUM(N54:N58)&gt;#REF!*$M$6,MIN($M$6,SUM(N54:N58)-ROUNDDOWN(#REF!*$M$6,0)),0)</f>
        <v>#REF!</v>
      </c>
      <c r="P59" s="343"/>
      <c r="Q59" s="343"/>
      <c r="R59" s="343"/>
      <c r="S59" s="343"/>
      <c r="T59" s="343"/>
      <c r="U59" s="343"/>
      <c r="V59" s="343"/>
      <c r="W59" s="343"/>
      <c r="X59" s="343"/>
      <c r="AB59" s="455"/>
      <c r="AC59" s="455"/>
      <c r="AD59" s="455"/>
    </row>
    <row r="60" spans="1:30" ht="13.5" customHeight="1">
      <c r="A60" s="844">
        <v>1</v>
      </c>
      <c r="B60" s="863" t="str">
        <f>IF(①基本情報!O36="有",①基本情報!O37,"無")</f>
        <v>無</v>
      </c>
      <c r="C60" s="874" t="e">
        <f>加算判定!K13</f>
        <v>#N/A</v>
      </c>
      <c r="D60" s="858" t="e">
        <f>加算判定!L13</f>
        <v>#N/A</v>
      </c>
      <c r="E60" s="546" t="str">
        <f>IF(E54="","",E54)</f>
        <v/>
      </c>
      <c r="F60" s="484" t="str">
        <f>IF(F54="","",F54)</f>
        <v/>
      </c>
      <c r="G60" s="494" t="str">
        <f t="shared" ref="G60:G64" si="132">IF(E60="","",IF(R60="○",Q$5,IF(T60="○",S$5,IF(V60="○",U$5,IF(X60="○",W$5,"ERROR")))))</f>
        <v/>
      </c>
      <c r="H60" s="495" t="str">
        <f t="shared" ref="H60:H64" si="133">IF(E60="","",IF(R60="○",Q60,IF(T60="○",S60,IF(V60="○",U60,IF(X60="○",W60,"ERROR")))))</f>
        <v/>
      </c>
      <c r="I60" s="545" t="str">
        <f>IF($E60="","",IF($G60="正規職員","-",IF(AND(EXACT($C54,$C60),EXACT($E54,$E60),EXACT($G54,$G60)),I54,"賃金単価を記載")))</f>
        <v/>
      </c>
      <c r="J60" s="545" t="str">
        <f>IF($E60="","",IF($G60="正規職員","-","勤務日数を記載（定期利用の場合、1と記載)"))</f>
        <v/>
      </c>
      <c r="K60" s="545" t="str">
        <f>IF($E60="","",IF($G60="正規職員","-",IF(AND(EXACT($C54,$C60),EXACT($E54,$E60),EXACT($G54,$G60)),K54,"日額の交通費を記載（定期利用の場合は月額)")))</f>
        <v/>
      </c>
      <c r="L60" s="487" t="str">
        <f t="shared" ref="L60:L64" si="134">IF($E60="","",IF($G60="正規職員","-",(H60*I60+J60*K60)))</f>
        <v/>
      </c>
      <c r="M60" s="487">
        <f>$M$6</f>
        <v>236166.66666667</v>
      </c>
      <c r="N60" s="487">
        <f t="shared" ref="N60" si="135">IFERROR(IF($C60="-","",IF(E60="",0,IF(G60="正規職員",M60,MIN(L60:M60)))),0)</f>
        <v>0</v>
      </c>
      <c r="O60" s="488" t="str">
        <f>IF(E60="","",IF(COUNTIFS(E60,"*給食室*")=1,"○","エラー"))</f>
        <v/>
      </c>
      <c r="P60" s="343">
        <v>12</v>
      </c>
      <c r="Q60" s="343" t="e">
        <f>VLOOKUP($E60&amp;Q$5,'②-2勤務時間数入力'!$D$7:$Q$106,$P60,FALSE)</f>
        <v>#N/A</v>
      </c>
      <c r="R60" s="343" t="str">
        <f>IF(ISERROR(Q60),"×",IF(Q60="-","×","○"))</f>
        <v>×</v>
      </c>
      <c r="S60" s="343" t="e">
        <f>VLOOKUP($E60&amp;S$5,'②-2勤務時間数入力'!$D$7:$Q$106,$P60,FALSE)</f>
        <v>#N/A</v>
      </c>
      <c r="T60" s="343" t="str">
        <f>IF(ISERROR(S60),"×",IF(S60="-","×","○"))</f>
        <v>×</v>
      </c>
      <c r="U60" s="343" t="e">
        <f>VLOOKUP($E60&amp;U$5,'②-2勤務時間数入力'!$D$7:$Q$106,$P60,FALSE)</f>
        <v>#N/A</v>
      </c>
      <c r="V60" s="343" t="str">
        <f>IF(ISERROR(U60),"×",IF(U60="-","×","○"))</f>
        <v>×</v>
      </c>
      <c r="W60" s="343" t="e">
        <f>VLOOKUP($E60&amp;W$5,'②-2勤務時間数入力'!$D$7:$Q$106,$P60,FALSE)</f>
        <v>#N/A</v>
      </c>
      <c r="X60" s="343" t="str">
        <f>IF(ISERROR(W60),"×",IF(W60="-","×","○"))</f>
        <v>×</v>
      </c>
      <c r="AA60" s="455" t="str">
        <f>IFERROR(IF(AND(C60=1,E60="",E61="",E62="",E63="",E64=""),"×","〇"),"〇")</f>
        <v>〇</v>
      </c>
      <c r="AB60" s="455" t="str">
        <f t="shared" si="8"/>
        <v>〇</v>
      </c>
      <c r="AC60" s="455" t="str">
        <f t="shared" si="9"/>
        <v>〇</v>
      </c>
      <c r="AD60" s="455" t="str">
        <f t="shared" si="10"/>
        <v>〇</v>
      </c>
    </row>
    <row r="61" spans="1:30" ht="13.5" customHeight="1">
      <c r="A61" s="861"/>
      <c r="B61" s="864"/>
      <c r="C61" s="875"/>
      <c r="D61" s="859"/>
      <c r="E61" s="546" t="str">
        <f t="shared" ref="E61:F61" si="136">IF(E55="","",E55)</f>
        <v/>
      </c>
      <c r="F61" s="484" t="str">
        <f t="shared" si="136"/>
        <v/>
      </c>
      <c r="G61" s="494" t="str">
        <f t="shared" si="132"/>
        <v/>
      </c>
      <c r="H61" s="495" t="str">
        <f t="shared" si="133"/>
        <v/>
      </c>
      <c r="I61" s="545" t="str">
        <f>IF($E61="","",IF($G61="正規職員","-",IF(AND(EXACT($C54,$C60),EXACT($E55,$E61),EXACT($G55,$G61)),I55,"賃金単価を記載")))</f>
        <v/>
      </c>
      <c r="J61" s="545" t="str">
        <f t="shared" ref="J61:J64" si="137">IF($E61="","",IF($G61="正規職員","-","勤務日数を記載（定期利用の場合、1と記載)"))</f>
        <v/>
      </c>
      <c r="K61" s="545" t="str">
        <f>IF($E61="","",IF($G61="正規職員","-",IF(AND(EXACT($C54,$C60),EXACT($E55,$E61),EXACT($G55,$G61)),K55,"日額の交通費を記載（定期利用の場合は月額)")))</f>
        <v/>
      </c>
      <c r="L61" s="487" t="str">
        <f t="shared" si="134"/>
        <v/>
      </c>
      <c r="M61" s="487">
        <f>$M$6</f>
        <v>236166.66666667</v>
      </c>
      <c r="N61" s="487">
        <f t="shared" ref="N61" si="138">IFERROR(IF($C60="-","",IF(E61="","",IF(G61="正規職員",M61-M60,MIN(MIN(L61:M61),M60-N60)))),0)</f>
        <v>0</v>
      </c>
      <c r="O61" s="488" t="str">
        <f t="shared" ref="O61:O64" si="139">IF(E61="","",IF(COUNTIFS(E61,"*給食室*")=1,"○","エラー"))</f>
        <v/>
      </c>
      <c r="P61" s="343">
        <f t="shared" ref="P61:P64" si="140">P60</f>
        <v>12</v>
      </c>
      <c r="Q61" s="343" t="e">
        <f>VLOOKUP($E61&amp;Q$5,'②-2勤務時間数入力'!$D$7:$Q$106,$P61,FALSE)</f>
        <v>#N/A</v>
      </c>
      <c r="R61" s="343" t="str">
        <f>IF(ISERROR(Q61),"×",IF(Q61="-","×","○"))</f>
        <v>×</v>
      </c>
      <c r="S61" s="343" t="e">
        <f>VLOOKUP($E61&amp;S$5,'②-2勤務時間数入力'!$D$7:$Q$106,$P61,FALSE)</f>
        <v>#N/A</v>
      </c>
      <c r="T61" s="343" t="str">
        <f>IF(ISERROR(S61),"×",IF(S61="-","×","○"))</f>
        <v>×</v>
      </c>
      <c r="U61" s="343" t="e">
        <f>VLOOKUP($E61&amp;U$5,'②-2勤務時間数入力'!$D$7:$Q$106,$P61,FALSE)</f>
        <v>#N/A</v>
      </c>
      <c r="V61" s="343" t="str">
        <f>IF(ISERROR(U61),"×",IF(U61="-","×","○"))</f>
        <v>×</v>
      </c>
      <c r="W61" s="343" t="e">
        <f>VLOOKUP($E61&amp;W$5,'②-2勤務時間数入力'!$D$7:$Q$106,$P61,FALSE)</f>
        <v>#N/A</v>
      </c>
      <c r="X61" s="343" t="str">
        <f>IF(ISERROR(W61),"×",IF(W61="-","×","○"))</f>
        <v>×</v>
      </c>
      <c r="AB61" s="455" t="str">
        <f t="shared" si="8"/>
        <v>〇</v>
      </c>
      <c r="AC61" s="455" t="str">
        <f t="shared" si="9"/>
        <v>〇</v>
      </c>
      <c r="AD61" s="455" t="str">
        <f t="shared" si="10"/>
        <v>〇</v>
      </c>
    </row>
    <row r="62" spans="1:30" ht="13.5" customHeight="1">
      <c r="A62" s="861"/>
      <c r="B62" s="864"/>
      <c r="C62" s="875"/>
      <c r="D62" s="859"/>
      <c r="E62" s="546" t="str">
        <f t="shared" ref="E62:F62" si="141">IF(E56="","",E56)</f>
        <v/>
      </c>
      <c r="F62" s="484" t="str">
        <f t="shared" si="141"/>
        <v/>
      </c>
      <c r="G62" s="494" t="str">
        <f t="shared" si="132"/>
        <v/>
      </c>
      <c r="H62" s="495" t="str">
        <f t="shared" si="133"/>
        <v/>
      </c>
      <c r="I62" s="545" t="str">
        <f>IF($E62="","",IF($G62="正規職員","-",IF(AND(EXACT($C54,$C60),EXACT($E56,$E62),EXACT($G56,$G62)),I56,"賃金単価を記載")))</f>
        <v/>
      </c>
      <c r="J62" s="545" t="str">
        <f t="shared" si="137"/>
        <v/>
      </c>
      <c r="K62" s="545" t="str">
        <f>IF($E62="","",IF($G62="正規職員","-",IF(AND(EXACT($C54,$C60),EXACT($E56,$E62),EXACT($G56,$G62)),K56,"日額の交通費を記載（定期利用の場合は月額)")))</f>
        <v/>
      </c>
      <c r="L62" s="487" t="str">
        <f t="shared" si="134"/>
        <v/>
      </c>
      <c r="M62" s="487">
        <f>$M$6</f>
        <v>236166.66666667</v>
      </c>
      <c r="N62" s="487">
        <f t="shared" ref="N62" si="142">IFERROR(IF($C60="-","",IF(E62="","",IF(G62="正規職員",M62-M61,MIN(MIN(L62:M62),M61-N61)))),0)</f>
        <v>0</v>
      </c>
      <c r="O62" s="488" t="str">
        <f t="shared" si="139"/>
        <v/>
      </c>
      <c r="P62" s="343">
        <f t="shared" si="140"/>
        <v>12</v>
      </c>
      <c r="Q62" s="343" t="e">
        <f>VLOOKUP($E62&amp;Q$5,'②-2勤務時間数入力'!$D$7:$Q$106,$P62,FALSE)</f>
        <v>#N/A</v>
      </c>
      <c r="R62" s="343" t="str">
        <f>IF(ISERROR(Q62),"×",IF(Q62="-","×","○"))</f>
        <v>×</v>
      </c>
      <c r="S62" s="343" t="e">
        <f>VLOOKUP($E62&amp;S$5,'②-2勤務時間数入力'!$D$7:$Q$106,$P62,FALSE)</f>
        <v>#N/A</v>
      </c>
      <c r="T62" s="343" t="str">
        <f>IF(ISERROR(S62),"×",IF(S62="-","×","○"))</f>
        <v>×</v>
      </c>
      <c r="U62" s="343" t="e">
        <f>VLOOKUP($E62&amp;U$5,'②-2勤務時間数入力'!$D$7:$Q$106,$P62,FALSE)</f>
        <v>#N/A</v>
      </c>
      <c r="V62" s="343" t="str">
        <f>IF(ISERROR(U62),"×",IF(U62="-","×","○"))</f>
        <v>×</v>
      </c>
      <c r="W62" s="343" t="e">
        <f>VLOOKUP($E62&amp;W$5,'②-2勤務時間数入力'!$D$7:$Q$106,$P62,FALSE)</f>
        <v>#N/A</v>
      </c>
      <c r="X62" s="343" t="str">
        <f>IF(ISERROR(W62),"×",IF(W62="-","×","○"))</f>
        <v>×</v>
      </c>
      <c r="AB62" s="455" t="str">
        <f t="shared" si="8"/>
        <v>〇</v>
      </c>
      <c r="AC62" s="455" t="str">
        <f t="shared" si="9"/>
        <v>〇</v>
      </c>
      <c r="AD62" s="455" t="str">
        <f t="shared" si="10"/>
        <v>〇</v>
      </c>
    </row>
    <row r="63" spans="1:30" ht="13.5" customHeight="1">
      <c r="A63" s="861"/>
      <c r="B63" s="864"/>
      <c r="C63" s="875"/>
      <c r="D63" s="859"/>
      <c r="E63" s="546" t="str">
        <f t="shared" ref="E63:F63" si="143">IF(E57="","",E57)</f>
        <v/>
      </c>
      <c r="F63" s="484" t="str">
        <f t="shared" si="143"/>
        <v/>
      </c>
      <c r="G63" s="494" t="str">
        <f t="shared" si="132"/>
        <v/>
      </c>
      <c r="H63" s="495" t="str">
        <f t="shared" si="133"/>
        <v/>
      </c>
      <c r="I63" s="545" t="str">
        <f>IF($E63="","",IF($G63="正規職員","-",IF(AND(EXACT($C54,$C60),EXACT($E57,$E63),EXACT($G57,$G63)),I57,"賃金単価を記載")))</f>
        <v/>
      </c>
      <c r="J63" s="545" t="str">
        <f t="shared" si="137"/>
        <v/>
      </c>
      <c r="K63" s="545" t="str">
        <f>IF($E63="","",IF($G63="正規職員","-",IF(AND(EXACT($C54,$C60),EXACT($E57,$E63),EXACT($G57,$G63)),K57,"日額の交通費を記載（定期利用の場合は月額)")))</f>
        <v/>
      </c>
      <c r="L63" s="487" t="str">
        <f t="shared" si="134"/>
        <v/>
      </c>
      <c r="M63" s="487">
        <f>$M$6</f>
        <v>236166.66666667</v>
      </c>
      <c r="N63" s="487">
        <f t="shared" ref="N63" si="144">IFERROR(IF($C60="-","",IF(E63="","",IF(G63="正規職員",M63-M62,MIN(MIN(L63:M63),M62-N62)))),0)</f>
        <v>0</v>
      </c>
      <c r="O63" s="488" t="str">
        <f t="shared" si="139"/>
        <v/>
      </c>
      <c r="P63" s="343">
        <f t="shared" si="140"/>
        <v>12</v>
      </c>
      <c r="Q63" s="343" t="e">
        <f>VLOOKUP($E63&amp;Q$5,'②-2勤務時間数入力'!$D$7:$Q$106,$P63,FALSE)</f>
        <v>#N/A</v>
      </c>
      <c r="R63" s="343" t="str">
        <f>IF(ISERROR(Q63),"×",IF(Q63="-","×","○"))</f>
        <v>×</v>
      </c>
      <c r="S63" s="343" t="e">
        <f>VLOOKUP($E63&amp;S$5,'②-2勤務時間数入力'!$D$7:$Q$106,$P63,FALSE)</f>
        <v>#N/A</v>
      </c>
      <c r="T63" s="343" t="str">
        <f>IF(ISERROR(S63),"×",IF(S63="-","×","○"))</f>
        <v>×</v>
      </c>
      <c r="U63" s="343" t="e">
        <f>VLOOKUP($E63&amp;U$5,'②-2勤務時間数入力'!$D$7:$Q$106,$P63,FALSE)</f>
        <v>#N/A</v>
      </c>
      <c r="V63" s="343" t="str">
        <f>IF(ISERROR(U63),"×",IF(U63="-","×","○"))</f>
        <v>×</v>
      </c>
      <c r="W63" s="343" t="e">
        <f>VLOOKUP($E63&amp;W$5,'②-2勤務時間数入力'!$D$7:$Q$106,$P63,FALSE)</f>
        <v>#N/A</v>
      </c>
      <c r="X63" s="343" t="str">
        <f>IF(ISERROR(W63),"×",IF(W63="-","×","○"))</f>
        <v>×</v>
      </c>
      <c r="AB63" s="455" t="str">
        <f t="shared" si="8"/>
        <v>〇</v>
      </c>
      <c r="AC63" s="455" t="str">
        <f t="shared" si="9"/>
        <v>〇</v>
      </c>
      <c r="AD63" s="455" t="str">
        <f t="shared" si="10"/>
        <v>〇</v>
      </c>
    </row>
    <row r="64" spans="1:30" ht="13.5" customHeight="1">
      <c r="A64" s="861"/>
      <c r="B64" s="864"/>
      <c r="C64" s="875"/>
      <c r="D64" s="859"/>
      <c r="E64" s="546" t="str">
        <f t="shared" ref="E64:F64" si="145">IF(E58="","",E58)</f>
        <v/>
      </c>
      <c r="F64" s="484" t="str">
        <f t="shared" si="145"/>
        <v/>
      </c>
      <c r="G64" s="494" t="str">
        <f t="shared" si="132"/>
        <v/>
      </c>
      <c r="H64" s="495" t="str">
        <f t="shared" si="133"/>
        <v/>
      </c>
      <c r="I64" s="545" t="str">
        <f>IF($E64="","",IF($G64="正規職員","-",IF(AND(EXACT($C54,$C60),EXACT($E58,$E64),EXACT($G58,$G64)),I58,"賃金単価を記載")))</f>
        <v/>
      </c>
      <c r="J64" s="545" t="str">
        <f t="shared" si="137"/>
        <v/>
      </c>
      <c r="K64" s="545" t="str">
        <f>IF($E64="","",IF($G64="正規職員","-",IF(AND(EXACT($C54,$C60),EXACT($E58,$E64),EXACT($G58,$G64)),K58,"日額の交通費を記載（定期利用の場合は月額)")))</f>
        <v/>
      </c>
      <c r="L64" s="487" t="str">
        <f t="shared" si="134"/>
        <v/>
      </c>
      <c r="M64" s="487">
        <f>$M$6</f>
        <v>236166.66666667</v>
      </c>
      <c r="N64" s="487">
        <f t="shared" ref="N64" si="146">IFERROR(IF($C60="-","",IF(E64="","",IF(G64="正規職員",M64-M63,MIN(MIN(L64:M64),M63-N63)))),0)</f>
        <v>0</v>
      </c>
      <c r="O64" s="488" t="str">
        <f t="shared" si="139"/>
        <v/>
      </c>
      <c r="P64" s="343">
        <f t="shared" si="140"/>
        <v>12</v>
      </c>
      <c r="Q64" s="343" t="e">
        <f>VLOOKUP($E64&amp;Q$5,'②-2勤務時間数入力'!$D$7:$Q$106,$P64,FALSE)</f>
        <v>#N/A</v>
      </c>
      <c r="R64" s="343" t="str">
        <f>IF(ISERROR(Q64),"×",IF(Q64="-","×","○"))</f>
        <v>×</v>
      </c>
      <c r="S64" s="343" t="e">
        <f>VLOOKUP($E64&amp;S$5,'②-2勤務時間数入力'!$D$7:$Q$106,$P64,FALSE)</f>
        <v>#N/A</v>
      </c>
      <c r="T64" s="343" t="str">
        <f>IF(ISERROR(S64),"×",IF(S64="-","×","○"))</f>
        <v>×</v>
      </c>
      <c r="U64" s="343" t="e">
        <f>VLOOKUP($E64&amp;U$5,'②-2勤務時間数入力'!$D$7:$Q$106,$P64,FALSE)</f>
        <v>#N/A</v>
      </c>
      <c r="V64" s="343" t="str">
        <f>IF(ISERROR(U64),"×",IF(U64="-","×","○"))</f>
        <v>×</v>
      </c>
      <c r="W64" s="343" t="e">
        <f>VLOOKUP($E64&amp;W$5,'②-2勤務時間数入力'!$D$7:$Q$106,$P64,FALSE)</f>
        <v>#N/A</v>
      </c>
      <c r="X64" s="343" t="str">
        <f>IF(ISERROR(W64),"×",IF(W64="-","×","○"))</f>
        <v>×</v>
      </c>
      <c r="AB64" s="455" t="str">
        <f t="shared" si="8"/>
        <v>〇</v>
      </c>
      <c r="AC64" s="455" t="str">
        <f t="shared" si="9"/>
        <v>〇</v>
      </c>
      <c r="AD64" s="455" t="str">
        <f t="shared" si="10"/>
        <v>〇</v>
      </c>
    </row>
    <row r="65" spans="1:30" ht="13.5" customHeight="1">
      <c r="A65" s="862"/>
      <c r="B65" s="865"/>
      <c r="C65" s="876"/>
      <c r="D65" s="860"/>
      <c r="E65" s="342" t="s">
        <v>264</v>
      </c>
      <c r="F65" s="342"/>
      <c r="G65" s="494" t="s">
        <v>255</v>
      </c>
      <c r="H65" s="498"/>
      <c r="I65" s="486" t="s">
        <v>255</v>
      </c>
      <c r="J65" s="486"/>
      <c r="K65" s="486"/>
      <c r="L65" s="486" t="s">
        <v>255</v>
      </c>
      <c r="M65" s="486" t="s">
        <v>255</v>
      </c>
      <c r="N65" s="487">
        <f>MIN(IFERROR(IF(C60=1,IF(AND(B60="配置",OR(D60="調理師等",D60="栄養士")),MAX(SUM(N60:N64)-①基本情報!O38+10000,0),SUM(N60:N64)),0),0),$M$6)</f>
        <v>0</v>
      </c>
      <c r="O65" s="488" t="e">
        <f>IF(SUM(N60:N64)&gt;#REF!*$M$6,MIN($M$6,SUM(N60:N64)-ROUNDDOWN(#REF!*$M$6,0)),0)</f>
        <v>#REF!</v>
      </c>
      <c r="P65" s="343"/>
      <c r="Q65" s="343"/>
      <c r="R65" s="343"/>
      <c r="S65" s="343"/>
      <c r="T65" s="343"/>
      <c r="U65" s="343"/>
      <c r="V65" s="343"/>
      <c r="W65" s="343"/>
      <c r="X65" s="343"/>
      <c r="AB65" s="455"/>
      <c r="AC65" s="455"/>
      <c r="AD65" s="455"/>
    </row>
    <row r="66" spans="1:30" ht="13.5" customHeight="1">
      <c r="A66" s="844">
        <v>2</v>
      </c>
      <c r="B66" s="863" t="str">
        <f>IF(①基本情報!P36="有",①基本情報!P37,"無")</f>
        <v>無</v>
      </c>
      <c r="C66" s="874" t="e">
        <f>加算判定!K14</f>
        <v>#N/A</v>
      </c>
      <c r="D66" s="858" t="e">
        <f>加算判定!L14</f>
        <v>#N/A</v>
      </c>
      <c r="E66" s="546" t="str">
        <f>IF(E60="","",E60)</f>
        <v/>
      </c>
      <c r="F66" s="484" t="str">
        <f>IF(F60="","",F60)</f>
        <v/>
      </c>
      <c r="G66" s="494" t="str">
        <f t="shared" ref="G66:G70" si="147">IF(E66="","",IF(R66="○",Q$5,IF(T66="○",S$5,IF(V66="○",U$5,IF(X66="○",W$5,"ERROR")))))</f>
        <v/>
      </c>
      <c r="H66" s="495" t="str">
        <f t="shared" ref="H66:H70" si="148">IF(E66="","",IF(R66="○",Q66,IF(T66="○",S66,IF(V66="○",U66,IF(X66="○",W66,"ERROR")))))</f>
        <v/>
      </c>
      <c r="I66" s="545" t="str">
        <f>IF($E66="","",IF($G66="正規職員","-",IF(AND(EXACT($C60,$C66),EXACT($E60,$E66),EXACT($G60,$G66)),I60,"賃金単価を記載")))</f>
        <v/>
      </c>
      <c r="J66" s="545" t="str">
        <f>IF($E66="","",IF($G66="正規職員","-","勤務日数を記載（定期利用の場合、1と記載)"))</f>
        <v/>
      </c>
      <c r="K66" s="545" t="str">
        <f>IF($E66="","",IF($G66="正規職員","-",IF(AND(EXACT($C60,$C66),EXACT($E60,$E66),EXACT($G60,$G66)),K60,"日額の交通費を記載（定期利用の場合は月額)")))</f>
        <v/>
      </c>
      <c r="L66" s="487" t="str">
        <f t="shared" ref="L66:L70" si="149">IF($E66="","",IF($G66="正規職員","-",(H66*I66+J66*K66)))</f>
        <v/>
      </c>
      <c r="M66" s="487">
        <f>$M$6</f>
        <v>236166.66666667</v>
      </c>
      <c r="N66" s="487">
        <f t="shared" ref="N66" si="150">IFERROR(IF($C66="-","",IF(E66="",0,IF(G66="正規職員",M66,MIN(L66:M66)))),0)</f>
        <v>0</v>
      </c>
      <c r="O66" s="488" t="str">
        <f>IF(E66="","",IF(COUNTIFS(E66,"*給食室*")=1,"○","エラー"))</f>
        <v/>
      </c>
      <c r="P66" s="343">
        <v>13</v>
      </c>
      <c r="Q66" s="343" t="e">
        <f>VLOOKUP($E66&amp;Q$5,'②-2勤務時間数入力'!$D$7:$Q$106,$P66,FALSE)</f>
        <v>#N/A</v>
      </c>
      <c r="R66" s="343" t="str">
        <f>IF(ISERROR(Q66),"×",IF(Q66="-","×","○"))</f>
        <v>×</v>
      </c>
      <c r="S66" s="343" t="e">
        <f>VLOOKUP($E66&amp;S$5,'②-2勤務時間数入力'!$D$7:$Q$106,$P66,FALSE)</f>
        <v>#N/A</v>
      </c>
      <c r="T66" s="343" t="str">
        <f>IF(ISERROR(S66),"×",IF(S66="-","×","○"))</f>
        <v>×</v>
      </c>
      <c r="U66" s="343" t="e">
        <f>VLOOKUP($E66&amp;U$5,'②-2勤務時間数入力'!$D$7:$Q$106,$P66,FALSE)</f>
        <v>#N/A</v>
      </c>
      <c r="V66" s="343" t="str">
        <f>IF(ISERROR(U66),"×",IF(U66="-","×","○"))</f>
        <v>×</v>
      </c>
      <c r="W66" s="343" t="e">
        <f>VLOOKUP($E66&amp;W$5,'②-2勤務時間数入力'!$D$7:$Q$106,$P66,FALSE)</f>
        <v>#N/A</v>
      </c>
      <c r="X66" s="343" t="str">
        <f>IF(ISERROR(W66),"×",IF(W66="-","×","○"))</f>
        <v>×</v>
      </c>
      <c r="AA66" s="455" t="str">
        <f>IFERROR(IF(AND(C66=1,E66="",E67="",E68="",E69="",E70=""),"×","〇"),"〇")</f>
        <v>〇</v>
      </c>
      <c r="AB66" s="455" t="str">
        <f t="shared" si="8"/>
        <v>〇</v>
      </c>
      <c r="AC66" s="455" t="str">
        <f t="shared" si="9"/>
        <v>〇</v>
      </c>
      <c r="AD66" s="455" t="str">
        <f t="shared" si="10"/>
        <v>〇</v>
      </c>
    </row>
    <row r="67" spans="1:30" ht="13.5" customHeight="1">
      <c r="A67" s="861"/>
      <c r="B67" s="864"/>
      <c r="C67" s="875"/>
      <c r="D67" s="859"/>
      <c r="E67" s="546" t="str">
        <f t="shared" ref="E67:F67" si="151">IF(E61="","",E61)</f>
        <v/>
      </c>
      <c r="F67" s="484" t="str">
        <f t="shared" si="151"/>
        <v/>
      </c>
      <c r="G67" s="494" t="str">
        <f t="shared" si="147"/>
        <v/>
      </c>
      <c r="H67" s="495" t="str">
        <f t="shared" si="148"/>
        <v/>
      </c>
      <c r="I67" s="545" t="str">
        <f>IF($E67="","",IF($G67="正規職員","-",IF(AND(EXACT($C60,$C66),EXACT($E61,$E67),EXACT($G61,$G67)),I61,"賃金単価を記載")))</f>
        <v/>
      </c>
      <c r="J67" s="545" t="str">
        <f t="shared" ref="J67:J70" si="152">IF($E67="","",IF($G67="正規職員","-","勤務日数を記載（定期利用の場合、1と記載)"))</f>
        <v/>
      </c>
      <c r="K67" s="545" t="str">
        <f>IF($E67="","",IF($G67="正規職員","-",IF(AND(EXACT($C60,$C66),EXACT($E61,$E67),EXACT($G61,$G67)),K61,"日額の交通費を記載（定期利用の場合は月額)")))</f>
        <v/>
      </c>
      <c r="L67" s="487" t="str">
        <f t="shared" si="149"/>
        <v/>
      </c>
      <c r="M67" s="487">
        <f>$M$6</f>
        <v>236166.66666667</v>
      </c>
      <c r="N67" s="487">
        <f t="shared" ref="N67" si="153">IFERROR(IF($C66="-","",IF(E67="","",IF(G67="正規職員",M67-M66,MIN(MIN(L67:M67),M66-N66)))),0)</f>
        <v>0</v>
      </c>
      <c r="O67" s="488" t="str">
        <f t="shared" ref="O67:O70" si="154">IF(E67="","",IF(COUNTIFS(E67,"*給食室*")=1,"○","エラー"))</f>
        <v/>
      </c>
      <c r="P67" s="343">
        <f t="shared" ref="P67:P70" si="155">P66</f>
        <v>13</v>
      </c>
      <c r="Q67" s="343" t="e">
        <f>VLOOKUP($E67&amp;Q$5,'②-2勤務時間数入力'!$D$7:$Q$106,$P67,FALSE)</f>
        <v>#N/A</v>
      </c>
      <c r="R67" s="343" t="str">
        <f>IF(ISERROR(Q67),"×",IF(Q67="-","×","○"))</f>
        <v>×</v>
      </c>
      <c r="S67" s="343" t="e">
        <f>VLOOKUP($E67&amp;S$5,'②-2勤務時間数入力'!$D$7:$Q$106,$P67,FALSE)</f>
        <v>#N/A</v>
      </c>
      <c r="T67" s="343" t="str">
        <f>IF(ISERROR(S67),"×",IF(S67="-","×","○"))</f>
        <v>×</v>
      </c>
      <c r="U67" s="343" t="e">
        <f>VLOOKUP($E67&amp;U$5,'②-2勤務時間数入力'!$D$7:$Q$106,$P67,FALSE)</f>
        <v>#N/A</v>
      </c>
      <c r="V67" s="343" t="str">
        <f>IF(ISERROR(U67),"×",IF(U67="-","×","○"))</f>
        <v>×</v>
      </c>
      <c r="W67" s="343" t="e">
        <f>VLOOKUP($E67&amp;W$5,'②-2勤務時間数入力'!$D$7:$Q$106,$P67,FALSE)</f>
        <v>#N/A</v>
      </c>
      <c r="X67" s="343" t="str">
        <f>IF(ISERROR(W67),"×",IF(W67="-","×","○"))</f>
        <v>×</v>
      </c>
      <c r="AB67" s="455" t="str">
        <f t="shared" si="8"/>
        <v>〇</v>
      </c>
      <c r="AC67" s="455" t="str">
        <f t="shared" si="9"/>
        <v>〇</v>
      </c>
      <c r="AD67" s="455" t="str">
        <f t="shared" si="10"/>
        <v>〇</v>
      </c>
    </row>
    <row r="68" spans="1:30" ht="13.5" customHeight="1">
      <c r="A68" s="861"/>
      <c r="B68" s="864"/>
      <c r="C68" s="875"/>
      <c r="D68" s="859"/>
      <c r="E68" s="546" t="str">
        <f t="shared" ref="E68:F68" si="156">IF(E62="","",E62)</f>
        <v/>
      </c>
      <c r="F68" s="484" t="str">
        <f t="shared" si="156"/>
        <v/>
      </c>
      <c r="G68" s="494" t="str">
        <f t="shared" si="147"/>
        <v/>
      </c>
      <c r="H68" s="495" t="str">
        <f t="shared" si="148"/>
        <v/>
      </c>
      <c r="I68" s="545" t="str">
        <f>IF($E68="","",IF($G68="正規職員","-",IF(AND(EXACT($C60,$C66),EXACT($E62,$E68),EXACT($G62,$G68)),I62,"賃金単価を記載")))</f>
        <v/>
      </c>
      <c r="J68" s="545" t="str">
        <f t="shared" si="152"/>
        <v/>
      </c>
      <c r="K68" s="545" t="str">
        <f>IF($E68="","",IF($G68="正規職員","-",IF(AND(EXACT($C60,$C66),EXACT($E62,$E68),EXACT($G62,$G68)),K62,"日額の交通費を記載（定期利用の場合は月額)")))</f>
        <v/>
      </c>
      <c r="L68" s="487" t="str">
        <f t="shared" si="149"/>
        <v/>
      </c>
      <c r="M68" s="487">
        <f>$M$6</f>
        <v>236166.66666667</v>
      </c>
      <c r="N68" s="487">
        <f t="shared" ref="N68" si="157">IFERROR(IF($C66="-","",IF(E68="","",IF(G68="正規職員",M68-M67,MIN(MIN(L68:M68),M67-N67)))),0)</f>
        <v>0</v>
      </c>
      <c r="O68" s="488" t="str">
        <f t="shared" si="154"/>
        <v/>
      </c>
      <c r="P68" s="343">
        <f t="shared" si="155"/>
        <v>13</v>
      </c>
      <c r="Q68" s="343" t="e">
        <f>VLOOKUP($E68&amp;Q$5,'②-2勤務時間数入力'!$D$7:$Q$106,$P68,FALSE)</f>
        <v>#N/A</v>
      </c>
      <c r="R68" s="343" t="str">
        <f>IF(ISERROR(Q68),"×",IF(Q68="-","×","○"))</f>
        <v>×</v>
      </c>
      <c r="S68" s="343" t="e">
        <f>VLOOKUP($E68&amp;S$5,'②-2勤務時間数入力'!$D$7:$Q$106,$P68,FALSE)</f>
        <v>#N/A</v>
      </c>
      <c r="T68" s="343" t="str">
        <f>IF(ISERROR(S68),"×",IF(S68="-","×","○"))</f>
        <v>×</v>
      </c>
      <c r="U68" s="343" t="e">
        <f>VLOOKUP($E68&amp;U$5,'②-2勤務時間数入力'!$D$7:$Q$106,$P68,FALSE)</f>
        <v>#N/A</v>
      </c>
      <c r="V68" s="343" t="str">
        <f>IF(ISERROR(U68),"×",IF(U68="-","×","○"))</f>
        <v>×</v>
      </c>
      <c r="W68" s="343" t="e">
        <f>VLOOKUP($E68&amp;W$5,'②-2勤務時間数入力'!$D$7:$Q$106,$P68,FALSE)</f>
        <v>#N/A</v>
      </c>
      <c r="X68" s="343" t="str">
        <f>IF(ISERROR(W68),"×",IF(W68="-","×","○"))</f>
        <v>×</v>
      </c>
      <c r="AB68" s="455" t="str">
        <f t="shared" si="8"/>
        <v>〇</v>
      </c>
      <c r="AC68" s="455" t="str">
        <f t="shared" si="9"/>
        <v>〇</v>
      </c>
      <c r="AD68" s="455" t="str">
        <f t="shared" si="10"/>
        <v>〇</v>
      </c>
    </row>
    <row r="69" spans="1:30" ht="13.5" customHeight="1">
      <c r="A69" s="861"/>
      <c r="B69" s="864"/>
      <c r="C69" s="875"/>
      <c r="D69" s="859"/>
      <c r="E69" s="546" t="str">
        <f t="shared" ref="E69:F69" si="158">IF(E63="","",E63)</f>
        <v/>
      </c>
      <c r="F69" s="484" t="str">
        <f t="shared" si="158"/>
        <v/>
      </c>
      <c r="G69" s="494" t="str">
        <f t="shared" si="147"/>
        <v/>
      </c>
      <c r="H69" s="495" t="str">
        <f t="shared" si="148"/>
        <v/>
      </c>
      <c r="I69" s="545" t="str">
        <f>IF($E69="","",IF($G69="正規職員","-",IF(AND(EXACT($C60,$C66),EXACT($E63,$E69),EXACT($G63,$G69)),I63,"賃金単価を記載")))</f>
        <v/>
      </c>
      <c r="J69" s="545" t="str">
        <f t="shared" si="152"/>
        <v/>
      </c>
      <c r="K69" s="545" t="str">
        <f>IF($E69="","",IF($G69="正規職員","-",IF(AND(EXACT($C60,$C66),EXACT($E63,$E69),EXACT($G63,$G69)),K63,"日額の交通費を記載（定期利用の場合は月額)")))</f>
        <v/>
      </c>
      <c r="L69" s="487" t="str">
        <f t="shared" si="149"/>
        <v/>
      </c>
      <c r="M69" s="487">
        <f>$M$6</f>
        <v>236166.66666667</v>
      </c>
      <c r="N69" s="487">
        <f t="shared" ref="N69" si="159">IFERROR(IF($C66="-","",IF(E69="","",IF(G69="正規職員",M69-M68,MIN(MIN(L69:M69),M68-N68)))),0)</f>
        <v>0</v>
      </c>
      <c r="O69" s="488" t="str">
        <f t="shared" si="154"/>
        <v/>
      </c>
      <c r="P69" s="343">
        <f t="shared" si="155"/>
        <v>13</v>
      </c>
      <c r="Q69" s="343" t="e">
        <f>VLOOKUP($E69&amp;Q$5,'②-2勤務時間数入力'!$D$7:$Q$106,$P69,FALSE)</f>
        <v>#N/A</v>
      </c>
      <c r="R69" s="343" t="str">
        <f>IF(ISERROR(Q69),"×",IF(Q69="-","×","○"))</f>
        <v>×</v>
      </c>
      <c r="S69" s="343" t="e">
        <f>VLOOKUP($E69&amp;S$5,'②-2勤務時間数入力'!$D$7:$Q$106,$P69,FALSE)</f>
        <v>#N/A</v>
      </c>
      <c r="T69" s="343" t="str">
        <f>IF(ISERROR(S69),"×",IF(S69="-","×","○"))</f>
        <v>×</v>
      </c>
      <c r="U69" s="343" t="e">
        <f>VLOOKUP($E69&amp;U$5,'②-2勤務時間数入力'!$D$7:$Q$106,$P69,FALSE)</f>
        <v>#N/A</v>
      </c>
      <c r="V69" s="343" t="str">
        <f>IF(ISERROR(U69),"×",IF(U69="-","×","○"))</f>
        <v>×</v>
      </c>
      <c r="W69" s="343" t="e">
        <f>VLOOKUP($E69&amp;W$5,'②-2勤務時間数入力'!$D$7:$Q$106,$P69,FALSE)</f>
        <v>#N/A</v>
      </c>
      <c r="X69" s="343" t="str">
        <f>IF(ISERROR(W69),"×",IF(W69="-","×","○"))</f>
        <v>×</v>
      </c>
      <c r="AB69" s="455" t="str">
        <f t="shared" si="8"/>
        <v>〇</v>
      </c>
      <c r="AC69" s="455" t="str">
        <f t="shared" si="9"/>
        <v>〇</v>
      </c>
      <c r="AD69" s="455" t="str">
        <f t="shared" si="10"/>
        <v>〇</v>
      </c>
    </row>
    <row r="70" spans="1:30" ht="13.5" customHeight="1">
      <c r="A70" s="861"/>
      <c r="B70" s="864"/>
      <c r="C70" s="875"/>
      <c r="D70" s="859"/>
      <c r="E70" s="546" t="str">
        <f t="shared" ref="E70:F70" si="160">IF(E64="","",E64)</f>
        <v/>
      </c>
      <c r="F70" s="484" t="str">
        <f t="shared" si="160"/>
        <v/>
      </c>
      <c r="G70" s="494" t="str">
        <f t="shared" si="147"/>
        <v/>
      </c>
      <c r="H70" s="495" t="str">
        <f t="shared" si="148"/>
        <v/>
      </c>
      <c r="I70" s="545" t="str">
        <f>IF($E70="","",IF($G70="正規職員","-",IF(AND(EXACT($C60,$C66),EXACT($E64,$E70),EXACT($G64,$G70)),I64,"賃金単価を記載")))</f>
        <v/>
      </c>
      <c r="J70" s="545" t="str">
        <f t="shared" si="152"/>
        <v/>
      </c>
      <c r="K70" s="545" t="str">
        <f>IF($E70="","",IF($G70="正規職員","-",IF(AND(EXACT($C60,$C66),EXACT($E64,$E70),EXACT($G64,$G70)),K64,"日額の交通費を記載（定期利用の場合は月額)")))</f>
        <v/>
      </c>
      <c r="L70" s="487" t="str">
        <f t="shared" si="149"/>
        <v/>
      </c>
      <c r="M70" s="487">
        <f>$M$6</f>
        <v>236166.66666667</v>
      </c>
      <c r="N70" s="487">
        <f t="shared" ref="N70" si="161">IFERROR(IF($C66="-","",IF(E70="","",IF(G70="正規職員",M70-M69,MIN(MIN(L70:M70),M69-N69)))),0)</f>
        <v>0</v>
      </c>
      <c r="O70" s="488" t="str">
        <f t="shared" si="154"/>
        <v/>
      </c>
      <c r="P70" s="343">
        <f t="shared" si="155"/>
        <v>13</v>
      </c>
      <c r="Q70" s="343" t="e">
        <f>VLOOKUP($E70&amp;Q$5,'②-2勤務時間数入力'!$D$7:$Q$106,$P70,FALSE)</f>
        <v>#N/A</v>
      </c>
      <c r="R70" s="343" t="str">
        <f>IF(ISERROR(Q70),"×",IF(Q70="-","×","○"))</f>
        <v>×</v>
      </c>
      <c r="S70" s="343" t="e">
        <f>VLOOKUP($E70&amp;S$5,'②-2勤務時間数入力'!$D$7:$Q$106,$P70,FALSE)</f>
        <v>#N/A</v>
      </c>
      <c r="T70" s="343" t="str">
        <f>IF(ISERROR(S70),"×",IF(S70="-","×","○"))</f>
        <v>×</v>
      </c>
      <c r="U70" s="343" t="e">
        <f>VLOOKUP($E70&amp;U$5,'②-2勤務時間数入力'!$D$7:$Q$106,$P70,FALSE)</f>
        <v>#N/A</v>
      </c>
      <c r="V70" s="343" t="str">
        <f>IF(ISERROR(U70),"×",IF(U70="-","×","○"))</f>
        <v>×</v>
      </c>
      <c r="W70" s="343" t="e">
        <f>VLOOKUP($E70&amp;W$5,'②-2勤務時間数入力'!$D$7:$Q$106,$P70,FALSE)</f>
        <v>#N/A</v>
      </c>
      <c r="X70" s="343" t="str">
        <f>IF(ISERROR(W70),"×",IF(W70="-","×","○"))</f>
        <v>×</v>
      </c>
      <c r="AB70" s="455" t="str">
        <f t="shared" si="8"/>
        <v>〇</v>
      </c>
      <c r="AC70" s="455" t="str">
        <f t="shared" si="9"/>
        <v>〇</v>
      </c>
      <c r="AD70" s="455" t="str">
        <f t="shared" si="10"/>
        <v>〇</v>
      </c>
    </row>
    <row r="71" spans="1:30" ht="13.5" customHeight="1">
      <c r="A71" s="862"/>
      <c r="B71" s="865"/>
      <c r="C71" s="876"/>
      <c r="D71" s="860"/>
      <c r="E71" s="342" t="s">
        <v>265</v>
      </c>
      <c r="F71" s="342"/>
      <c r="G71" s="494" t="s">
        <v>255</v>
      </c>
      <c r="H71" s="498"/>
      <c r="I71" s="486" t="s">
        <v>255</v>
      </c>
      <c r="J71" s="486"/>
      <c r="K71" s="486"/>
      <c r="L71" s="486" t="s">
        <v>255</v>
      </c>
      <c r="M71" s="486" t="s">
        <v>255</v>
      </c>
      <c r="N71" s="487">
        <f>MIN(IFERROR(IF(C66=1,IF(AND(B66="配置",OR(D66="調理師等",D66="栄養士")),MAX(SUM(N66:N70)-①基本情報!P38+10000,0),SUM(N66:N70)),0),0),$M$6)</f>
        <v>0</v>
      </c>
      <c r="O71" s="488" t="e">
        <f>IF(SUM(N66:N70)&gt;#REF!*$M$6,MIN($M$6,SUM(N66:N70)-ROUNDDOWN(#REF!*$M$6,0)),0)</f>
        <v>#REF!</v>
      </c>
      <c r="P71" s="343"/>
      <c r="Q71" s="343"/>
      <c r="R71" s="343"/>
      <c r="S71" s="343"/>
      <c r="T71" s="343"/>
      <c r="U71" s="343"/>
      <c r="V71" s="343"/>
      <c r="W71" s="343"/>
      <c r="X71" s="343"/>
      <c r="AB71" s="455"/>
      <c r="AC71" s="455"/>
      <c r="AD71" s="455"/>
    </row>
    <row r="72" spans="1:30" ht="13.5" customHeight="1">
      <c r="A72" s="844">
        <v>3</v>
      </c>
      <c r="B72" s="863" t="str">
        <f>IF(①基本情報!Q36="有",①基本情報!Q37,"無")</f>
        <v>無</v>
      </c>
      <c r="C72" s="874" t="e">
        <f>加算判定!K15</f>
        <v>#N/A</v>
      </c>
      <c r="D72" s="858" t="e">
        <f>加算判定!L15</f>
        <v>#N/A</v>
      </c>
      <c r="E72" s="546" t="str">
        <f>IF(E66="","",E66)</f>
        <v/>
      </c>
      <c r="F72" s="484" t="str">
        <f>IF(F66="","",F66)</f>
        <v/>
      </c>
      <c r="G72" s="494" t="str">
        <f>IF(E72="","",IF(R72="○",Q$5,IF(T72="○",S$5,IF(V72="○",U$5,IF(X72="○",W$5,"ERROR")))))</f>
        <v/>
      </c>
      <c r="H72" s="495" t="str">
        <f t="shared" ref="H72:H76" si="162">IF(E72="","",IF(R72="○",Q72,IF(T72="○",S72,IF(V72="○",U72,IF(X72="○",W72,"ERROR")))))</f>
        <v/>
      </c>
      <c r="I72" s="545" t="str">
        <f>IF($E72="","",IF($G72="正規職員","-",IF(AND(EXACT($C66,$C72),EXACT($E66,$E72),EXACT($G66,$G72)),I66,"賃金単価を記載")))</f>
        <v/>
      </c>
      <c r="J72" s="545" t="str">
        <f>IF($E72="","",IF($G72="正規職員","-","勤務日数を記載（定期利用の場合、1と記載)"))</f>
        <v/>
      </c>
      <c r="K72" s="545" t="str">
        <f>IF($E72="","",IF($G72="正規職員","-",IF(AND(EXACT($C66,$C72),EXACT($E66,$E72),EXACT($G66,$G72)),K66,"日額の交通費を記載（定期利用の場合は月額)")))</f>
        <v/>
      </c>
      <c r="L72" s="487" t="str">
        <f t="shared" ref="L72:L76" si="163">IF($E72="","",IF($G72="正規職員","-",(H72*I72+J72*K72)))</f>
        <v/>
      </c>
      <c r="M72" s="487">
        <f>$M$6</f>
        <v>236166.66666667</v>
      </c>
      <c r="N72" s="487">
        <f t="shared" ref="N72" si="164">IFERROR(IF($C72="-","",IF(E72="",0,IF(G72="正規職員",M72,MIN(L72:M72)))),0)</f>
        <v>0</v>
      </c>
      <c r="O72" s="488" t="str">
        <f>IF(E72="","",IF(COUNTIFS(E72,"*給食室*")=1,"○","エラー"))</f>
        <v/>
      </c>
      <c r="P72" s="343">
        <v>14</v>
      </c>
      <c r="Q72" s="343" t="e">
        <f>VLOOKUP($E72&amp;Q$5,'②-2勤務時間数入力'!$D$7:$Q$106,$P72,FALSE)</f>
        <v>#N/A</v>
      </c>
      <c r="R72" s="343" t="str">
        <f>IF(ISERROR(Q72),"×",IF(Q72="-","×","○"))</f>
        <v>×</v>
      </c>
      <c r="S72" s="343" t="e">
        <f>VLOOKUP($E72&amp;S$5,'②-2勤務時間数入力'!$D$7:$Q$106,$P72,FALSE)</f>
        <v>#N/A</v>
      </c>
      <c r="T72" s="343" t="str">
        <f>IF(ISERROR(S72),"×",IF(S72="-","×","○"))</f>
        <v>×</v>
      </c>
      <c r="U72" s="343" t="e">
        <f>VLOOKUP($E72&amp;U$5,'②-2勤務時間数入力'!$D$7:$Q$106,$P72,FALSE)</f>
        <v>#N/A</v>
      </c>
      <c r="V72" s="343" t="str">
        <f>IF(ISERROR(U72),"×",IF(U72="-","×","○"))</f>
        <v>×</v>
      </c>
      <c r="W72" s="343" t="e">
        <f>VLOOKUP($E72&amp;W$5,'②-2勤務時間数入力'!$D$7:$Q$106,$P72,FALSE)</f>
        <v>#N/A</v>
      </c>
      <c r="X72" s="343" t="str">
        <f>IF(ISERROR(W72),"×",IF(W72="-","×","○"))</f>
        <v>×</v>
      </c>
      <c r="AA72" s="455" t="str">
        <f>IFERROR(IF(AND(C72=1,E72="",E73="",E74="",E75="",E76=""),"×","〇"),"〇")</f>
        <v>〇</v>
      </c>
      <c r="AB72" s="455" t="str">
        <f t="shared" ref="AB72:AB76" si="165">IFERROR(IF(I72="賃金単価を記載","×","〇"),"〇")</f>
        <v>〇</v>
      </c>
      <c r="AC72" s="455" t="str">
        <f t="shared" ref="AC72:AC76" si="166">IFERROR(IF(J72="勤務日数を記載（定期利用の場合、1と記載)","×","〇"),"〇")</f>
        <v>〇</v>
      </c>
      <c r="AD72" s="455" t="str">
        <f t="shared" ref="AD72:AD76" si="167">IFERROR(IF(K72="日額の交通費を記載（定期利用の場合は月額)","×","〇"),"〇")</f>
        <v>〇</v>
      </c>
    </row>
    <row r="73" spans="1:30" ht="13.5" customHeight="1">
      <c r="A73" s="861"/>
      <c r="B73" s="864"/>
      <c r="C73" s="875"/>
      <c r="D73" s="859"/>
      <c r="E73" s="546" t="str">
        <f t="shared" ref="E73:F73" si="168">IF(E67="","",E67)</f>
        <v/>
      </c>
      <c r="F73" s="484" t="str">
        <f t="shared" si="168"/>
        <v/>
      </c>
      <c r="G73" s="494" t="str">
        <f t="shared" ref="G73:G76" si="169">IF(E73="","",IF(R73="○",Q$5,IF(T73="○",S$5,IF(V73="○",U$5,IF(X73="○",W$5,"ERROR")))))</f>
        <v/>
      </c>
      <c r="H73" s="495" t="str">
        <f t="shared" si="162"/>
        <v/>
      </c>
      <c r="I73" s="545" t="str">
        <f>IF($E73="","",IF($G73="正規職員","-",IF(AND(EXACT($C66,$C72),EXACT($E67,$E73),EXACT($G67,$G73)),I67,"賃金単価を記載")))</f>
        <v/>
      </c>
      <c r="J73" s="545" t="str">
        <f t="shared" ref="J73:J76" si="170">IF($E73="","",IF($G73="正規職員","-","勤務日数を記載（定期利用の場合、1と記載)"))</f>
        <v/>
      </c>
      <c r="K73" s="545" t="str">
        <f>IF($E73="","",IF($G73="正規職員","-",IF(AND(EXACT($C66,$C72),EXACT($E67,$E73),EXACT($G67,$G73)),K67,"日額の交通費を記載（定期利用の場合は月額)")))</f>
        <v/>
      </c>
      <c r="L73" s="487" t="str">
        <f t="shared" si="163"/>
        <v/>
      </c>
      <c r="M73" s="487">
        <f>$M$6</f>
        <v>236166.66666667</v>
      </c>
      <c r="N73" s="487">
        <f t="shared" ref="N73" si="171">IFERROR(IF($C72="-","",IF(E73="","",IF(G73="正規職員",M73-M72,MIN(MIN(L73:M73),M72-N72)))),0)</f>
        <v>0</v>
      </c>
      <c r="O73" s="488" t="str">
        <f t="shared" ref="O73:O76" si="172">IF(E73="","",IF(COUNTIFS(E73,"*給食室*")=1,"○","エラー"))</f>
        <v/>
      </c>
      <c r="P73" s="343">
        <f t="shared" ref="P73:P76" si="173">P72</f>
        <v>14</v>
      </c>
      <c r="Q73" s="343" t="e">
        <f>VLOOKUP($E73&amp;Q$5,'②-2勤務時間数入力'!$D$7:$Q$106,$P73,FALSE)</f>
        <v>#N/A</v>
      </c>
      <c r="R73" s="343" t="str">
        <f>IF(ISERROR(Q73),"×",IF(Q73="-","×","○"))</f>
        <v>×</v>
      </c>
      <c r="S73" s="343" t="e">
        <f>VLOOKUP($E73&amp;S$5,'②-2勤務時間数入力'!$D$7:$Q$106,$P73,FALSE)</f>
        <v>#N/A</v>
      </c>
      <c r="T73" s="343" t="str">
        <f>IF(ISERROR(S73),"×",IF(S73="-","×","○"))</f>
        <v>×</v>
      </c>
      <c r="U73" s="343" t="e">
        <f>VLOOKUP($E73&amp;U$5,'②-2勤務時間数入力'!$D$7:$Q$106,$P73,FALSE)</f>
        <v>#N/A</v>
      </c>
      <c r="V73" s="343" t="str">
        <f>IF(ISERROR(U73),"×",IF(U73="-","×","○"))</f>
        <v>×</v>
      </c>
      <c r="W73" s="343" t="e">
        <f>VLOOKUP($E73&amp;W$5,'②-2勤務時間数入力'!$D$7:$Q$106,$P73,FALSE)</f>
        <v>#N/A</v>
      </c>
      <c r="X73" s="343" t="str">
        <f>IF(ISERROR(W73),"×",IF(W73="-","×","○"))</f>
        <v>×</v>
      </c>
      <c r="AB73" s="455" t="str">
        <f t="shared" si="165"/>
        <v>〇</v>
      </c>
      <c r="AC73" s="455" t="str">
        <f t="shared" si="166"/>
        <v>〇</v>
      </c>
      <c r="AD73" s="455" t="str">
        <f t="shared" si="167"/>
        <v>〇</v>
      </c>
    </row>
    <row r="74" spans="1:30" ht="13.5" customHeight="1">
      <c r="A74" s="861"/>
      <c r="B74" s="864"/>
      <c r="C74" s="875"/>
      <c r="D74" s="859"/>
      <c r="E74" s="546" t="str">
        <f t="shared" ref="E74:F74" si="174">IF(E68="","",E68)</f>
        <v/>
      </c>
      <c r="F74" s="484" t="str">
        <f t="shared" si="174"/>
        <v/>
      </c>
      <c r="G74" s="494" t="str">
        <f t="shared" si="169"/>
        <v/>
      </c>
      <c r="H74" s="495" t="str">
        <f t="shared" si="162"/>
        <v/>
      </c>
      <c r="I74" s="545" t="str">
        <f>IF($E74="","",IF($G74="正規職員","-",IF(AND(EXACT($C66,$C72),EXACT($E68,$E74),EXACT($G68,$G74)),I68,"賃金単価を記載")))</f>
        <v/>
      </c>
      <c r="J74" s="545" t="str">
        <f>IF($E74="","",IF($G74="正規職員","-","勤務日数を記載（定期利用の場合、1と記載)"))</f>
        <v/>
      </c>
      <c r="K74" s="545" t="str">
        <f>IF($E74="","",IF($G74="正規職員","-",IF(AND(EXACT($C66,$C72),EXACT($E68,$E74),EXACT($G68,$G74)),K68,"日額の交通費を記載（定期利用の場合は月額)")))</f>
        <v/>
      </c>
      <c r="L74" s="487" t="str">
        <f t="shared" si="163"/>
        <v/>
      </c>
      <c r="M74" s="487">
        <f>$M$6</f>
        <v>236166.66666667</v>
      </c>
      <c r="N74" s="487">
        <f t="shared" ref="N74" si="175">IFERROR(IF($C72="-","",IF(E74="","",IF(G74="正規職員",M74-M73,MIN(MIN(L74:M74),M73-N73)))),0)</f>
        <v>0</v>
      </c>
      <c r="O74" s="488" t="str">
        <f t="shared" si="172"/>
        <v/>
      </c>
      <c r="P74" s="343">
        <f t="shared" si="173"/>
        <v>14</v>
      </c>
      <c r="Q74" s="343" t="e">
        <f>VLOOKUP($E74&amp;Q$5,'②-2勤務時間数入力'!$D$7:$Q$106,$P74,FALSE)</f>
        <v>#N/A</v>
      </c>
      <c r="R74" s="343" t="str">
        <f>IF(ISERROR(Q74),"×",IF(Q74="-","×","○"))</f>
        <v>×</v>
      </c>
      <c r="S74" s="343" t="e">
        <f>VLOOKUP($E74&amp;S$5,'②-2勤務時間数入力'!$D$7:$Q$106,$P74,FALSE)</f>
        <v>#N/A</v>
      </c>
      <c r="T74" s="343" t="str">
        <f>IF(ISERROR(S74),"×",IF(S74="-","×","○"))</f>
        <v>×</v>
      </c>
      <c r="U74" s="343" t="e">
        <f>VLOOKUP($E74&amp;U$5,'②-2勤務時間数入力'!$D$7:$Q$106,$P74,FALSE)</f>
        <v>#N/A</v>
      </c>
      <c r="V74" s="343" t="str">
        <f>IF(ISERROR(U74),"×",IF(U74="-","×","○"))</f>
        <v>×</v>
      </c>
      <c r="W74" s="343" t="e">
        <f>VLOOKUP($E74&amp;W$5,'②-2勤務時間数入力'!$D$7:$Q$106,$P74,FALSE)</f>
        <v>#N/A</v>
      </c>
      <c r="X74" s="343" t="str">
        <f>IF(ISERROR(W74),"×",IF(W74="-","×","○"))</f>
        <v>×</v>
      </c>
      <c r="AB74" s="455" t="str">
        <f t="shared" si="165"/>
        <v>〇</v>
      </c>
      <c r="AC74" s="455" t="str">
        <f t="shared" si="166"/>
        <v>〇</v>
      </c>
      <c r="AD74" s="455" t="str">
        <f t="shared" si="167"/>
        <v>〇</v>
      </c>
    </row>
    <row r="75" spans="1:30" ht="13.5" customHeight="1">
      <c r="A75" s="861"/>
      <c r="B75" s="864"/>
      <c r="C75" s="875"/>
      <c r="D75" s="859"/>
      <c r="E75" s="546" t="str">
        <f t="shared" ref="E75:F75" si="176">IF(E69="","",E69)</f>
        <v/>
      </c>
      <c r="F75" s="484" t="str">
        <f t="shared" si="176"/>
        <v/>
      </c>
      <c r="G75" s="494" t="str">
        <f t="shared" si="169"/>
        <v/>
      </c>
      <c r="H75" s="495" t="str">
        <f t="shared" si="162"/>
        <v/>
      </c>
      <c r="I75" s="545" t="str">
        <f>IF($E75="","",IF($G75="正規職員","-",IF(AND(EXACT($C66,$C72),EXACT($E69,$E75),EXACT($G69,$G75)),I69,"賃金単価を記載")))</f>
        <v/>
      </c>
      <c r="J75" s="545" t="str">
        <f t="shared" si="170"/>
        <v/>
      </c>
      <c r="K75" s="545" t="str">
        <f>IF($E75="","",IF($G75="正規職員","-",IF(AND(EXACT($C66,$C72),EXACT($E69,$E75),EXACT($G69,$G75)),K69,"日額の交通費を記載（定期利用の場合は月額)")))</f>
        <v/>
      </c>
      <c r="L75" s="487" t="str">
        <f t="shared" si="163"/>
        <v/>
      </c>
      <c r="M75" s="487">
        <f>$M$6</f>
        <v>236166.66666667</v>
      </c>
      <c r="N75" s="487">
        <f t="shared" ref="N75" si="177">IFERROR(IF($C72="-","",IF(E75="","",IF(G75="正規職員",M75-M74,MIN(MIN(L75:M75),M74-N74)))),0)</f>
        <v>0</v>
      </c>
      <c r="O75" s="488" t="str">
        <f t="shared" si="172"/>
        <v/>
      </c>
      <c r="P75" s="343">
        <f t="shared" si="173"/>
        <v>14</v>
      </c>
      <c r="Q75" s="343" t="e">
        <f>VLOOKUP($E75&amp;Q$5,'②-2勤務時間数入力'!$D$7:$Q$106,$P75,FALSE)</f>
        <v>#N/A</v>
      </c>
      <c r="R75" s="343" t="str">
        <f>IF(ISERROR(Q75),"×",IF(Q75="-","×","○"))</f>
        <v>×</v>
      </c>
      <c r="S75" s="343" t="e">
        <f>VLOOKUP($E75&amp;S$5,'②-2勤務時間数入力'!$D$7:$Q$106,$P75,FALSE)</f>
        <v>#N/A</v>
      </c>
      <c r="T75" s="343" t="str">
        <f>IF(ISERROR(S75),"×",IF(S75="-","×","○"))</f>
        <v>×</v>
      </c>
      <c r="U75" s="343" t="e">
        <f>VLOOKUP($E75&amp;U$5,'②-2勤務時間数入力'!$D$7:$Q$106,$P75,FALSE)</f>
        <v>#N/A</v>
      </c>
      <c r="V75" s="343" t="str">
        <f>IF(ISERROR(U75),"×",IF(U75="-","×","○"))</f>
        <v>×</v>
      </c>
      <c r="W75" s="343" t="e">
        <f>VLOOKUP($E75&amp;W$5,'②-2勤務時間数入力'!$D$7:$Q$106,$P75,FALSE)</f>
        <v>#N/A</v>
      </c>
      <c r="X75" s="343" t="str">
        <f>IF(ISERROR(W75),"×",IF(W75="-","×","○"))</f>
        <v>×</v>
      </c>
      <c r="AB75" s="455" t="str">
        <f t="shared" si="165"/>
        <v>〇</v>
      </c>
      <c r="AC75" s="455" t="str">
        <f t="shared" si="166"/>
        <v>〇</v>
      </c>
      <c r="AD75" s="455" t="str">
        <f t="shared" si="167"/>
        <v>〇</v>
      </c>
    </row>
    <row r="76" spans="1:30" ht="13.5" customHeight="1">
      <c r="A76" s="861"/>
      <c r="B76" s="864"/>
      <c r="C76" s="875"/>
      <c r="D76" s="859"/>
      <c r="E76" s="546" t="str">
        <f t="shared" ref="E76:F76" si="178">IF(E70="","",E70)</f>
        <v/>
      </c>
      <c r="F76" s="484" t="str">
        <f t="shared" si="178"/>
        <v/>
      </c>
      <c r="G76" s="494" t="str">
        <f t="shared" si="169"/>
        <v/>
      </c>
      <c r="H76" s="495" t="str">
        <f t="shared" si="162"/>
        <v/>
      </c>
      <c r="I76" s="545" t="str">
        <f>IF($E76="","",IF($G76="正規職員","-",IF(AND(EXACT($C66,$C72),EXACT($E70,$E76),EXACT($G70,$G76)),I70,"賃金単価を記載")))</f>
        <v/>
      </c>
      <c r="J76" s="545" t="str">
        <f t="shared" si="170"/>
        <v/>
      </c>
      <c r="K76" s="545" t="str">
        <f>IF($E76="","",IF($G76="正規職員","-",IF(AND(EXACT($C66,$C72),EXACT($E70,$E76),EXACT($G70,$G76)),K70,"日額の交通費を記載（定期利用の場合は月額)")))</f>
        <v/>
      </c>
      <c r="L76" s="487" t="str">
        <f t="shared" si="163"/>
        <v/>
      </c>
      <c r="M76" s="487">
        <f>$M$6</f>
        <v>236166.66666667</v>
      </c>
      <c r="N76" s="487">
        <f t="shared" ref="N76" si="179">IFERROR(IF($C72="-","",IF(E76="","",IF(G76="正規職員",M76-M75,MIN(MIN(L76:M76),M75-N75)))),0)</f>
        <v>0</v>
      </c>
      <c r="O76" s="488" t="str">
        <f t="shared" si="172"/>
        <v/>
      </c>
      <c r="P76" s="343">
        <f t="shared" si="173"/>
        <v>14</v>
      </c>
      <c r="Q76" s="343" t="e">
        <f>VLOOKUP($E76&amp;Q$5,'②-2勤務時間数入力'!$D$7:$Q$106,$P76,FALSE)</f>
        <v>#N/A</v>
      </c>
      <c r="R76" s="343" t="str">
        <f>IF(ISERROR(Q76),"×",IF(Q76="-","×","○"))</f>
        <v>×</v>
      </c>
      <c r="S76" s="343" t="e">
        <f>VLOOKUP($E76&amp;S$5,'②-2勤務時間数入力'!$D$7:$Q$106,$P76,FALSE)</f>
        <v>#N/A</v>
      </c>
      <c r="T76" s="343" t="str">
        <f>IF(ISERROR(S76),"×",IF(S76="-","×","○"))</f>
        <v>×</v>
      </c>
      <c r="U76" s="343" t="e">
        <f>VLOOKUP($E76&amp;U$5,'②-2勤務時間数入力'!$D$7:$Q$106,$P76,FALSE)</f>
        <v>#N/A</v>
      </c>
      <c r="V76" s="343" t="str">
        <f>IF(ISERROR(U76),"×",IF(U76="-","×","○"))</f>
        <v>×</v>
      </c>
      <c r="W76" s="343" t="e">
        <f>VLOOKUP($E76&amp;W$5,'②-2勤務時間数入力'!$D$7:$Q$106,$P76,FALSE)</f>
        <v>#N/A</v>
      </c>
      <c r="X76" s="343" t="str">
        <f>IF(ISERROR(W76),"×",IF(W76="-","×","○"))</f>
        <v>×</v>
      </c>
      <c r="AB76" s="455" t="str">
        <f t="shared" si="165"/>
        <v>〇</v>
      </c>
      <c r="AC76" s="455" t="str">
        <f t="shared" si="166"/>
        <v>〇</v>
      </c>
      <c r="AD76" s="455" t="str">
        <f t="shared" si="167"/>
        <v>〇</v>
      </c>
    </row>
    <row r="77" spans="1:30" ht="13.5" customHeight="1">
      <c r="A77" s="862"/>
      <c r="B77" s="865"/>
      <c r="C77" s="876"/>
      <c r="D77" s="860"/>
      <c r="E77" s="342" t="s">
        <v>266</v>
      </c>
      <c r="F77" s="342"/>
      <c r="G77" s="494" t="s">
        <v>255</v>
      </c>
      <c r="H77" s="498"/>
      <c r="I77" s="486" t="s">
        <v>255</v>
      </c>
      <c r="J77" s="486"/>
      <c r="K77" s="486"/>
      <c r="L77" s="486" t="s">
        <v>255</v>
      </c>
      <c r="M77" s="486" t="s">
        <v>255</v>
      </c>
      <c r="N77" s="487">
        <f>MIN(IFERROR(IF(C72=1,IF(AND(B72="配置",OR(D72="調理師等",D72="栄養士")),MAX(SUM(N72:N76)-①基本情報!Q38+10000,0),SUM(N72:N76)),0),0),$M$6)</f>
        <v>0</v>
      </c>
      <c r="O77" s="488" t="e">
        <f>IF(SUM(N72:N76)&gt;#REF!*$M$6,MIN($M$6,SUM(N72:N76)-ROUNDDOWN(#REF!*$M$6,0)),0)</f>
        <v>#REF!</v>
      </c>
      <c r="P77" s="343"/>
      <c r="Q77" s="343"/>
      <c r="R77" s="343"/>
      <c r="S77" s="343"/>
      <c r="T77" s="343"/>
      <c r="U77" s="343"/>
      <c r="V77" s="343"/>
      <c r="W77" s="343"/>
      <c r="X77" s="343"/>
    </row>
    <row r="78" spans="1:30" ht="13.5" customHeight="1">
      <c r="A78" s="489" t="s">
        <v>246</v>
      </c>
      <c r="B78" s="489"/>
      <c r="C78" s="489"/>
      <c r="D78" s="489"/>
      <c r="E78" s="342"/>
      <c r="F78" s="342"/>
      <c r="G78" s="495"/>
      <c r="H78" s="495"/>
      <c r="I78" s="487"/>
      <c r="J78" s="487"/>
      <c r="K78" s="487"/>
      <c r="L78" s="487"/>
      <c r="M78" s="487"/>
      <c r="N78" s="553">
        <f>ROUNDDOWN(SUM(N11,N17,N23,N29,N35,N41,N47,N53,N59,N65,N71,N77),-3)</f>
        <v>0</v>
      </c>
    </row>
    <row r="79" spans="1:30">
      <c r="E79" s="488"/>
      <c r="F79" s="488"/>
      <c r="G79" s="488"/>
      <c r="H79" s="488"/>
      <c r="I79" s="488"/>
      <c r="J79" s="488"/>
      <c r="K79" s="488"/>
      <c r="L79" s="488"/>
      <c r="M79" s="488"/>
      <c r="N79" s="488"/>
    </row>
    <row r="81" spans="4:13" hidden="1"/>
    <row r="82" spans="4:13" hidden="1">
      <c r="D82" s="337" t="s">
        <v>325</v>
      </c>
      <c r="E82" s="337"/>
      <c r="F82" s="337"/>
      <c r="G82" s="337"/>
      <c r="H82" s="337"/>
      <c r="I82" s="337"/>
      <c r="M82" s="336" t="s">
        <v>551</v>
      </c>
    </row>
    <row r="83" spans="4:13" ht="38.25" hidden="1" customHeight="1">
      <c r="D83" s="337" t="s">
        <v>329</v>
      </c>
      <c r="E83" s="337"/>
      <c r="F83" s="337"/>
      <c r="G83" s="337"/>
      <c r="H83" s="337"/>
      <c r="I83" s="337"/>
      <c r="L83" s="336" t="s">
        <v>547</v>
      </c>
      <c r="M83" s="336" t="str">
        <f>'②-1職員名簿'!C144</f>
        <v>保育教諭等</v>
      </c>
    </row>
    <row r="84" spans="4:13" hidden="1">
      <c r="D84" s="337" t="s">
        <v>343</v>
      </c>
      <c r="E84" s="337"/>
      <c r="F84" s="337"/>
      <c r="G84" s="337"/>
      <c r="H84" s="337"/>
      <c r="I84" s="337"/>
      <c r="L84" s="336" t="s">
        <v>548</v>
      </c>
      <c r="M84" s="336" t="str">
        <f>'②-1職員名簿'!C145</f>
        <v>要件緩和</v>
      </c>
    </row>
    <row r="85" spans="4:13" ht="150" hidden="1" customHeight="1">
      <c r="D85" s="339" t="s">
        <v>299</v>
      </c>
      <c r="E85" s="873" t="s">
        <v>797</v>
      </c>
      <c r="F85" s="873"/>
      <c r="G85" s="873"/>
      <c r="H85" s="873"/>
      <c r="I85" s="873"/>
      <c r="L85" s="336" t="s">
        <v>549</v>
      </c>
      <c r="M85" s="336" t="str">
        <f>'②-1職員名簿'!C146</f>
        <v>看護師等</v>
      </c>
    </row>
    <row r="86" spans="4:13" ht="79.5" hidden="1" customHeight="1">
      <c r="D86" s="339" t="s">
        <v>301</v>
      </c>
      <c r="E86" s="873" t="s">
        <v>795</v>
      </c>
      <c r="F86" s="873"/>
      <c r="G86" s="873"/>
      <c r="H86" s="873"/>
      <c r="I86" s="873"/>
      <c r="L86" s="336" t="s">
        <v>550</v>
      </c>
      <c r="M86" s="336" t="str">
        <f>'②-1職員名簿'!C147</f>
        <v>栄養士</v>
      </c>
    </row>
    <row r="87" spans="4:13" ht="60" hidden="1" customHeight="1">
      <c r="D87" s="339" t="s">
        <v>331</v>
      </c>
      <c r="E87" s="873" t="s">
        <v>327</v>
      </c>
      <c r="F87" s="873"/>
      <c r="G87" s="873"/>
      <c r="H87" s="873"/>
      <c r="I87" s="873"/>
      <c r="L87" s="336" t="s">
        <v>554</v>
      </c>
      <c r="M87" s="336" t="str">
        <f>'②-1職員名簿'!C148</f>
        <v>調理師等</v>
      </c>
    </row>
    <row r="88" spans="4:13" ht="60" hidden="1" customHeight="1">
      <c r="D88" s="339" t="s">
        <v>474</v>
      </c>
      <c r="E88" s="873" t="s">
        <v>330</v>
      </c>
      <c r="F88" s="873"/>
      <c r="G88" s="873"/>
      <c r="H88" s="873"/>
      <c r="I88" s="873"/>
      <c r="L88" s="336" t="s">
        <v>555</v>
      </c>
      <c r="M88" s="336" t="str">
        <f>'②-1職員名簿'!C149</f>
        <v>教育・保育支援者</v>
      </c>
    </row>
    <row r="89" spans="4:13" ht="60" hidden="1" customHeight="1">
      <c r="D89" s="339" t="s">
        <v>475</v>
      </c>
      <c r="E89" s="873" t="s">
        <v>332</v>
      </c>
      <c r="F89" s="873"/>
      <c r="G89" s="873"/>
      <c r="H89" s="873"/>
      <c r="I89" s="873"/>
    </row>
    <row r="90" spans="4:13" hidden="1"/>
  </sheetData>
  <sheetProtection algorithmName="SHA-512" hashValue="ZGpo4pLxM9TwfLJVcrdX2AWNfCB3HjXFAlmntpKWiSL1Fyua/2Egke0imWzi11xIUas4qYaZVzE1aKIAx03nBA==" saltValue="4cVl92d8pkeObHrvdGltCA==" spinCount="100000" sheet="1" selectLockedCells="1"/>
  <mergeCells count="60">
    <mergeCell ref="E87:I87"/>
    <mergeCell ref="E88:I88"/>
    <mergeCell ref="E89:I89"/>
    <mergeCell ref="A72:A77"/>
    <mergeCell ref="B72:B77"/>
    <mergeCell ref="C72:C77"/>
    <mergeCell ref="E86:I86"/>
    <mergeCell ref="E85:I85"/>
    <mergeCell ref="D72:D77"/>
    <mergeCell ref="A60:A65"/>
    <mergeCell ref="B60:B65"/>
    <mergeCell ref="C60:C65"/>
    <mergeCell ref="A66:A71"/>
    <mergeCell ref="B66:B71"/>
    <mergeCell ref="C66:C71"/>
    <mergeCell ref="A48:A53"/>
    <mergeCell ref="B48:B53"/>
    <mergeCell ref="C48:C53"/>
    <mergeCell ref="A54:A59"/>
    <mergeCell ref="B54:B59"/>
    <mergeCell ref="C54:C59"/>
    <mergeCell ref="A36:A41"/>
    <mergeCell ref="B36:B41"/>
    <mergeCell ref="C36:C41"/>
    <mergeCell ref="A42:A47"/>
    <mergeCell ref="B42:B47"/>
    <mergeCell ref="C42:C47"/>
    <mergeCell ref="A24:A29"/>
    <mergeCell ref="B24:B29"/>
    <mergeCell ref="C24:C29"/>
    <mergeCell ref="A30:A35"/>
    <mergeCell ref="B30:B35"/>
    <mergeCell ref="C30:C35"/>
    <mergeCell ref="A12:A17"/>
    <mergeCell ref="B12:B17"/>
    <mergeCell ref="C12:C17"/>
    <mergeCell ref="A18:A23"/>
    <mergeCell ref="B18:B23"/>
    <mergeCell ref="C18:C23"/>
    <mergeCell ref="W5:X5"/>
    <mergeCell ref="A6:A11"/>
    <mergeCell ref="B6:B11"/>
    <mergeCell ref="C6:C11"/>
    <mergeCell ref="D6:D11"/>
    <mergeCell ref="U5:V5"/>
    <mergeCell ref="A1:N1"/>
    <mergeCell ref="G2:H2"/>
    <mergeCell ref="I2:N2"/>
    <mergeCell ref="Q5:R5"/>
    <mergeCell ref="S5:T5"/>
    <mergeCell ref="D66:D71"/>
    <mergeCell ref="D60:D65"/>
    <mergeCell ref="D54:D59"/>
    <mergeCell ref="D48:D53"/>
    <mergeCell ref="D42:D47"/>
    <mergeCell ref="D36:D41"/>
    <mergeCell ref="D30:D35"/>
    <mergeCell ref="D24:D29"/>
    <mergeCell ref="D18:D23"/>
    <mergeCell ref="D12:D17"/>
  </mergeCells>
  <phoneticPr fontId="1"/>
  <conditionalFormatting sqref="E6:F10">
    <cfRule type="containsBlanks" dxfId="42" priority="12">
      <formula>LEN(TRIM(E6))=0</formula>
    </cfRule>
  </conditionalFormatting>
  <conditionalFormatting sqref="E12:F16">
    <cfRule type="containsBlanks" dxfId="41" priority="1">
      <formula>LEN(TRIM(E12))=0</formula>
    </cfRule>
  </conditionalFormatting>
  <conditionalFormatting sqref="E18:F22">
    <cfRule type="containsBlanks" dxfId="40" priority="11">
      <formula>LEN(TRIM(E18))=0</formula>
    </cfRule>
  </conditionalFormatting>
  <conditionalFormatting sqref="E24:F28">
    <cfRule type="containsBlanks" dxfId="39" priority="10">
      <formula>LEN(TRIM(E24))=0</formula>
    </cfRule>
  </conditionalFormatting>
  <conditionalFormatting sqref="E30:F34">
    <cfRule type="containsBlanks" dxfId="38" priority="9">
      <formula>LEN(TRIM(E30))=0</formula>
    </cfRule>
  </conditionalFormatting>
  <conditionalFormatting sqref="E36:F40">
    <cfRule type="containsBlanks" dxfId="37" priority="8">
      <formula>LEN(TRIM(E36))=0</formula>
    </cfRule>
  </conditionalFormatting>
  <conditionalFormatting sqref="E42:F46">
    <cfRule type="containsBlanks" dxfId="36" priority="7">
      <formula>LEN(TRIM(E42))=0</formula>
    </cfRule>
  </conditionalFormatting>
  <conditionalFormatting sqref="E48:F52">
    <cfRule type="containsBlanks" dxfId="35" priority="6">
      <formula>LEN(TRIM(E48))=0</formula>
    </cfRule>
  </conditionalFormatting>
  <conditionalFormatting sqref="E54:F58">
    <cfRule type="containsBlanks" dxfId="34" priority="5">
      <formula>LEN(TRIM(E54))=0</formula>
    </cfRule>
  </conditionalFormatting>
  <conditionalFormatting sqref="E60:F64">
    <cfRule type="containsBlanks" dxfId="33" priority="4">
      <formula>LEN(TRIM(E60))=0</formula>
    </cfRule>
  </conditionalFormatting>
  <conditionalFormatting sqref="E66:F70">
    <cfRule type="containsBlanks" dxfId="32" priority="3">
      <formula>LEN(TRIM(E66))=0</formula>
    </cfRule>
  </conditionalFormatting>
  <conditionalFormatting sqref="E72:F76">
    <cfRule type="containsBlanks" dxfId="31" priority="2">
      <formula>LEN(TRIM(E72))=0</formula>
    </cfRule>
  </conditionalFormatting>
  <conditionalFormatting sqref="I6:I77">
    <cfRule type="containsText" dxfId="30" priority="30" operator="containsText" text="賃金単価を記載">
      <formula>NOT(ISERROR(SEARCH("賃金単価を記載",I6)))</formula>
    </cfRule>
  </conditionalFormatting>
  <conditionalFormatting sqref="J6:J77">
    <cfRule type="containsText" dxfId="29" priority="17" operator="containsText" text="勤務日数を記載（定期利用の場合、1と記載)">
      <formula>NOT(ISERROR(SEARCH("勤務日数を記載（定期利用の場合、1と記載)",J6)))</formula>
    </cfRule>
  </conditionalFormatting>
  <conditionalFormatting sqref="K6:K78">
    <cfRule type="containsText" dxfId="28" priority="28" operator="containsText" text="日額の交通費を記載（定期利用の場合は月額)">
      <formula>NOT(ISERROR(SEARCH("日額の交通費を記載（定期利用の場合は月額)",K6)))</formula>
    </cfRule>
  </conditionalFormatting>
  <conditionalFormatting sqref="K12:K16">
    <cfRule type="containsText" dxfId="27" priority="15" operator="containsText" text="賃金単価を記載">
      <formula>NOT(ISERROR(SEARCH("賃金単価を記載",K12)))</formula>
    </cfRule>
  </conditionalFormatting>
  <conditionalFormatting sqref="K18:K22 K24:K28 K30:K34 K36:K40 K42:K46 K48:K52 K54:K58 K60:K64 K66:K70 K72:K76">
    <cfRule type="containsText" dxfId="26" priority="14" operator="containsText" text="賃金単価を記載">
      <formula>NOT(ISERROR(SEARCH("賃金単価を記載",K18)))</formula>
    </cfRule>
  </conditionalFormatting>
  <dataValidations count="2">
    <dataValidation type="list" allowBlank="1" showInputMessage="1" showErrorMessage="1" sqref="F6:F10" xr:uid="{C3209A95-0F53-491B-BA10-6075FC170A5C}">
      <formula1>"○"</formula1>
    </dataValidation>
    <dataValidation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sqref="F12:F16 F18:F22 F24:F28 F30:F34 F36:F40 F42:F46 F48:F52 F54:F58 F60:F64 F66:F70 F72:F76 E11" xr:uid="{F5D4B567-56C8-47B4-91FD-A79CEC024CA6}"/>
  </dataValidations>
  <printOptions horizontalCentered="1"/>
  <pageMargins left="0.70866141732283472" right="0.70866141732283472" top="0.74803149606299213" bottom="0.74803149606299213" header="0.31496062992125984" footer="0.31496062992125984"/>
  <pageSetup paperSize="9" scale="56"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3BDE5F7E-1F07-48BC-9C7C-9555CE653903}">
          <x14:formula1>
            <xm:f>'②-1職員名簿'!Y$7:Y$107</xm:f>
          </x14:formula1>
          <xm:sqref>E17 E23 E29 E35 E41 E47 E53 E59 E65 E71 E77</xm:sqref>
        </x14:dataValidation>
        <x14:dataValidation type="list" allowBlank="1" showInputMessage="1" showErrorMessage="1" xr:uid="{33FBDAD6-005F-464C-A645-8AA1F5F66F32}">
          <x14:formula1>
            <xm:f>'②-1職員名簿'!Y$7:Y$107</xm:f>
          </x14:formula1>
          <xm:sqref>E6:E10 E72:E76 E66:E70 E60:E64 E54:E58 E48:E52 E42:E46 E36:E40 E30:E34 E24:E28 E18:E22 E12:E16</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F6A7-66E1-4625-B9C2-DBCBF387048B}">
  <sheetPr>
    <tabColor rgb="FF00B050"/>
  </sheetPr>
  <dimension ref="A1:X159"/>
  <sheetViews>
    <sheetView showGridLines="0" view="pageBreakPreview" zoomScale="85" zoomScaleNormal="100" zoomScaleSheetLayoutView="85" workbookViewId="0">
      <selection activeCell="D6" sqref="D6"/>
    </sheetView>
  </sheetViews>
  <sheetFormatPr defaultRowHeight="15"/>
  <cols>
    <col min="1" max="1" width="8.6640625" style="336"/>
    <col min="2" max="2" width="4.75" style="336" customWidth="1"/>
    <col min="3" max="3" width="13" style="336" customWidth="1"/>
    <col min="4" max="4" width="28.33203125" style="336" customWidth="1"/>
    <col min="5" max="9" width="11.25" style="336" customWidth="1"/>
    <col min="10" max="10" width="15" style="336" customWidth="1"/>
    <col min="11" max="20" width="0" style="336" hidden="1" customWidth="1"/>
    <col min="21" max="16384" width="8.6640625" style="336"/>
  </cols>
  <sheetData>
    <row r="1" spans="1:24" s="481" customFormat="1" ht="22">
      <c r="A1" s="852" t="s">
        <v>638</v>
      </c>
      <c r="B1" s="852"/>
      <c r="C1" s="852"/>
      <c r="D1" s="852"/>
      <c r="E1" s="852"/>
      <c r="F1" s="852"/>
      <c r="G1" s="852"/>
      <c r="H1" s="852"/>
      <c r="I1" s="852"/>
      <c r="J1" s="852"/>
      <c r="K1" s="480"/>
      <c r="L1" s="480"/>
      <c r="M1" s="480"/>
      <c r="N1" s="480"/>
      <c r="O1" s="480"/>
    </row>
    <row r="2" spans="1:24" s="481" customFormat="1" ht="18" customHeight="1">
      <c r="E2" s="869" t="s">
        <v>91</v>
      </c>
      <c r="F2" s="869"/>
      <c r="G2" s="870">
        <f>①基本情報!D6</f>
        <v>0</v>
      </c>
      <c r="H2" s="870"/>
      <c r="I2" s="870"/>
      <c r="J2" s="870"/>
      <c r="L2" s="481" t="s">
        <v>118</v>
      </c>
      <c r="W2" s="477" t="s">
        <v>1510</v>
      </c>
    </row>
    <row r="3" spans="1:24" s="481" customFormat="1" ht="2.25" customHeight="1">
      <c r="E3" s="490"/>
      <c r="F3" s="490"/>
      <c r="G3" s="491"/>
      <c r="H3" s="491"/>
      <c r="I3" s="491"/>
      <c r="J3" s="491"/>
      <c r="W3" s="336"/>
      <c r="X3" s="336"/>
    </row>
    <row r="4" spans="1:24" ht="15" customHeight="1">
      <c r="A4" s="482" t="s">
        <v>268</v>
      </c>
      <c r="B4" s="336" t="s">
        <v>731</v>
      </c>
      <c r="W4" s="455" t="str">
        <f>IF(COUNTIF(W6:W135,"×")&gt;0,"×","〇")</f>
        <v>〇</v>
      </c>
      <c r="X4" s="455" t="str">
        <f>IF(COUNTIF(X6:X136,"×")&gt;0,"×","〇")</f>
        <v>〇</v>
      </c>
    </row>
    <row r="5" spans="1:24" ht="30">
      <c r="B5" s="499" t="s">
        <v>558</v>
      </c>
      <c r="C5" s="483" t="s">
        <v>581</v>
      </c>
      <c r="D5" s="454" t="s">
        <v>236</v>
      </c>
      <c r="E5" s="454" t="s">
        <v>237</v>
      </c>
      <c r="F5" s="454" t="s">
        <v>238</v>
      </c>
      <c r="G5" s="454" t="s">
        <v>239</v>
      </c>
      <c r="H5" s="454" t="s">
        <v>240</v>
      </c>
      <c r="I5" s="454" t="s">
        <v>241</v>
      </c>
      <c r="J5" s="454" t="s">
        <v>242</v>
      </c>
      <c r="L5" s="341" t="s">
        <v>243</v>
      </c>
      <c r="M5" s="850" t="s">
        <v>186</v>
      </c>
      <c r="N5" s="851"/>
      <c r="O5" s="850" t="s">
        <v>187</v>
      </c>
      <c r="P5" s="851"/>
      <c r="Q5" s="850" t="s">
        <v>244</v>
      </c>
      <c r="R5" s="851"/>
      <c r="S5" s="850" t="s">
        <v>245</v>
      </c>
      <c r="T5" s="851"/>
      <c r="W5" s="336" t="s">
        <v>236</v>
      </c>
      <c r="X5" s="455" t="s">
        <v>1511</v>
      </c>
    </row>
    <row r="6" spans="1:24" ht="13.5" customHeight="1">
      <c r="A6" s="844">
        <v>4</v>
      </c>
      <c r="B6" s="882" t="e">
        <f>加算判定!M4</f>
        <v>#N/A</v>
      </c>
      <c r="C6" s="863" t="e">
        <f>加算判定!N4</f>
        <v>#N/A</v>
      </c>
      <c r="D6" s="546"/>
      <c r="E6" s="486" t="str">
        <f>IF(D6="","",IF(N6="○",M$5,IF(P6="○",O$5,IF(R6="○",Q$5,IF(T6="○",S$5,"ERROR")))))</f>
        <v/>
      </c>
      <c r="F6" s="487" t="str">
        <f>IF(D6="","",IF(N6="○",M6,IF(P6="○",O6,IF(R6="○",Q6,IF(T6="○",S6,"ERROR")))))</f>
        <v/>
      </c>
      <c r="G6" s="555" t="str">
        <f>IF($D6="","",IF($E6="正規職員","-","賃金単価を記載"))</f>
        <v/>
      </c>
      <c r="H6" s="487" t="str">
        <f t="shared" ref="H6:H13" si="0">IF($D6="","",IF($E6="正規職員","-",F6*G6))</f>
        <v/>
      </c>
      <c r="I6" s="496">
        <f>⑤基本加算１!AB20</f>
        <v>288666.66666667</v>
      </c>
      <c r="J6" s="487">
        <f>IFERROR(IF($C6="-","",IF(D6="",0,IF(E6="正規職員",I6,MIN(H6:I6)))),0)</f>
        <v>0</v>
      </c>
      <c r="K6" s="488" t="str">
        <f>IF(D6="","",IF(OR(COUNTIFS(D6,"*要配慮*")=1,COUNTIFS(D6,"*医療的ケア*")=1),"○","エラー"))</f>
        <v/>
      </c>
      <c r="L6" s="343">
        <v>3</v>
      </c>
      <c r="M6" s="343" t="e">
        <f>VLOOKUP($D6&amp;M$5,'②-2勤務時間数入力'!$D$7:$Q$106,$L6,FALSE)</f>
        <v>#N/A</v>
      </c>
      <c r="N6" s="343" t="str">
        <f>IF(ISERROR(M6),"×",IF(M6="-","×","○"))</f>
        <v>×</v>
      </c>
      <c r="O6" s="343" t="e">
        <f>VLOOKUP($D6&amp;O$5,'②-2勤務時間数入力'!$D$7:$Q$106,$L6,FALSE)</f>
        <v>#N/A</v>
      </c>
      <c r="P6" s="343" t="str">
        <f>IF(ISERROR(O6),"×",IF(O6="-","×","○"))</f>
        <v>×</v>
      </c>
      <c r="Q6" s="343" t="e">
        <f>VLOOKUP($D6&amp;Q$5,'②-2勤務時間数入力'!$D$7:$Q$106,$L6,FALSE)</f>
        <v>#N/A</v>
      </c>
      <c r="R6" s="343" t="str">
        <f>IF(ISERROR(Q6),"×",IF(Q6="-","×","○"))</f>
        <v>×</v>
      </c>
      <c r="S6" s="343" t="e">
        <f>VLOOKUP($D6&amp;S$5,'②-2勤務時間数入力'!$D$7:$Q$106,$L6,FALSE)</f>
        <v>#N/A</v>
      </c>
      <c r="T6" s="343" t="str">
        <f>IF(ISERROR(S6),"×",IF(S6="-","×","○"))</f>
        <v>×</v>
      </c>
      <c r="W6" s="455" t="str">
        <f>IFERROR(IF(AND(C6="保育士等",D6="",D7=""),"×","〇"),"〇")</f>
        <v>〇</v>
      </c>
      <c r="X6" s="455" t="str">
        <f>IFERROR(IF(G6="賃金単価を記載","×","〇"),"〇")</f>
        <v>〇</v>
      </c>
    </row>
    <row r="7" spans="1:24" ht="13.5" customHeight="1">
      <c r="A7" s="861"/>
      <c r="B7" s="883"/>
      <c r="C7" s="865"/>
      <c r="D7" s="546"/>
      <c r="E7" s="486" t="str">
        <f>IF(D7="","",IF(N7="○",M$5,IF(P7="○",O$5,IF(R7="○",Q$5,IF(T7="○",S$5,"ERROR")))))</f>
        <v/>
      </c>
      <c r="F7" s="487" t="str">
        <f>IF(D7="","",IF(N7="○",M7,IF(P7="○",O7,IF(R7="○",Q7,IF(T7="○",S7,"ERROR")))))</f>
        <v/>
      </c>
      <c r="G7" s="555" t="str">
        <f t="shared" ref="G7:G15" si="1">IF($D7="","",IF($E7="正規職員","-","賃金単価を記載"))</f>
        <v/>
      </c>
      <c r="H7" s="487" t="str">
        <f t="shared" si="0"/>
        <v/>
      </c>
      <c r="I7" s="487">
        <f t="shared" ref="I7:I15" si="2">$I$6</f>
        <v>288666.66666667</v>
      </c>
      <c r="J7" s="487">
        <f>IFERROR(IF($C6="-","",IF(D7="","",IF(E7="正規職員",I7-J6,MIN(MIN(H7:I7),I6-J6)))),0)</f>
        <v>0</v>
      </c>
      <c r="K7" s="488" t="str">
        <f t="shared" ref="K7:K15" si="3">IF(D7="","",IF(OR(COUNTIFS(D7,"*要配慮*")=1,COUNTIFS(D7,"*医療的ケア*")=1),"○","エラー"))</f>
        <v/>
      </c>
      <c r="L7" s="343">
        <f>L6</f>
        <v>3</v>
      </c>
      <c r="M7" s="343" t="e">
        <f>VLOOKUP($D7&amp;M$5,'②-2勤務時間数入力'!$D$7:$Q$106,$L7,FALSE)</f>
        <v>#N/A</v>
      </c>
      <c r="N7" s="343" t="str">
        <f>IF(ISERROR(M7),"×",IF(M7="-","×","○"))</f>
        <v>×</v>
      </c>
      <c r="O7" s="343" t="e">
        <f>VLOOKUP($D7&amp;O$5,'②-2勤務時間数入力'!$D$7:$Q$106,$L7,FALSE)</f>
        <v>#N/A</v>
      </c>
      <c r="P7" s="343" t="str">
        <f>IF(ISERROR(O7),"×",IF(O7="-","×","○"))</f>
        <v>×</v>
      </c>
      <c r="Q7" s="343" t="e">
        <f>VLOOKUP($D7&amp;Q$5,'②-2勤務時間数入力'!$D$7:$Q$106,$L7,FALSE)</f>
        <v>#N/A</v>
      </c>
      <c r="R7" s="343" t="str">
        <f>IF(ISERROR(Q7),"×",IF(Q7="-","×","○"))</f>
        <v>×</v>
      </c>
      <c r="S7" s="343" t="e">
        <f>VLOOKUP($D7&amp;S$5,'②-2勤務時間数入力'!$D$7:$Q$106,$L7,FALSE)</f>
        <v>#N/A</v>
      </c>
      <c r="T7" s="343" t="str">
        <f>IF(ISERROR(S7),"×",IF(S7="-","×","○"))</f>
        <v>×</v>
      </c>
      <c r="X7" s="455" t="str">
        <f t="shared" ref="X7:X70" si="4">IFERROR(IF(G7="賃金単価を記載","×","〇"),"〇")</f>
        <v>〇</v>
      </c>
    </row>
    <row r="8" spans="1:24" ht="13.5" customHeight="1">
      <c r="A8" s="861"/>
      <c r="B8" s="883"/>
      <c r="C8" s="863" t="e">
        <f>IF(B6&gt;1,C6,"-")</f>
        <v>#N/A</v>
      </c>
      <c r="D8" s="546"/>
      <c r="E8" s="486" t="str">
        <f t="shared" ref="E8:E12" si="5">IF(D8="","",IF(N8="○",M$5,IF(P8="○",O$5,IF(R8="○",Q$5,IF(T8="○",S$5,"ERROR")))))</f>
        <v/>
      </c>
      <c r="F8" s="487" t="str">
        <f t="shared" ref="F8:F12" si="6">IF(D8="","",IF(N8="○",M8,IF(P8="○",O8,IF(R8="○",Q8,IF(T8="○",S8,"ERROR")))))</f>
        <v/>
      </c>
      <c r="G8" s="555" t="str">
        <f t="shared" si="1"/>
        <v/>
      </c>
      <c r="H8" s="487" t="str">
        <f t="shared" ref="H8:H12" si="7">IF($D8="","",IF($E8="正規職員","-",F8*G8))</f>
        <v/>
      </c>
      <c r="I8" s="487">
        <f t="shared" si="2"/>
        <v>288666.66666667</v>
      </c>
      <c r="J8" s="487">
        <f>IFERROR(IF($C8="-","",IF(D8="",0,IF(E8="正規職員",I8,MIN(H8:I8)))),0)</f>
        <v>0</v>
      </c>
      <c r="K8" s="488" t="str">
        <f t="shared" ref="K8:K12" si="8">IF(D8="","",IF(OR(COUNTIFS(D8,"*要配慮*")=1,COUNTIFS(D8,"*医療的ケア*")=1),"○","エラー"))</f>
        <v/>
      </c>
      <c r="L8" s="343">
        <f t="shared" ref="L8:L12" si="9">L7</f>
        <v>3</v>
      </c>
      <c r="M8" s="343" t="e">
        <f>VLOOKUP($D8&amp;M$5,'②-2勤務時間数入力'!$D$7:$Q$106,$L8,FALSE)</f>
        <v>#N/A</v>
      </c>
      <c r="N8" s="343" t="str">
        <f t="shared" ref="N8:N12" si="10">IF(ISERROR(M8),"×",IF(M8="-","×","○"))</f>
        <v>×</v>
      </c>
      <c r="O8" s="343" t="e">
        <f>VLOOKUP($D8&amp;O$5,'②-2勤務時間数入力'!$D$7:$Q$106,$L8,FALSE)</f>
        <v>#N/A</v>
      </c>
      <c r="P8" s="343" t="str">
        <f t="shared" ref="P8:P12" si="11">IF(ISERROR(O8),"×",IF(O8="-","×","○"))</f>
        <v>×</v>
      </c>
      <c r="Q8" s="343" t="e">
        <f>VLOOKUP($D8&amp;Q$5,'②-2勤務時間数入力'!$D$7:$Q$106,$L8,FALSE)</f>
        <v>#N/A</v>
      </c>
      <c r="R8" s="343" t="str">
        <f t="shared" ref="R8:R12" si="12">IF(ISERROR(Q8),"×",IF(Q8="-","×","○"))</f>
        <v>×</v>
      </c>
      <c r="S8" s="343" t="e">
        <f>VLOOKUP($D8&amp;S$5,'②-2勤務時間数入力'!$D$7:$Q$106,$L8,FALSE)</f>
        <v>#N/A</v>
      </c>
      <c r="T8" s="343" t="str">
        <f t="shared" ref="T8:T12" si="13">IF(ISERROR(S8),"×",IF(S8="-","×","○"))</f>
        <v>×</v>
      </c>
      <c r="W8" s="455" t="str">
        <f>IFERROR(IF(AND(C8="保育士等",D8="",D9=""),"×","〇"),"〇")</f>
        <v>〇</v>
      </c>
      <c r="X8" s="455" t="str">
        <f t="shared" si="4"/>
        <v>〇</v>
      </c>
    </row>
    <row r="9" spans="1:24" ht="13.5" customHeight="1">
      <c r="A9" s="861"/>
      <c r="B9" s="883"/>
      <c r="C9" s="865"/>
      <c r="D9" s="546"/>
      <c r="E9" s="486" t="str">
        <f t="shared" si="5"/>
        <v/>
      </c>
      <c r="F9" s="487" t="str">
        <f t="shared" si="6"/>
        <v/>
      </c>
      <c r="G9" s="555" t="str">
        <f t="shared" si="1"/>
        <v/>
      </c>
      <c r="H9" s="487" t="str">
        <f t="shared" si="7"/>
        <v/>
      </c>
      <c r="I9" s="487">
        <f t="shared" si="2"/>
        <v>288666.66666667</v>
      </c>
      <c r="J9" s="487">
        <f>IFERROR(IF($C8="-","",IF(D9="","",IF(E9="正規職員",I9-J8,MIN(MIN(H9:I9),I8-J8)))),0)</f>
        <v>0</v>
      </c>
      <c r="K9" s="488" t="str">
        <f t="shared" si="8"/>
        <v/>
      </c>
      <c r="L9" s="343">
        <f t="shared" si="9"/>
        <v>3</v>
      </c>
      <c r="M9" s="343" t="e">
        <f>VLOOKUP($D9&amp;M$5,'②-2勤務時間数入力'!$D$7:$Q$106,$L9,FALSE)</f>
        <v>#N/A</v>
      </c>
      <c r="N9" s="343" t="str">
        <f t="shared" si="10"/>
        <v>×</v>
      </c>
      <c r="O9" s="343" t="e">
        <f>VLOOKUP($D9&amp;O$5,'②-2勤務時間数入力'!$D$7:$Q$106,$L9,FALSE)</f>
        <v>#N/A</v>
      </c>
      <c r="P9" s="343" t="str">
        <f t="shared" si="11"/>
        <v>×</v>
      </c>
      <c r="Q9" s="343" t="e">
        <f>VLOOKUP($D9&amp;Q$5,'②-2勤務時間数入力'!$D$7:$Q$106,$L9,FALSE)</f>
        <v>#N/A</v>
      </c>
      <c r="R9" s="343" t="str">
        <f t="shared" si="12"/>
        <v>×</v>
      </c>
      <c r="S9" s="343" t="e">
        <f>VLOOKUP($D9&amp;S$5,'②-2勤務時間数入力'!$D$7:$Q$106,$L9,FALSE)</f>
        <v>#N/A</v>
      </c>
      <c r="T9" s="343" t="str">
        <f t="shared" si="13"/>
        <v>×</v>
      </c>
      <c r="X9" s="455" t="str">
        <f t="shared" si="4"/>
        <v>〇</v>
      </c>
    </row>
    <row r="10" spans="1:24" ht="13.5" customHeight="1">
      <c r="A10" s="861"/>
      <c r="B10" s="883"/>
      <c r="C10" s="863" t="e">
        <f>IF(B6&gt;2,C6,"-")</f>
        <v>#N/A</v>
      </c>
      <c r="D10" s="546"/>
      <c r="E10" s="486" t="str">
        <f t="shared" si="5"/>
        <v/>
      </c>
      <c r="F10" s="487" t="str">
        <f t="shared" si="6"/>
        <v/>
      </c>
      <c r="G10" s="555" t="str">
        <f t="shared" si="1"/>
        <v/>
      </c>
      <c r="H10" s="487" t="str">
        <f t="shared" si="7"/>
        <v/>
      </c>
      <c r="I10" s="487">
        <f t="shared" si="2"/>
        <v>288666.66666667</v>
      </c>
      <c r="J10" s="487">
        <f>IFERROR(IF($C10="-","",IF(D10="",0,IF(E10="正規職員",I10,MIN(H10:I10)))),0)</f>
        <v>0</v>
      </c>
      <c r="K10" s="488" t="str">
        <f t="shared" si="8"/>
        <v/>
      </c>
      <c r="L10" s="343">
        <f t="shared" si="9"/>
        <v>3</v>
      </c>
      <c r="M10" s="343" t="e">
        <f>VLOOKUP($D10&amp;M$5,'②-2勤務時間数入力'!$D$7:$Q$106,$L10,FALSE)</f>
        <v>#N/A</v>
      </c>
      <c r="N10" s="343" t="str">
        <f t="shared" si="10"/>
        <v>×</v>
      </c>
      <c r="O10" s="343" t="e">
        <f>VLOOKUP($D10&amp;O$5,'②-2勤務時間数入力'!$D$7:$Q$106,$L10,FALSE)</f>
        <v>#N/A</v>
      </c>
      <c r="P10" s="343" t="str">
        <f t="shared" si="11"/>
        <v>×</v>
      </c>
      <c r="Q10" s="343" t="e">
        <f>VLOOKUP($D10&amp;Q$5,'②-2勤務時間数入力'!$D$7:$Q$106,$L10,FALSE)</f>
        <v>#N/A</v>
      </c>
      <c r="R10" s="343" t="str">
        <f t="shared" si="12"/>
        <v>×</v>
      </c>
      <c r="S10" s="343" t="e">
        <f>VLOOKUP($D10&amp;S$5,'②-2勤務時間数入力'!$D$7:$Q$106,$L10,FALSE)</f>
        <v>#N/A</v>
      </c>
      <c r="T10" s="343" t="str">
        <f t="shared" si="13"/>
        <v>×</v>
      </c>
      <c r="W10" s="455" t="str">
        <f>IFERROR(IF(AND(C10="保育士等",D10="",D11=""),"×","〇"),"〇")</f>
        <v>〇</v>
      </c>
      <c r="X10" s="455" t="str">
        <f t="shared" si="4"/>
        <v>〇</v>
      </c>
    </row>
    <row r="11" spans="1:24" ht="13.5" customHeight="1">
      <c r="A11" s="861"/>
      <c r="B11" s="883"/>
      <c r="C11" s="867"/>
      <c r="D11" s="546"/>
      <c r="E11" s="486" t="str">
        <f t="shared" si="5"/>
        <v/>
      </c>
      <c r="F11" s="487" t="str">
        <f t="shared" si="6"/>
        <v/>
      </c>
      <c r="G11" s="555" t="str">
        <f t="shared" si="1"/>
        <v/>
      </c>
      <c r="H11" s="487" t="str">
        <f t="shared" si="7"/>
        <v/>
      </c>
      <c r="I11" s="487">
        <f t="shared" si="2"/>
        <v>288666.66666667</v>
      </c>
      <c r="J11" s="487">
        <f>IFERROR(IF($C10="-","",IF(D11="","",IF(E11="正規職員",I11-J10,MIN(MIN(H11:I11),I10-J10)))),0)</f>
        <v>0</v>
      </c>
      <c r="K11" s="488" t="str">
        <f t="shared" si="8"/>
        <v/>
      </c>
      <c r="L11" s="343">
        <f t="shared" si="9"/>
        <v>3</v>
      </c>
      <c r="M11" s="343" t="e">
        <f>VLOOKUP($D11&amp;M$5,'②-2勤務時間数入力'!$D$7:$Q$106,$L11,FALSE)</f>
        <v>#N/A</v>
      </c>
      <c r="N11" s="343" t="str">
        <f t="shared" si="10"/>
        <v>×</v>
      </c>
      <c r="O11" s="343" t="e">
        <f>VLOOKUP($D11&amp;O$5,'②-2勤務時間数入力'!$D$7:$Q$106,$L11,FALSE)</f>
        <v>#N/A</v>
      </c>
      <c r="P11" s="343" t="str">
        <f t="shared" si="11"/>
        <v>×</v>
      </c>
      <c r="Q11" s="343" t="e">
        <f>VLOOKUP($D11&amp;Q$5,'②-2勤務時間数入力'!$D$7:$Q$106,$L11,FALSE)</f>
        <v>#N/A</v>
      </c>
      <c r="R11" s="343" t="str">
        <f t="shared" si="12"/>
        <v>×</v>
      </c>
      <c r="S11" s="343" t="e">
        <f>VLOOKUP($D11&amp;S$5,'②-2勤務時間数入力'!$D$7:$Q$106,$L11,FALSE)</f>
        <v>#N/A</v>
      </c>
      <c r="T11" s="343" t="str">
        <f t="shared" si="13"/>
        <v>×</v>
      </c>
      <c r="X11" s="455" t="str">
        <f t="shared" si="4"/>
        <v>〇</v>
      </c>
    </row>
    <row r="12" spans="1:24" ht="13.5" customHeight="1">
      <c r="A12" s="861"/>
      <c r="B12" s="883"/>
      <c r="C12" s="863" t="e">
        <f>IF(B6&gt;3,C6,"-")</f>
        <v>#N/A</v>
      </c>
      <c r="D12" s="546"/>
      <c r="E12" s="486" t="str">
        <f t="shared" si="5"/>
        <v/>
      </c>
      <c r="F12" s="487" t="str">
        <f t="shared" si="6"/>
        <v/>
      </c>
      <c r="G12" s="555" t="str">
        <f t="shared" si="1"/>
        <v/>
      </c>
      <c r="H12" s="487" t="str">
        <f t="shared" si="7"/>
        <v/>
      </c>
      <c r="I12" s="487">
        <f t="shared" si="2"/>
        <v>288666.66666667</v>
      </c>
      <c r="J12" s="487">
        <f>IFERROR(IF($C12="-","",IF(D12="",0,IF(E12="正規職員",I12,MIN(H12:I12)))),0)</f>
        <v>0</v>
      </c>
      <c r="K12" s="488" t="str">
        <f t="shared" si="8"/>
        <v/>
      </c>
      <c r="L12" s="343">
        <f t="shared" si="9"/>
        <v>3</v>
      </c>
      <c r="M12" s="343" t="e">
        <f>VLOOKUP($D12&amp;M$5,'②-2勤務時間数入力'!$D$7:$Q$106,$L12,FALSE)</f>
        <v>#N/A</v>
      </c>
      <c r="N12" s="343" t="str">
        <f t="shared" si="10"/>
        <v>×</v>
      </c>
      <c r="O12" s="343" t="e">
        <f>VLOOKUP($D12&amp;O$5,'②-2勤務時間数入力'!$D$7:$Q$106,$L12,FALSE)</f>
        <v>#N/A</v>
      </c>
      <c r="P12" s="343" t="str">
        <f t="shared" si="11"/>
        <v>×</v>
      </c>
      <c r="Q12" s="343" t="e">
        <f>VLOOKUP($D12&amp;Q$5,'②-2勤務時間数入力'!$D$7:$Q$106,$L12,FALSE)</f>
        <v>#N/A</v>
      </c>
      <c r="R12" s="343" t="str">
        <f t="shared" si="12"/>
        <v>×</v>
      </c>
      <c r="S12" s="343" t="e">
        <f>VLOOKUP($D12&amp;S$5,'②-2勤務時間数入力'!$D$7:$Q$106,$L12,FALSE)</f>
        <v>#N/A</v>
      </c>
      <c r="T12" s="343" t="str">
        <f t="shared" si="13"/>
        <v>×</v>
      </c>
      <c r="W12" s="455" t="str">
        <f>IFERROR(IF(AND(C12="保育士等",D12="",D13=""),"×","〇"),"〇")</f>
        <v>〇</v>
      </c>
      <c r="X12" s="455" t="str">
        <f t="shared" si="4"/>
        <v>〇</v>
      </c>
    </row>
    <row r="13" spans="1:24" ht="13.5" customHeight="1">
      <c r="A13" s="861"/>
      <c r="B13" s="883"/>
      <c r="C13" s="867"/>
      <c r="D13" s="546"/>
      <c r="E13" s="486" t="str">
        <f t="shared" ref="E13:E15" si="14">IF(D13="","",IF(N13="○",M$5,IF(P13="○",O$5,IF(R13="○",Q$5,IF(T13="○",S$5,"ERROR")))))</f>
        <v/>
      </c>
      <c r="F13" s="487" t="str">
        <f t="shared" ref="F13:F15" si="15">IF(D13="","",IF(N13="○",M13,IF(P13="○",O13,IF(R13="○",Q13,IF(T13="○",S13,"ERROR")))))</f>
        <v/>
      </c>
      <c r="G13" s="555" t="str">
        <f t="shared" si="1"/>
        <v/>
      </c>
      <c r="H13" s="487" t="str">
        <f t="shared" si="0"/>
        <v/>
      </c>
      <c r="I13" s="487">
        <f t="shared" si="2"/>
        <v>288666.66666667</v>
      </c>
      <c r="J13" s="487">
        <f>IFERROR(IF($C12="-","",IF(D13="","",IF(E13="正規職員",I13-J12,MIN(MIN(H13:I13),I12-J12)))),0)</f>
        <v>0</v>
      </c>
      <c r="K13" s="488" t="str">
        <f t="shared" si="3"/>
        <v/>
      </c>
      <c r="L13" s="343">
        <f>L7</f>
        <v>3</v>
      </c>
      <c r="M13" s="343" t="e">
        <f>VLOOKUP($D13&amp;M$5,'②-2勤務時間数入力'!$D$7:$Q$106,$L13,FALSE)</f>
        <v>#N/A</v>
      </c>
      <c r="N13" s="343" t="str">
        <f>IF(ISERROR(M13),"×",IF(M13="-","×","○"))</f>
        <v>×</v>
      </c>
      <c r="O13" s="343" t="e">
        <f>VLOOKUP($D13&amp;O$5,'②-2勤務時間数入力'!$D$7:$Q$106,$L13,FALSE)</f>
        <v>#N/A</v>
      </c>
      <c r="P13" s="343" t="str">
        <f>IF(ISERROR(O13),"×",IF(O13="-","×","○"))</f>
        <v>×</v>
      </c>
      <c r="Q13" s="343" t="e">
        <f>VLOOKUP($D13&amp;Q$5,'②-2勤務時間数入力'!$D$7:$Q$106,$L13,FALSE)</f>
        <v>#N/A</v>
      </c>
      <c r="R13" s="343" t="str">
        <f>IF(ISERROR(Q13),"×",IF(Q13="-","×","○"))</f>
        <v>×</v>
      </c>
      <c r="S13" s="343" t="e">
        <f>VLOOKUP($D13&amp;S$5,'②-2勤務時間数入力'!$D$7:$Q$106,$L13,FALSE)</f>
        <v>#N/A</v>
      </c>
      <c r="T13" s="343" t="str">
        <f>IF(ISERROR(S13),"×",IF(S13="-","×","○"))</f>
        <v>×</v>
      </c>
      <c r="X13" s="455" t="str">
        <f t="shared" si="4"/>
        <v>〇</v>
      </c>
    </row>
    <row r="14" spans="1:24" ht="13.5" customHeight="1">
      <c r="A14" s="861"/>
      <c r="B14" s="883"/>
      <c r="C14" s="863" t="e">
        <f>IF(B6&gt;4,C6,"-")</f>
        <v>#N/A</v>
      </c>
      <c r="D14" s="546" t="s">
        <v>780</v>
      </c>
      <c r="E14" s="486" t="str">
        <f t="shared" si="14"/>
        <v/>
      </c>
      <c r="F14" s="487" t="str">
        <f t="shared" si="15"/>
        <v/>
      </c>
      <c r="G14" s="555" t="str">
        <f t="shared" si="1"/>
        <v/>
      </c>
      <c r="H14" s="487" t="str">
        <f>IF($D14="","",IF($E14="正規職員","-",F14*G14))</f>
        <v/>
      </c>
      <c r="I14" s="487">
        <f t="shared" si="2"/>
        <v>288666.66666667</v>
      </c>
      <c r="J14" s="487">
        <f>IFERROR(IF($C14="-","",IF(D14="",0,IF(E14="正規職員",I14,MIN(H14:I14)))),0)</f>
        <v>0</v>
      </c>
      <c r="K14" s="488" t="str">
        <f t="shared" si="3"/>
        <v/>
      </c>
      <c r="L14" s="343">
        <f t="shared" ref="L14:L15" si="16">L13</f>
        <v>3</v>
      </c>
      <c r="M14" s="343" t="e">
        <f>VLOOKUP($D14&amp;M$5,'②-2勤務時間数入力'!$D$7:$Q$106,$L14,FALSE)</f>
        <v>#N/A</v>
      </c>
      <c r="N14" s="343" t="str">
        <f>IF(ISERROR(M14),"×",IF(M14="-","×","○"))</f>
        <v>×</v>
      </c>
      <c r="O14" s="343" t="e">
        <f>VLOOKUP($D14&amp;O$5,'②-2勤務時間数入力'!$D$7:$Q$106,$L14,FALSE)</f>
        <v>#N/A</v>
      </c>
      <c r="P14" s="343" t="str">
        <f>IF(ISERROR(O14),"×",IF(O14="-","×","○"))</f>
        <v>×</v>
      </c>
      <c r="Q14" s="343" t="e">
        <f>VLOOKUP($D14&amp;Q$5,'②-2勤務時間数入力'!$D$7:$Q$106,$L14,FALSE)</f>
        <v>#N/A</v>
      </c>
      <c r="R14" s="343" t="str">
        <f>IF(ISERROR(Q14),"×",IF(Q14="-","×","○"))</f>
        <v>×</v>
      </c>
      <c r="S14" s="343" t="e">
        <f>VLOOKUP($D14&amp;S$5,'②-2勤務時間数入力'!$D$7:$Q$106,$L14,FALSE)</f>
        <v>#N/A</v>
      </c>
      <c r="T14" s="343" t="str">
        <f>IF(ISERROR(S14),"×",IF(S14="-","×","○"))</f>
        <v>×</v>
      </c>
      <c r="W14" s="455" t="str">
        <f>IFERROR(IF(AND(C14="保育士等",D14="",D15=""),"×","〇"),"〇")</f>
        <v>〇</v>
      </c>
      <c r="X14" s="455" t="str">
        <f t="shared" si="4"/>
        <v>〇</v>
      </c>
    </row>
    <row r="15" spans="1:24" ht="13.5" customHeight="1">
      <c r="A15" s="880"/>
      <c r="B15" s="883"/>
      <c r="C15" s="867"/>
      <c r="D15" s="546"/>
      <c r="E15" s="486" t="str">
        <f t="shared" si="14"/>
        <v/>
      </c>
      <c r="F15" s="487" t="str">
        <f t="shared" si="15"/>
        <v/>
      </c>
      <c r="G15" s="555" t="str">
        <f t="shared" si="1"/>
        <v/>
      </c>
      <c r="H15" s="487" t="str">
        <f>IF($D15="","",IF($E15="正規職員","-",F15*G15))</f>
        <v/>
      </c>
      <c r="I15" s="487">
        <f t="shared" si="2"/>
        <v>288666.66666667</v>
      </c>
      <c r="J15" s="487">
        <f>IFERROR(IF($C14="-","",IF(D15="","",IF(E15="正規職員",I15-J14,MIN(MIN(H15:I15),I14-J14)))),0)</f>
        <v>0</v>
      </c>
      <c r="K15" s="488" t="str">
        <f t="shared" si="3"/>
        <v/>
      </c>
      <c r="L15" s="343">
        <f t="shared" si="16"/>
        <v>3</v>
      </c>
      <c r="M15" s="343" t="e">
        <f>VLOOKUP($D15&amp;M$5,'②-2勤務時間数入力'!$D$7:$Q$106,$L15,FALSE)</f>
        <v>#N/A</v>
      </c>
      <c r="N15" s="343" t="str">
        <f>IF(ISERROR(M15),"×",IF(M15="-","×","○"))</f>
        <v>×</v>
      </c>
      <c r="O15" s="343" t="e">
        <f>VLOOKUP($D15&amp;O$5,'②-2勤務時間数入力'!$D$7:$Q$106,$L15,FALSE)</f>
        <v>#N/A</v>
      </c>
      <c r="P15" s="343" t="str">
        <f>IF(ISERROR(O15),"×",IF(O15="-","×","○"))</f>
        <v>×</v>
      </c>
      <c r="Q15" s="343" t="e">
        <f>VLOOKUP($D15&amp;Q$5,'②-2勤務時間数入力'!$D$7:$Q$106,$L15,FALSE)</f>
        <v>#N/A</v>
      </c>
      <c r="R15" s="343" t="str">
        <f>IF(ISERROR(Q15),"×",IF(Q15="-","×","○"))</f>
        <v>×</v>
      </c>
      <c r="S15" s="343" t="e">
        <f>VLOOKUP($D15&amp;S$5,'②-2勤務時間数入力'!$D$7:$Q$106,$L15,FALSE)</f>
        <v>#N/A</v>
      </c>
      <c r="T15" s="343" t="str">
        <f>IF(ISERROR(S15),"×",IF(S15="-","×","○"))</f>
        <v>×</v>
      </c>
      <c r="X15" s="455" t="str">
        <f t="shared" si="4"/>
        <v>〇</v>
      </c>
    </row>
    <row r="16" spans="1:24" ht="13.5" customHeight="1">
      <c r="A16" s="845"/>
      <c r="B16" s="884"/>
      <c r="C16" s="500"/>
      <c r="D16" s="342" t="s">
        <v>254</v>
      </c>
      <c r="E16" s="486" t="s">
        <v>255</v>
      </c>
      <c r="F16" s="497"/>
      <c r="G16" s="486" t="s">
        <v>255</v>
      </c>
      <c r="H16" s="486" t="s">
        <v>255</v>
      </c>
      <c r="I16" s="486" t="s">
        <v>255</v>
      </c>
      <c r="J16" s="487">
        <f>IFERROR(IF(J6="","",MIN(SUM(J6:J15),(B6*I6))),0)</f>
        <v>0</v>
      </c>
      <c r="K16" s="488"/>
      <c r="L16" s="343"/>
      <c r="M16" s="343"/>
      <c r="N16" s="343"/>
      <c r="O16" s="343"/>
      <c r="P16" s="343"/>
      <c r="Q16" s="343"/>
      <c r="R16" s="343"/>
      <c r="S16" s="343"/>
      <c r="T16" s="343"/>
      <c r="X16" s="455" t="str">
        <f t="shared" si="4"/>
        <v>〇</v>
      </c>
    </row>
    <row r="17" spans="1:24" ht="13.5" customHeight="1">
      <c r="A17" s="844">
        <v>5</v>
      </c>
      <c r="B17" s="863" t="e">
        <f>加算判定!M5</f>
        <v>#N/A</v>
      </c>
      <c r="C17" s="863" t="e">
        <f>加算判定!N5</f>
        <v>#N/A</v>
      </c>
      <c r="D17" s="546" t="str">
        <f t="shared" ref="D17:D26" si="17">IF(D6="","",D6)</f>
        <v/>
      </c>
      <c r="E17" s="486" t="str">
        <f>IF(D17="","",IF(N17="○",M$5,IF(P17="○",O$5,IF(R17="○",Q$5,IF(T17="○",S$5,"ERROR")))))</f>
        <v/>
      </c>
      <c r="F17" s="487" t="str">
        <f>IF(D17="","",IF(N17="○",M17,IF(P17="○",O17,IF(R17="○",Q17,IF(T17="○",S17,"ERROR")))))</f>
        <v/>
      </c>
      <c r="G17" s="555" t="e">
        <f>IF($B17="-","",IF($E17="正規職員","-",IF(AND(EXACT(B6,B17),EXACT(D6,D17),EXACT(E6,E17)),G6,"賃金単価を記載")))</f>
        <v>#N/A</v>
      </c>
      <c r="H17" s="487" t="str">
        <f t="shared" ref="H17:H24" si="18">IF($D17="","",IF($E17="正規職員","-",F17*G17))</f>
        <v/>
      </c>
      <c r="I17" s="487">
        <f t="shared" ref="I17:I135" si="19">$I$6</f>
        <v>288666.66666667</v>
      </c>
      <c r="J17" s="487">
        <f>IFERROR(IF($C17="-","",IF(D17="",0,IF(E17="正規職員",I17,MIN(H17:I17)))),0)</f>
        <v>0</v>
      </c>
      <c r="K17" s="488" t="str">
        <f>IF(D17="","",IF(OR(COUNTIFS(D17,"*要配慮*")=1,COUNTIFS(D17,"*医療的ケア*")=1),"○","エラー"))</f>
        <v/>
      </c>
      <c r="L17" s="343">
        <f>L6+1</f>
        <v>4</v>
      </c>
      <c r="M17" s="343" t="e">
        <f>VLOOKUP($D17&amp;M$5,'②-2勤務時間数入力'!$D$7:$Q$106,$L17,FALSE)</f>
        <v>#N/A</v>
      </c>
      <c r="N17" s="343" t="str">
        <f t="shared" ref="N17:N26" si="20">IF(ISERROR(M17),"×",IF(M17="-","×","○"))</f>
        <v>×</v>
      </c>
      <c r="O17" s="343" t="e">
        <f>VLOOKUP($D17&amp;O$5,'②-2勤務時間数入力'!$D$7:$Q$106,$L17,FALSE)</f>
        <v>#N/A</v>
      </c>
      <c r="P17" s="343" t="str">
        <f t="shared" ref="P17:P26" si="21">IF(ISERROR(O17),"×",IF(O17="-","×","○"))</f>
        <v>×</v>
      </c>
      <c r="Q17" s="343" t="e">
        <f>VLOOKUP($D17&amp;Q$5,'②-2勤務時間数入力'!$D$7:$Q$106,$L17,FALSE)</f>
        <v>#N/A</v>
      </c>
      <c r="R17" s="343" t="str">
        <f t="shared" ref="R17:R26" si="22">IF(ISERROR(Q17),"×",IF(Q17="-","×","○"))</f>
        <v>×</v>
      </c>
      <c r="S17" s="343" t="e">
        <f>VLOOKUP($D17&amp;S$5,'②-2勤務時間数入力'!$D$7:$Q$106,$L17,FALSE)</f>
        <v>#N/A</v>
      </c>
      <c r="T17" s="343" t="str">
        <f t="shared" ref="T17:T26" si="23">IF(ISERROR(S17),"×",IF(S17="-","×","○"))</f>
        <v>×</v>
      </c>
      <c r="W17" s="455" t="str">
        <f>IFERROR(IF(AND(C17="保育士等",D17="",D18=""),"×","〇"),"〇")</f>
        <v>〇</v>
      </c>
      <c r="X17" s="455" t="str">
        <f t="shared" si="4"/>
        <v>〇</v>
      </c>
    </row>
    <row r="18" spans="1:24" ht="13.5" customHeight="1">
      <c r="A18" s="861"/>
      <c r="B18" s="864"/>
      <c r="C18" s="865"/>
      <c r="D18" s="546" t="str">
        <f>IF(D7="","",D7)</f>
        <v/>
      </c>
      <c r="E18" s="486" t="str">
        <f t="shared" ref="E18:E26" si="24">IF(D18="","",IF(N18="○",M$5,IF(P18="○",O$5,IF(R18="○",Q$5,IF(T18="○",S$5,"ERROR")))))</f>
        <v/>
      </c>
      <c r="F18" s="487" t="str">
        <f t="shared" ref="F18:F26" si="25">IF(D18="","",IF(N18="○",M18,IF(P18="○",O18,IF(R18="○",Q18,IF(T18="○",S18,"ERROR")))))</f>
        <v/>
      </c>
      <c r="G18" s="555" t="e">
        <f>IF($B17="-","",IF($E18="正規職員","-",IF(AND(EXACT(B6,B17),EXACT(D7,D18),EXACT(E7,E18)),G7,"賃金単価を記載")))</f>
        <v>#N/A</v>
      </c>
      <c r="H18" s="487" t="str">
        <f t="shared" si="18"/>
        <v/>
      </c>
      <c r="I18" s="487">
        <f t="shared" si="19"/>
        <v>288666.66666667</v>
      </c>
      <c r="J18" s="487">
        <f t="shared" ref="J18" si="26">IFERROR(IF($C17="-","",IF(D18="","",IF(E18="正規職員",I18-J17,MIN(MIN(H18:I18),I17-J17)))),0)</f>
        <v>0</v>
      </c>
      <c r="K18" s="488" t="str">
        <f t="shared" ref="K18:K26" si="27">IF(D18="","",IF(OR(COUNTIFS(D18,"*要配慮*")=1,COUNTIFS(D18,"*医療的ケア*")=1),"○","エラー"))</f>
        <v/>
      </c>
      <c r="L18" s="343">
        <f>L17</f>
        <v>4</v>
      </c>
      <c r="M18" s="343" t="e">
        <f>VLOOKUP($D18&amp;M$5,'②-2勤務時間数入力'!$D$7:$Q$106,$L18,FALSE)</f>
        <v>#N/A</v>
      </c>
      <c r="N18" s="343" t="str">
        <f t="shared" si="20"/>
        <v>×</v>
      </c>
      <c r="O18" s="343" t="e">
        <f>VLOOKUP($D18&amp;O$5,'②-2勤務時間数入力'!$D$7:$Q$106,$L18,FALSE)</f>
        <v>#N/A</v>
      </c>
      <c r="P18" s="343" t="str">
        <f t="shared" si="21"/>
        <v>×</v>
      </c>
      <c r="Q18" s="343" t="e">
        <f>VLOOKUP($D18&amp;Q$5,'②-2勤務時間数入力'!$D$7:$Q$106,$L18,FALSE)</f>
        <v>#N/A</v>
      </c>
      <c r="R18" s="343" t="str">
        <f t="shared" si="22"/>
        <v>×</v>
      </c>
      <c r="S18" s="343" t="e">
        <f>VLOOKUP($D18&amp;S$5,'②-2勤務時間数入力'!$D$7:$Q$106,$L18,FALSE)</f>
        <v>#N/A</v>
      </c>
      <c r="T18" s="343" t="str">
        <f t="shared" si="23"/>
        <v>×</v>
      </c>
      <c r="X18" s="455" t="str">
        <f t="shared" si="4"/>
        <v>〇</v>
      </c>
    </row>
    <row r="19" spans="1:24" ht="13.5" customHeight="1">
      <c r="A19" s="861"/>
      <c r="B19" s="864"/>
      <c r="C19" s="863" t="e">
        <f t="shared" ref="C19" si="28">IF(B17&gt;1,C17,"-")</f>
        <v>#N/A</v>
      </c>
      <c r="D19" s="546" t="str">
        <f>IF(D8="","",D8)</f>
        <v/>
      </c>
      <c r="E19" s="486" t="str">
        <f t="shared" si="24"/>
        <v/>
      </c>
      <c r="F19" s="487" t="str">
        <f t="shared" si="25"/>
        <v/>
      </c>
      <c r="G19" s="555" t="e">
        <f>IF($B17="-","",IF($E19="正規職員","-",IF(AND(EXACT(B6,B17),EXACT(D8,D19),EXACT(E8,E19)),G8,"賃金単価を記載")))</f>
        <v>#N/A</v>
      </c>
      <c r="H19" s="487" t="str">
        <f t="shared" si="18"/>
        <v/>
      </c>
      <c r="I19" s="487">
        <f t="shared" si="19"/>
        <v>288666.66666667</v>
      </c>
      <c r="J19" s="487">
        <f t="shared" ref="J19" si="29">IFERROR(IF($C19="-","",IF(D19="",0,IF(E19="正規職員",I19,MIN(H19:I19)))),0)</f>
        <v>0</v>
      </c>
      <c r="K19" s="488" t="str">
        <f t="shared" si="27"/>
        <v/>
      </c>
      <c r="L19" s="343">
        <f t="shared" ref="L19:L25" si="30">L18</f>
        <v>4</v>
      </c>
      <c r="M19" s="343" t="e">
        <f>VLOOKUP($D19&amp;M$5,'②-2勤務時間数入力'!$D$7:$Q$106,$L19,FALSE)</f>
        <v>#N/A</v>
      </c>
      <c r="N19" s="343" t="str">
        <f t="shared" si="20"/>
        <v>×</v>
      </c>
      <c r="O19" s="343" t="e">
        <f>VLOOKUP($D19&amp;O$5,'②-2勤務時間数入力'!$D$7:$Q$106,$L19,FALSE)</f>
        <v>#N/A</v>
      </c>
      <c r="P19" s="343" t="str">
        <f t="shared" si="21"/>
        <v>×</v>
      </c>
      <c r="Q19" s="343" t="e">
        <f>VLOOKUP($D19&amp;Q$5,'②-2勤務時間数入力'!$D$7:$Q$106,$L19,FALSE)</f>
        <v>#N/A</v>
      </c>
      <c r="R19" s="343" t="str">
        <f t="shared" si="22"/>
        <v>×</v>
      </c>
      <c r="S19" s="343" t="e">
        <f>VLOOKUP($D19&amp;S$5,'②-2勤務時間数入力'!$D$7:$Q$106,$L19,FALSE)</f>
        <v>#N/A</v>
      </c>
      <c r="T19" s="343" t="str">
        <f t="shared" si="23"/>
        <v>×</v>
      </c>
      <c r="W19" s="455" t="str">
        <f>IFERROR(IF(AND(C19="保育士等",D19="",D20=""),"×","〇"),"〇")</f>
        <v>〇</v>
      </c>
      <c r="X19" s="455" t="str">
        <f t="shared" si="4"/>
        <v>〇</v>
      </c>
    </row>
    <row r="20" spans="1:24" ht="13.5" customHeight="1">
      <c r="A20" s="861"/>
      <c r="B20" s="864"/>
      <c r="C20" s="865"/>
      <c r="D20" s="546" t="str">
        <f t="shared" si="17"/>
        <v/>
      </c>
      <c r="E20" s="486" t="str">
        <f t="shared" si="24"/>
        <v/>
      </c>
      <c r="F20" s="487" t="str">
        <f t="shared" si="25"/>
        <v/>
      </c>
      <c r="G20" s="555" t="e">
        <f>IF($B17="-","",IF($E20="正規職員","-",IF(AND(EXACT(B6,B17),EXACT(D9,D20),EXACT(E9,E20)),G9,"賃金単価を記載")))</f>
        <v>#N/A</v>
      </c>
      <c r="H20" s="487" t="str">
        <f>IF($D20="","",IF($E20="正規職員","-",F20*G20))</f>
        <v/>
      </c>
      <c r="I20" s="487">
        <f t="shared" si="19"/>
        <v>288666.66666667</v>
      </c>
      <c r="J20" s="487">
        <f t="shared" ref="J20" si="31">IFERROR(IF($C19="-","",IF(D20="","",IF(E20="正規職員",I20-J19,MIN(MIN(H20:I20),I19-J19)))),0)</f>
        <v>0</v>
      </c>
      <c r="K20" s="488" t="str">
        <f t="shared" si="27"/>
        <v/>
      </c>
      <c r="L20" s="343">
        <f t="shared" si="30"/>
        <v>4</v>
      </c>
      <c r="M20" s="343" t="e">
        <f>VLOOKUP($D20&amp;M$5,'②-2勤務時間数入力'!$D$7:$Q$106,$L20,FALSE)</f>
        <v>#N/A</v>
      </c>
      <c r="N20" s="343" t="str">
        <f t="shared" si="20"/>
        <v>×</v>
      </c>
      <c r="O20" s="343" t="e">
        <f>VLOOKUP($D20&amp;O$5,'②-2勤務時間数入力'!$D$7:$Q$106,$L20,FALSE)</f>
        <v>#N/A</v>
      </c>
      <c r="P20" s="343" t="str">
        <f t="shared" si="21"/>
        <v>×</v>
      </c>
      <c r="Q20" s="343" t="e">
        <f>VLOOKUP($D20&amp;Q$5,'②-2勤務時間数入力'!$D$7:$Q$106,$L20,FALSE)</f>
        <v>#N/A</v>
      </c>
      <c r="R20" s="343" t="str">
        <f t="shared" si="22"/>
        <v>×</v>
      </c>
      <c r="S20" s="343" t="e">
        <f>VLOOKUP($D20&amp;S$5,'②-2勤務時間数入力'!$D$7:$Q$106,$L20,FALSE)</f>
        <v>#N/A</v>
      </c>
      <c r="T20" s="343" t="str">
        <f t="shared" si="23"/>
        <v>×</v>
      </c>
      <c r="X20" s="455" t="str">
        <f t="shared" si="4"/>
        <v>〇</v>
      </c>
    </row>
    <row r="21" spans="1:24" ht="13.5" customHeight="1">
      <c r="A21" s="861"/>
      <c r="B21" s="864"/>
      <c r="C21" s="863" t="e">
        <f t="shared" ref="C21" si="32">IF(B17&gt;2,C17,"-")</f>
        <v>#N/A</v>
      </c>
      <c r="D21" s="546" t="str">
        <f t="shared" si="17"/>
        <v/>
      </c>
      <c r="E21" s="486" t="str">
        <f t="shared" ref="E21:E23" si="33">IF(D21="","",IF(N21="○",M$5,IF(P21="○",O$5,IF(R21="○",Q$5,IF(T21="○",S$5,"ERROR")))))</f>
        <v/>
      </c>
      <c r="F21" s="487" t="str">
        <f t="shared" ref="F21:F23" si="34">IF(D21="","",IF(N21="○",M21,IF(P21="○",O21,IF(R21="○",Q21,IF(T21="○",S21,"ERROR")))))</f>
        <v/>
      </c>
      <c r="G21" s="555" t="e">
        <f>IF($B17="-","",IF($E21="正規職員","-",IF(AND(EXACT(B6,B17),EXACT(D10,D21),EXACT(E10,E21)),G10,"賃金単価を記載")))</f>
        <v>#N/A</v>
      </c>
      <c r="H21" s="487" t="str">
        <f t="shared" ref="H21" si="35">IF($D21="","",IF($E21="正規職員","-",F21*G21))</f>
        <v/>
      </c>
      <c r="I21" s="487">
        <f t="shared" si="19"/>
        <v>288666.66666667</v>
      </c>
      <c r="J21" s="487">
        <f t="shared" ref="J21" si="36">IFERROR(IF($C21="-","",IF(D21="",0,IF(E21="正規職員",I21,MIN(H21:I21)))),0)</f>
        <v>0</v>
      </c>
      <c r="K21" s="488" t="str">
        <f t="shared" ref="K21:K23" si="37">IF(D21="","",IF(OR(COUNTIFS(D21,"*要配慮*")=1,COUNTIFS(D21,"*医療的ケア*")=1),"○","エラー"))</f>
        <v/>
      </c>
      <c r="L21" s="343">
        <f t="shared" si="30"/>
        <v>4</v>
      </c>
      <c r="M21" s="343" t="e">
        <f>VLOOKUP($D21&amp;M$5,'②-2勤務時間数入力'!$D$7:$Q$106,$L21,FALSE)</f>
        <v>#N/A</v>
      </c>
      <c r="N21" s="343" t="str">
        <f t="shared" si="20"/>
        <v>×</v>
      </c>
      <c r="O21" s="343" t="e">
        <f>VLOOKUP($D21&amp;O$5,'②-2勤務時間数入力'!$D$7:$Q$106,$L21,FALSE)</f>
        <v>#N/A</v>
      </c>
      <c r="P21" s="343" t="str">
        <f t="shared" si="21"/>
        <v>×</v>
      </c>
      <c r="Q21" s="343" t="e">
        <f>VLOOKUP($D21&amp;Q$5,'②-2勤務時間数入力'!$D$7:$Q$106,$L21,FALSE)</f>
        <v>#N/A</v>
      </c>
      <c r="R21" s="343" t="str">
        <f t="shared" si="22"/>
        <v>×</v>
      </c>
      <c r="S21" s="343" t="e">
        <f>VLOOKUP($D21&amp;S$5,'②-2勤務時間数入力'!$D$7:$Q$106,$L21,FALSE)</f>
        <v>#N/A</v>
      </c>
      <c r="T21" s="343" t="str">
        <f t="shared" si="23"/>
        <v>×</v>
      </c>
      <c r="W21" s="455" t="str">
        <f>IFERROR(IF(AND(C21="保育士等",D21="",D22=""),"×","〇"),"〇")</f>
        <v>〇</v>
      </c>
      <c r="X21" s="455" t="str">
        <f t="shared" si="4"/>
        <v>〇</v>
      </c>
    </row>
    <row r="22" spans="1:24" ht="13.5" customHeight="1">
      <c r="A22" s="861"/>
      <c r="B22" s="864"/>
      <c r="C22" s="865"/>
      <c r="D22" s="546" t="str">
        <f t="shared" si="17"/>
        <v/>
      </c>
      <c r="E22" s="486" t="str">
        <f t="shared" si="33"/>
        <v/>
      </c>
      <c r="F22" s="487" t="str">
        <f t="shared" si="34"/>
        <v/>
      </c>
      <c r="G22" s="555" t="e">
        <f>IF($B17="-","",IF($E22="正規職員","-",IF(AND(EXACT(B6,B17),EXACT(D11,D22),EXACT(E11,E22)),G11,"賃金単価を記載")))</f>
        <v>#N/A</v>
      </c>
      <c r="H22" s="487" t="str">
        <f>IF($D22="","",IF($E22="正規職員","-",F22*G22))</f>
        <v/>
      </c>
      <c r="I22" s="487">
        <f t="shared" si="19"/>
        <v>288666.66666667</v>
      </c>
      <c r="J22" s="487">
        <f t="shared" ref="J22" si="38">IFERROR(IF($C21="-","",IF(D22="","",IF(E22="正規職員",I22-J21,MIN(MIN(H22:I22),I21-J21)))),0)</f>
        <v>0</v>
      </c>
      <c r="K22" s="488" t="str">
        <f t="shared" si="37"/>
        <v/>
      </c>
      <c r="L22" s="343">
        <f t="shared" si="30"/>
        <v>4</v>
      </c>
      <c r="M22" s="343" t="e">
        <f>VLOOKUP($D22&amp;M$5,'②-2勤務時間数入力'!$D$7:$Q$106,$L22,FALSE)</f>
        <v>#N/A</v>
      </c>
      <c r="N22" s="343" t="str">
        <f t="shared" si="20"/>
        <v>×</v>
      </c>
      <c r="O22" s="343" t="e">
        <f>VLOOKUP($D22&amp;O$5,'②-2勤務時間数入力'!$D$7:$Q$106,$L22,FALSE)</f>
        <v>#N/A</v>
      </c>
      <c r="P22" s="343" t="str">
        <f t="shared" si="21"/>
        <v>×</v>
      </c>
      <c r="Q22" s="343" t="e">
        <f>VLOOKUP($D22&amp;Q$5,'②-2勤務時間数入力'!$D$7:$Q$106,$L22,FALSE)</f>
        <v>#N/A</v>
      </c>
      <c r="R22" s="343" t="str">
        <f t="shared" si="22"/>
        <v>×</v>
      </c>
      <c r="S22" s="343" t="e">
        <f>VLOOKUP($D22&amp;S$5,'②-2勤務時間数入力'!$D$7:$Q$106,$L22,FALSE)</f>
        <v>#N/A</v>
      </c>
      <c r="T22" s="343" t="str">
        <f t="shared" si="23"/>
        <v>×</v>
      </c>
      <c r="X22" s="455" t="str">
        <f t="shared" si="4"/>
        <v>〇</v>
      </c>
    </row>
    <row r="23" spans="1:24" ht="13.5" customHeight="1">
      <c r="A23" s="861"/>
      <c r="B23" s="864"/>
      <c r="C23" s="863" t="e">
        <f t="shared" ref="C23" si="39">IF(B17&gt;3,C17,"-")</f>
        <v>#N/A</v>
      </c>
      <c r="D23" s="546" t="str">
        <f t="shared" si="17"/>
        <v/>
      </c>
      <c r="E23" s="486" t="str">
        <f t="shared" si="33"/>
        <v/>
      </c>
      <c r="F23" s="487" t="str">
        <f t="shared" si="34"/>
        <v/>
      </c>
      <c r="G23" s="555" t="e">
        <f>IF($B17="-","",IF($E23="正規職員","-",IF(AND(EXACT(B6,B17),EXACT(D12,D23),EXACT(E12,E23)),G12,"賃金単価を記載")))</f>
        <v>#N/A</v>
      </c>
      <c r="H23" s="487" t="str">
        <f>IF($D23="","",IF($E23="正規職員","-",F23*G23))</f>
        <v/>
      </c>
      <c r="I23" s="487">
        <f t="shared" si="19"/>
        <v>288666.66666667</v>
      </c>
      <c r="J23" s="487">
        <f t="shared" ref="J23" si="40">IFERROR(IF($C23="-","",IF(D23="",0,IF(E23="正規職員",I23,MIN(H23:I23)))),0)</f>
        <v>0</v>
      </c>
      <c r="K23" s="488" t="str">
        <f t="shared" si="37"/>
        <v/>
      </c>
      <c r="L23" s="343">
        <f t="shared" si="30"/>
        <v>4</v>
      </c>
      <c r="M23" s="343" t="e">
        <f>VLOOKUP($D23&amp;M$5,'②-2勤務時間数入力'!$D$7:$Q$106,$L23,FALSE)</f>
        <v>#N/A</v>
      </c>
      <c r="N23" s="343" t="str">
        <f t="shared" si="20"/>
        <v>×</v>
      </c>
      <c r="O23" s="343" t="e">
        <f>VLOOKUP($D23&amp;O$5,'②-2勤務時間数入力'!$D$7:$Q$106,$L23,FALSE)</f>
        <v>#N/A</v>
      </c>
      <c r="P23" s="343" t="str">
        <f t="shared" si="21"/>
        <v>×</v>
      </c>
      <c r="Q23" s="343" t="e">
        <f>VLOOKUP($D23&amp;Q$5,'②-2勤務時間数入力'!$D$7:$Q$106,$L23,FALSE)</f>
        <v>#N/A</v>
      </c>
      <c r="R23" s="343" t="str">
        <f t="shared" si="22"/>
        <v>×</v>
      </c>
      <c r="S23" s="343" t="e">
        <f>VLOOKUP($D23&amp;S$5,'②-2勤務時間数入力'!$D$7:$Q$106,$L23,FALSE)</f>
        <v>#N/A</v>
      </c>
      <c r="T23" s="343" t="str">
        <f t="shared" si="23"/>
        <v>×</v>
      </c>
      <c r="W23" s="455" t="str">
        <f>IFERROR(IF(AND(C23="保育士等",D23="",D24=""),"×","〇"),"〇")</f>
        <v>〇</v>
      </c>
      <c r="X23" s="455" t="str">
        <f t="shared" si="4"/>
        <v>〇</v>
      </c>
    </row>
    <row r="24" spans="1:24" ht="13.5" customHeight="1">
      <c r="A24" s="861"/>
      <c r="B24" s="864"/>
      <c r="C24" s="865"/>
      <c r="D24" s="546" t="str">
        <f>IF(D13="","",D13)</f>
        <v/>
      </c>
      <c r="E24" s="486" t="str">
        <f t="shared" si="24"/>
        <v/>
      </c>
      <c r="F24" s="487" t="str">
        <f t="shared" si="25"/>
        <v/>
      </c>
      <c r="G24" s="555" t="e">
        <f>IF($B17="-","",IF($E24="正規職員","-",IF(AND(EXACT(B6,B17),EXACT(D13,D24),EXACT(E13,E24)),G13,"賃金単価を記載")))</f>
        <v>#N/A</v>
      </c>
      <c r="H24" s="487" t="str">
        <f t="shared" si="18"/>
        <v/>
      </c>
      <c r="I24" s="487">
        <f t="shared" si="19"/>
        <v>288666.66666667</v>
      </c>
      <c r="J24" s="487">
        <f t="shared" ref="J24" si="41">IFERROR(IF($C23="-","",IF(D24="","",IF(E24="正規職員",I24-J23,MIN(MIN(H24:I24),I23-J23)))),0)</f>
        <v>0</v>
      </c>
      <c r="K24" s="488" t="str">
        <f t="shared" si="27"/>
        <v/>
      </c>
      <c r="L24" s="343">
        <f t="shared" si="30"/>
        <v>4</v>
      </c>
      <c r="M24" s="343" t="e">
        <f>VLOOKUP($D24&amp;M$5,'②-2勤務時間数入力'!$D$7:$Q$106,$L24,FALSE)</f>
        <v>#N/A</v>
      </c>
      <c r="N24" s="343" t="str">
        <f t="shared" si="20"/>
        <v>×</v>
      </c>
      <c r="O24" s="343" t="e">
        <f>VLOOKUP($D24&amp;O$5,'②-2勤務時間数入力'!$D$7:$Q$106,$L24,FALSE)</f>
        <v>#N/A</v>
      </c>
      <c r="P24" s="343" t="str">
        <f t="shared" si="21"/>
        <v>×</v>
      </c>
      <c r="Q24" s="343" t="e">
        <f>VLOOKUP($D24&amp;Q$5,'②-2勤務時間数入力'!$D$7:$Q$106,$L24,FALSE)</f>
        <v>#N/A</v>
      </c>
      <c r="R24" s="343" t="str">
        <f t="shared" si="22"/>
        <v>×</v>
      </c>
      <c r="S24" s="343" t="e">
        <f>VLOOKUP($D24&amp;S$5,'②-2勤務時間数入力'!$D$7:$Q$106,$L24,FALSE)</f>
        <v>#N/A</v>
      </c>
      <c r="T24" s="343" t="str">
        <f t="shared" si="23"/>
        <v>×</v>
      </c>
      <c r="X24" s="455" t="str">
        <f t="shared" si="4"/>
        <v>〇</v>
      </c>
    </row>
    <row r="25" spans="1:24" ht="13.5" customHeight="1">
      <c r="A25" s="861"/>
      <c r="B25" s="864"/>
      <c r="C25" s="863" t="e">
        <f t="shared" ref="C25" si="42">IF(B17&gt;4,C17,"-")</f>
        <v>#N/A</v>
      </c>
      <c r="D25" s="546" t="str">
        <f t="shared" si="17"/>
        <v/>
      </c>
      <c r="E25" s="486" t="str">
        <f t="shared" si="24"/>
        <v/>
      </c>
      <c r="F25" s="487" t="str">
        <f t="shared" si="25"/>
        <v/>
      </c>
      <c r="G25" s="555" t="e">
        <f>IF($B17="-","",IF($E25="正規職員","-",IF(AND(EXACT(B6,B17),EXACT(D14,D25),EXACT(E14,E25)),G14,"賃金単価を記載")))</f>
        <v>#N/A</v>
      </c>
      <c r="H25" s="487" t="str">
        <f>IF($D25="","",IF($E25="正規職員","-",F25*G25))</f>
        <v/>
      </c>
      <c r="I25" s="487">
        <f t="shared" si="19"/>
        <v>288666.66666667</v>
      </c>
      <c r="J25" s="487">
        <f t="shared" ref="J25" si="43">IFERROR(IF($C25="-","",IF(D25="",0,IF(E25="正規職員",I25,MIN(H25:I25)))),0)</f>
        <v>0</v>
      </c>
      <c r="K25" s="488" t="str">
        <f t="shared" si="27"/>
        <v/>
      </c>
      <c r="L25" s="343">
        <f t="shared" si="30"/>
        <v>4</v>
      </c>
      <c r="M25" s="343" t="e">
        <f>VLOOKUP($D25&amp;M$5,'②-2勤務時間数入力'!$D$7:$Q$106,$L25,FALSE)</f>
        <v>#N/A</v>
      </c>
      <c r="N25" s="343" t="str">
        <f t="shared" si="20"/>
        <v>×</v>
      </c>
      <c r="O25" s="343" t="e">
        <f>VLOOKUP($D25&amp;O$5,'②-2勤務時間数入力'!$D$7:$Q$106,$L25,FALSE)</f>
        <v>#N/A</v>
      </c>
      <c r="P25" s="343" t="str">
        <f t="shared" si="21"/>
        <v>×</v>
      </c>
      <c r="Q25" s="343" t="e">
        <f>VLOOKUP($D25&amp;Q$5,'②-2勤務時間数入力'!$D$7:$Q$106,$L25,FALSE)</f>
        <v>#N/A</v>
      </c>
      <c r="R25" s="343" t="str">
        <f t="shared" si="22"/>
        <v>×</v>
      </c>
      <c r="S25" s="343" t="e">
        <f>VLOOKUP($D25&amp;S$5,'②-2勤務時間数入力'!$D$7:$Q$106,$L25,FALSE)</f>
        <v>#N/A</v>
      </c>
      <c r="T25" s="343" t="str">
        <f t="shared" si="23"/>
        <v>×</v>
      </c>
      <c r="W25" s="455" t="str">
        <f>IFERROR(IF(AND(C25="保育士等",D25="",D26=""),"×","〇"),"〇")</f>
        <v>〇</v>
      </c>
      <c r="X25" s="455" t="str">
        <f t="shared" si="4"/>
        <v>〇</v>
      </c>
    </row>
    <row r="26" spans="1:24" ht="13.5" customHeight="1">
      <c r="A26" s="880"/>
      <c r="B26" s="864"/>
      <c r="C26" s="865"/>
      <c r="D26" s="546" t="str">
        <f t="shared" si="17"/>
        <v/>
      </c>
      <c r="E26" s="486" t="str">
        <f t="shared" si="24"/>
        <v/>
      </c>
      <c r="F26" s="487" t="str">
        <f t="shared" si="25"/>
        <v/>
      </c>
      <c r="G26" s="555" t="e">
        <f>IF($B17="-","",IF($E26="正規職員","-",IF(AND(EXACT(B6,B17),EXACT(D15,D26),EXACT(E15,E26)),G15,"賃金単価を記載")))</f>
        <v>#N/A</v>
      </c>
      <c r="H26" s="487" t="str">
        <f>IF($D26="","",IF($E26="正規職員","-",F26*G26))</f>
        <v/>
      </c>
      <c r="I26" s="487">
        <f t="shared" si="19"/>
        <v>288666.66666667</v>
      </c>
      <c r="J26" s="487">
        <f t="shared" ref="J26" si="44">IFERROR(IF($C25="-","",IF(D26="","",IF(E26="正規職員",I26-J25,MIN(MIN(H26:I26),I25-J25)))),0)</f>
        <v>0</v>
      </c>
      <c r="K26" s="488" t="str">
        <f t="shared" si="27"/>
        <v/>
      </c>
      <c r="L26" s="343">
        <f t="shared" ref="L26" si="45">L25</f>
        <v>4</v>
      </c>
      <c r="M26" s="343" t="e">
        <f>VLOOKUP($D26&amp;M$5,'②-2勤務時間数入力'!$D$7:$Q$106,$L26,FALSE)</f>
        <v>#N/A</v>
      </c>
      <c r="N26" s="343" t="str">
        <f t="shared" si="20"/>
        <v>×</v>
      </c>
      <c r="O26" s="343" t="e">
        <f>VLOOKUP($D26&amp;O$5,'②-2勤務時間数入力'!$D$7:$Q$106,$L26,FALSE)</f>
        <v>#N/A</v>
      </c>
      <c r="P26" s="343" t="str">
        <f t="shared" si="21"/>
        <v>×</v>
      </c>
      <c r="Q26" s="343" t="e">
        <f>VLOOKUP($D26&amp;Q$5,'②-2勤務時間数入力'!$D$7:$Q$106,$L26,FALSE)</f>
        <v>#N/A</v>
      </c>
      <c r="R26" s="343" t="str">
        <f t="shared" si="22"/>
        <v>×</v>
      </c>
      <c r="S26" s="343" t="e">
        <f>VLOOKUP($D26&amp;S$5,'②-2勤務時間数入力'!$D$7:$Q$106,$L26,FALSE)</f>
        <v>#N/A</v>
      </c>
      <c r="T26" s="343" t="str">
        <f t="shared" si="23"/>
        <v>×</v>
      </c>
      <c r="X26" s="455" t="str">
        <f t="shared" si="4"/>
        <v>〇</v>
      </c>
    </row>
    <row r="27" spans="1:24" ht="13.5" customHeight="1">
      <c r="A27" s="845"/>
      <c r="B27" s="864"/>
      <c r="C27" s="501"/>
      <c r="D27" s="342" t="s">
        <v>256</v>
      </c>
      <c r="E27" s="486" t="s">
        <v>255</v>
      </c>
      <c r="F27" s="497"/>
      <c r="G27" s="486" t="s">
        <v>255</v>
      </c>
      <c r="H27" s="486" t="s">
        <v>255</v>
      </c>
      <c r="I27" s="486" t="s">
        <v>255</v>
      </c>
      <c r="J27" s="487">
        <f t="shared" ref="J27" si="46">IFERROR(IF(J17="","",MIN(SUM(J17:J26),(B17*I17))),0)</f>
        <v>0</v>
      </c>
      <c r="K27" s="488"/>
      <c r="L27" s="343"/>
      <c r="M27" s="343"/>
      <c r="N27" s="343"/>
      <c r="O27" s="343"/>
      <c r="P27" s="343"/>
      <c r="Q27" s="343"/>
      <c r="R27" s="343"/>
      <c r="S27" s="343"/>
      <c r="T27" s="343"/>
      <c r="X27" s="455" t="str">
        <f t="shared" si="4"/>
        <v>〇</v>
      </c>
    </row>
    <row r="28" spans="1:24" ht="13.5" customHeight="1">
      <c r="A28" s="844">
        <v>6</v>
      </c>
      <c r="B28" s="881" t="e">
        <f>加算判定!M6</f>
        <v>#N/A</v>
      </c>
      <c r="C28" s="863" t="e">
        <f>加算判定!N6</f>
        <v>#N/A</v>
      </c>
      <c r="D28" s="546" t="str">
        <f>IF(D17="","",D17)</f>
        <v/>
      </c>
      <c r="E28" s="486" t="str">
        <f>IF(D28="","",IF(N28="○",M$5,IF(P28="○",O$5,IF(R28="○",Q$5,IF(T28="○",S$5,"ERROR")))))</f>
        <v/>
      </c>
      <c r="F28" s="487" t="str">
        <f>IF(D28="","",IF(N28="○",M28,IF(P28="○",O28,IF(R28="○",Q28,IF(T28="○",S28,"ERROR")))))</f>
        <v/>
      </c>
      <c r="G28" s="555" t="e">
        <f>IF($B28="-","",IF($E28="正規職員","-",IF(AND(EXACT(B17,B28),EXACT(D17,D28),EXACT(E17,E28)),G17,"賃金単価を記載")))</f>
        <v>#N/A</v>
      </c>
      <c r="H28" s="487" t="str">
        <f t="shared" ref="H28:H35" si="47">IF($D28="","",IF($E28="正規職員","-",F28*G28))</f>
        <v/>
      </c>
      <c r="I28" s="487">
        <f t="shared" si="19"/>
        <v>288666.66666667</v>
      </c>
      <c r="J28" s="487">
        <f t="shared" ref="J28" si="48">IFERROR(IF($C28="-","",IF(D28="",0,IF(E28="正規職員",I28,MIN(H28:I28)))),0)</f>
        <v>0</v>
      </c>
      <c r="K28" s="488" t="str">
        <f>IF(D28="","",IF(OR(COUNTIFS(D28,"*要配慮*")=1,COUNTIFS(D28,"*医療的ケア*")=1),"○","エラー"))</f>
        <v/>
      </c>
      <c r="L28" s="343">
        <f>L17+1</f>
        <v>5</v>
      </c>
      <c r="M28" s="343" t="e">
        <f>VLOOKUP($D28&amp;M$5,'②-2勤務時間数入力'!$D$7:$Q$106,$L28,FALSE)</f>
        <v>#N/A</v>
      </c>
      <c r="N28" s="343" t="str">
        <f t="shared" ref="N28:N37" si="49">IF(ISERROR(M28),"×",IF(M28="-","×","○"))</f>
        <v>×</v>
      </c>
      <c r="O28" s="343" t="e">
        <f>VLOOKUP($D28&amp;O$5,'②-2勤務時間数入力'!$D$7:$Q$106,$L28,FALSE)</f>
        <v>#N/A</v>
      </c>
      <c r="P28" s="343" t="str">
        <f t="shared" ref="P28:P37" si="50">IF(ISERROR(O28),"×",IF(O28="-","×","○"))</f>
        <v>×</v>
      </c>
      <c r="Q28" s="343" t="e">
        <f>VLOOKUP($D28&amp;Q$5,'②-2勤務時間数入力'!$D$7:$Q$106,$L28,FALSE)</f>
        <v>#N/A</v>
      </c>
      <c r="R28" s="343" t="str">
        <f t="shared" ref="R28:R37" si="51">IF(ISERROR(Q28),"×",IF(Q28="-","×","○"))</f>
        <v>×</v>
      </c>
      <c r="S28" s="343" t="e">
        <f>VLOOKUP($D28&amp;S$5,'②-2勤務時間数入力'!$D$7:$Q$106,$L28,FALSE)</f>
        <v>#N/A</v>
      </c>
      <c r="T28" s="343" t="str">
        <f t="shared" ref="T28:T37" si="52">IF(ISERROR(S28),"×",IF(S28="-","×","○"))</f>
        <v>×</v>
      </c>
      <c r="W28" s="455" t="str">
        <f>IFERROR(IF(AND(C28="保育士等",D28="",D29=""),"×","〇"),"〇")</f>
        <v>〇</v>
      </c>
      <c r="X28" s="455" t="str">
        <f t="shared" si="4"/>
        <v>〇</v>
      </c>
    </row>
    <row r="29" spans="1:24" ht="13.5" customHeight="1">
      <c r="A29" s="861"/>
      <c r="B29" s="881"/>
      <c r="C29" s="865"/>
      <c r="D29" s="546" t="str">
        <f>IF(D18="","",D18)</f>
        <v/>
      </c>
      <c r="E29" s="486" t="str">
        <f t="shared" ref="E29:E33" si="53">IF(D29="","",IF(N29="○",M$5,IF(P29="○",O$5,IF(R29="○",Q$5,IF(T29="○",S$5,"ERROR")))))</f>
        <v/>
      </c>
      <c r="F29" s="487" t="str">
        <f t="shared" ref="F29:F33" si="54">IF(D29="","",IF(N29="○",M29,IF(P29="○",O29,IF(R29="○",Q29,IF(T29="○",S29,"ERROR")))))</f>
        <v/>
      </c>
      <c r="G29" s="555" t="e">
        <f>IF($B28="-","",IF($E29="正規職員","-",IF(AND(EXACT(B17,B28),EXACT(D18,D29),EXACT(E18,E29)),G18,"賃金単価を記載")))</f>
        <v>#N/A</v>
      </c>
      <c r="H29" s="487" t="str">
        <f t="shared" ref="H29:H32" si="55">IF($D29="","",IF($E29="正規職員","-",F29*G29))</f>
        <v/>
      </c>
      <c r="I29" s="487">
        <f t="shared" si="19"/>
        <v>288666.66666667</v>
      </c>
      <c r="J29" s="487">
        <f t="shared" ref="J29" si="56">IFERROR(IF($C28="-","",IF(D29="","",IF(E29="正規職員",I29-J28,MIN(MIN(H29:I29),I28-J28)))),0)</f>
        <v>0</v>
      </c>
      <c r="K29" s="488" t="str">
        <f t="shared" ref="K29:K33" si="57">IF(D29="","",IF(OR(COUNTIFS(D29,"*要配慮*")=1,COUNTIFS(D29,"*医療的ケア*")=1),"○","エラー"))</f>
        <v/>
      </c>
      <c r="L29" s="343">
        <f>L28</f>
        <v>5</v>
      </c>
      <c r="M29" s="343" t="e">
        <f>VLOOKUP($D29&amp;M$5,'②-2勤務時間数入力'!$D$7:$Q$106,$L29,FALSE)</f>
        <v>#N/A</v>
      </c>
      <c r="N29" s="343" t="str">
        <f t="shared" si="49"/>
        <v>×</v>
      </c>
      <c r="O29" s="343" t="e">
        <f>VLOOKUP($D29&amp;O$5,'②-2勤務時間数入力'!$D$7:$Q$106,$L29,FALSE)</f>
        <v>#N/A</v>
      </c>
      <c r="P29" s="343" t="str">
        <f t="shared" si="50"/>
        <v>×</v>
      </c>
      <c r="Q29" s="343" t="e">
        <f>VLOOKUP($D29&amp;Q$5,'②-2勤務時間数入力'!$D$7:$Q$106,$L29,FALSE)</f>
        <v>#N/A</v>
      </c>
      <c r="R29" s="343" t="str">
        <f t="shared" si="51"/>
        <v>×</v>
      </c>
      <c r="S29" s="343" t="e">
        <f>VLOOKUP($D29&amp;S$5,'②-2勤務時間数入力'!$D$7:$Q$106,$L29,FALSE)</f>
        <v>#N/A</v>
      </c>
      <c r="T29" s="343" t="str">
        <f t="shared" si="52"/>
        <v>×</v>
      </c>
      <c r="X29" s="455" t="str">
        <f t="shared" si="4"/>
        <v>〇</v>
      </c>
    </row>
    <row r="30" spans="1:24" ht="13.5" customHeight="1">
      <c r="A30" s="861"/>
      <c r="B30" s="881"/>
      <c r="C30" s="863" t="e">
        <f t="shared" ref="C30" si="58">IF(B28&gt;1,C28,"-")</f>
        <v>#N/A</v>
      </c>
      <c r="D30" s="546" t="str">
        <f>IF(D19="","",D19)</f>
        <v/>
      </c>
      <c r="E30" s="486" t="str">
        <f t="shared" ref="E30:E31" si="59">IF(D30="","",IF(N30="○",M$5,IF(P30="○",O$5,IF(R30="○",Q$5,IF(T30="○",S$5,"ERROR")))))</f>
        <v/>
      </c>
      <c r="F30" s="487" t="str">
        <f t="shared" ref="F30:F31" si="60">IF(D30="","",IF(N30="○",M30,IF(P30="○",O30,IF(R30="○",Q30,IF(T30="○",S30,"ERROR")))))</f>
        <v/>
      </c>
      <c r="G30" s="555" t="e">
        <f>IF($B28="-","",IF($E30="正規職員","-",IF(AND(EXACT(B17,B28),EXACT(D19,D30),EXACT(E19,E30)),G19,"賃金単価を記載")))</f>
        <v>#N/A</v>
      </c>
      <c r="H30" s="487" t="str">
        <f t="shared" ref="H30" si="61">IF($D30="","",IF($E30="正規職員","-",F30*G30))</f>
        <v/>
      </c>
      <c r="I30" s="487">
        <f t="shared" si="19"/>
        <v>288666.66666667</v>
      </c>
      <c r="J30" s="487">
        <f t="shared" ref="J30" si="62">IFERROR(IF($C30="-","",IF(D30="",0,IF(E30="正規職員",I30,MIN(H30:I30)))),0)</f>
        <v>0</v>
      </c>
      <c r="K30" s="488" t="str">
        <f t="shared" ref="K30:K31" si="63">IF(D30="","",IF(OR(COUNTIFS(D30,"*要配慮*")=1,COUNTIFS(D30,"*医療的ケア*")=1),"○","エラー"))</f>
        <v/>
      </c>
      <c r="L30" s="343">
        <f t="shared" ref="L30:L37" si="64">L29</f>
        <v>5</v>
      </c>
      <c r="M30" s="343" t="e">
        <f>VLOOKUP($D30&amp;M$5,'②-2勤務時間数入力'!$D$7:$Q$106,$L30,FALSE)</f>
        <v>#N/A</v>
      </c>
      <c r="N30" s="343" t="str">
        <f t="shared" si="49"/>
        <v>×</v>
      </c>
      <c r="O30" s="343" t="e">
        <f>VLOOKUP($D30&amp;O$5,'②-2勤務時間数入力'!$D$7:$Q$106,$L30,FALSE)</f>
        <v>#N/A</v>
      </c>
      <c r="P30" s="343" t="str">
        <f t="shared" si="50"/>
        <v>×</v>
      </c>
      <c r="Q30" s="343" t="e">
        <f>VLOOKUP($D30&amp;Q$5,'②-2勤務時間数入力'!$D$7:$Q$106,$L30,FALSE)</f>
        <v>#N/A</v>
      </c>
      <c r="R30" s="343" t="str">
        <f t="shared" si="51"/>
        <v>×</v>
      </c>
      <c r="S30" s="343" t="e">
        <f>VLOOKUP($D30&amp;S$5,'②-2勤務時間数入力'!$D$7:$Q$106,$L30,FALSE)</f>
        <v>#N/A</v>
      </c>
      <c r="T30" s="343" t="str">
        <f t="shared" si="52"/>
        <v>×</v>
      </c>
      <c r="W30" s="455" t="str">
        <f>IFERROR(IF(AND(C30="保育士等",D30="",D31=""),"×","〇"),"〇")</f>
        <v>〇</v>
      </c>
      <c r="X30" s="455" t="str">
        <f t="shared" si="4"/>
        <v>〇</v>
      </c>
    </row>
    <row r="31" spans="1:24" ht="13.5" customHeight="1">
      <c r="A31" s="861"/>
      <c r="B31" s="881"/>
      <c r="C31" s="865"/>
      <c r="D31" s="546" t="str">
        <f t="shared" ref="D31:D37" si="65">IF(D20="","",D20)</f>
        <v/>
      </c>
      <c r="E31" s="486" t="str">
        <f t="shared" si="59"/>
        <v/>
      </c>
      <c r="F31" s="487" t="str">
        <f t="shared" si="60"/>
        <v/>
      </c>
      <c r="G31" s="555" t="e">
        <f>IF($B28="-","",IF($E31="正規職員","-",IF(AND(EXACT(B17,B28),EXACT(D20,D31),EXACT(E20,E31)),G20,"賃金単価を記載")))</f>
        <v>#N/A</v>
      </c>
      <c r="H31" s="487" t="str">
        <f>IF($D31="","",IF($E31="正規職員","-",F31*G31))</f>
        <v/>
      </c>
      <c r="I31" s="487">
        <f t="shared" si="19"/>
        <v>288666.66666667</v>
      </c>
      <c r="J31" s="487">
        <f t="shared" ref="J31" si="66">IFERROR(IF($C30="-","",IF(D31="","",IF(E31="正規職員",I31-J30,MIN(MIN(H31:I31),I30-J30)))),0)</f>
        <v>0</v>
      </c>
      <c r="K31" s="488" t="str">
        <f t="shared" si="63"/>
        <v/>
      </c>
      <c r="L31" s="343">
        <f t="shared" si="64"/>
        <v>5</v>
      </c>
      <c r="M31" s="343" t="e">
        <f>VLOOKUP($D31&amp;M$5,'②-2勤務時間数入力'!$D$7:$Q$106,$L31,FALSE)</f>
        <v>#N/A</v>
      </c>
      <c r="N31" s="343" t="str">
        <f t="shared" si="49"/>
        <v>×</v>
      </c>
      <c r="O31" s="343" t="e">
        <f>VLOOKUP($D31&amp;O$5,'②-2勤務時間数入力'!$D$7:$Q$106,$L31,FALSE)</f>
        <v>#N/A</v>
      </c>
      <c r="P31" s="343" t="str">
        <f t="shared" si="50"/>
        <v>×</v>
      </c>
      <c r="Q31" s="343" t="e">
        <f>VLOOKUP($D31&amp;Q$5,'②-2勤務時間数入力'!$D$7:$Q$106,$L31,FALSE)</f>
        <v>#N/A</v>
      </c>
      <c r="R31" s="343" t="str">
        <f t="shared" si="51"/>
        <v>×</v>
      </c>
      <c r="S31" s="343" t="e">
        <f>VLOOKUP($D31&amp;S$5,'②-2勤務時間数入力'!$D$7:$Q$106,$L31,FALSE)</f>
        <v>#N/A</v>
      </c>
      <c r="T31" s="343" t="str">
        <f t="shared" si="52"/>
        <v>×</v>
      </c>
      <c r="X31" s="455" t="str">
        <f t="shared" si="4"/>
        <v>〇</v>
      </c>
    </row>
    <row r="32" spans="1:24" ht="13.5" customHeight="1">
      <c r="A32" s="861"/>
      <c r="B32" s="881"/>
      <c r="C32" s="863" t="e">
        <f t="shared" ref="C32" si="67">IF(B28&gt;2,C28,"-")</f>
        <v>#N/A</v>
      </c>
      <c r="D32" s="546" t="str">
        <f t="shared" si="65"/>
        <v/>
      </c>
      <c r="E32" s="486" t="str">
        <f t="shared" si="53"/>
        <v/>
      </c>
      <c r="F32" s="487" t="str">
        <f t="shared" si="54"/>
        <v/>
      </c>
      <c r="G32" s="555" t="e">
        <f>IF($B28="-","",IF($E32="正規職員","-",IF(AND(EXACT(B17,B28),EXACT(D21,D32),EXACT(E21,E32)),G21,"賃金単価を記載")))</f>
        <v>#N/A</v>
      </c>
      <c r="H32" s="487" t="str">
        <f t="shared" si="55"/>
        <v/>
      </c>
      <c r="I32" s="487">
        <f t="shared" si="19"/>
        <v>288666.66666667</v>
      </c>
      <c r="J32" s="487">
        <f t="shared" ref="J32" si="68">IFERROR(IF($C32="-","",IF(D32="",0,IF(E32="正規職員",I32,MIN(H32:I32)))),0)</f>
        <v>0</v>
      </c>
      <c r="K32" s="488" t="str">
        <f t="shared" si="57"/>
        <v/>
      </c>
      <c r="L32" s="343">
        <f t="shared" si="64"/>
        <v>5</v>
      </c>
      <c r="M32" s="343" t="e">
        <f>VLOOKUP($D32&amp;M$5,'②-2勤務時間数入力'!$D$7:$Q$106,$L32,FALSE)</f>
        <v>#N/A</v>
      </c>
      <c r="N32" s="343" t="str">
        <f t="shared" si="49"/>
        <v>×</v>
      </c>
      <c r="O32" s="343" t="e">
        <f>VLOOKUP($D32&amp;O$5,'②-2勤務時間数入力'!$D$7:$Q$106,$L32,FALSE)</f>
        <v>#N/A</v>
      </c>
      <c r="P32" s="343" t="str">
        <f t="shared" si="50"/>
        <v>×</v>
      </c>
      <c r="Q32" s="343" t="e">
        <f>VLOOKUP($D32&amp;Q$5,'②-2勤務時間数入力'!$D$7:$Q$106,$L32,FALSE)</f>
        <v>#N/A</v>
      </c>
      <c r="R32" s="343" t="str">
        <f t="shared" si="51"/>
        <v>×</v>
      </c>
      <c r="S32" s="343" t="e">
        <f>VLOOKUP($D32&amp;S$5,'②-2勤務時間数入力'!$D$7:$Q$106,$L32,FALSE)</f>
        <v>#N/A</v>
      </c>
      <c r="T32" s="343" t="str">
        <f t="shared" si="52"/>
        <v>×</v>
      </c>
      <c r="W32" s="455" t="str">
        <f>IFERROR(IF(AND(C32="保育士等",D32="",D33=""),"×","〇"),"〇")</f>
        <v>〇</v>
      </c>
      <c r="X32" s="455" t="str">
        <f t="shared" si="4"/>
        <v>〇</v>
      </c>
    </row>
    <row r="33" spans="1:24" ht="13.5" customHeight="1">
      <c r="A33" s="861"/>
      <c r="B33" s="881"/>
      <c r="C33" s="865"/>
      <c r="D33" s="546" t="str">
        <f t="shared" si="65"/>
        <v/>
      </c>
      <c r="E33" s="486" t="str">
        <f t="shared" si="53"/>
        <v/>
      </c>
      <c r="F33" s="487" t="str">
        <f t="shared" si="54"/>
        <v/>
      </c>
      <c r="G33" s="555" t="e">
        <f>IF($B28="-","",IF($E33="正規職員","-",IF(AND(EXACT(B17,B28),EXACT(D22,D33),EXACT(E22,E33)),G22,"賃金単価を記載")))</f>
        <v>#N/A</v>
      </c>
      <c r="H33" s="487" t="str">
        <f>IF($D33="","",IF($E33="正規職員","-",F33*G33))</f>
        <v/>
      </c>
      <c r="I33" s="487">
        <f t="shared" si="19"/>
        <v>288666.66666667</v>
      </c>
      <c r="J33" s="487">
        <f t="shared" ref="J33" si="69">IFERROR(IF($C32="-","",IF(D33="","",IF(E33="正規職員",I33-J32,MIN(MIN(H33:I33),I32-J32)))),0)</f>
        <v>0</v>
      </c>
      <c r="K33" s="488" t="str">
        <f t="shared" si="57"/>
        <v/>
      </c>
      <c r="L33" s="343">
        <f t="shared" si="64"/>
        <v>5</v>
      </c>
      <c r="M33" s="343" t="e">
        <f>VLOOKUP($D33&amp;M$5,'②-2勤務時間数入力'!$D$7:$Q$106,$L33,FALSE)</f>
        <v>#N/A</v>
      </c>
      <c r="N33" s="343" t="str">
        <f t="shared" si="49"/>
        <v>×</v>
      </c>
      <c r="O33" s="343" t="e">
        <f>VLOOKUP($D33&amp;O$5,'②-2勤務時間数入力'!$D$7:$Q$106,$L33,FALSE)</f>
        <v>#N/A</v>
      </c>
      <c r="P33" s="343" t="str">
        <f t="shared" si="50"/>
        <v>×</v>
      </c>
      <c r="Q33" s="343" t="e">
        <f>VLOOKUP($D33&amp;Q$5,'②-2勤務時間数入力'!$D$7:$Q$106,$L33,FALSE)</f>
        <v>#N/A</v>
      </c>
      <c r="R33" s="343" t="str">
        <f t="shared" si="51"/>
        <v>×</v>
      </c>
      <c r="S33" s="343" t="e">
        <f>VLOOKUP($D33&amp;S$5,'②-2勤務時間数入力'!$D$7:$Q$106,$L33,FALSE)</f>
        <v>#N/A</v>
      </c>
      <c r="T33" s="343" t="str">
        <f t="shared" si="52"/>
        <v>×</v>
      </c>
      <c r="X33" s="455" t="str">
        <f t="shared" si="4"/>
        <v>〇</v>
      </c>
    </row>
    <row r="34" spans="1:24" ht="13.5" customHeight="1">
      <c r="A34" s="861"/>
      <c r="B34" s="881"/>
      <c r="C34" s="863" t="e">
        <f t="shared" ref="C34" si="70">IF(B28&gt;3,C28,"-")</f>
        <v>#N/A</v>
      </c>
      <c r="D34" s="546" t="str">
        <f t="shared" si="65"/>
        <v/>
      </c>
      <c r="E34" s="486" t="str">
        <f t="shared" ref="E34:E37" si="71">IF(D34="","",IF(N34="○",M$5,IF(P34="○",O$5,IF(R34="○",Q$5,IF(T34="○",S$5,"ERROR")))))</f>
        <v/>
      </c>
      <c r="F34" s="487" t="str">
        <f t="shared" ref="F34:F37" si="72">IF(D34="","",IF(N34="○",M34,IF(P34="○",O34,IF(R34="○",Q34,IF(T34="○",S34,"ERROR")))))</f>
        <v/>
      </c>
      <c r="G34" s="555" t="e">
        <f>IF($B28="-","",IF($E34="正規職員","-",IF(AND(EXACT(B17,B28),EXACT(D18,D34),EXACT(E18,E34)),G18,"賃金単価を記載")))</f>
        <v>#N/A</v>
      </c>
      <c r="H34" s="487" t="str">
        <f t="shared" si="47"/>
        <v/>
      </c>
      <c r="I34" s="487">
        <f t="shared" si="19"/>
        <v>288666.66666667</v>
      </c>
      <c r="J34" s="487">
        <f t="shared" ref="J34" si="73">IFERROR(IF($C34="-","",IF(D34="",0,IF(E34="正規職員",I34,MIN(H34:I34)))),0)</f>
        <v>0</v>
      </c>
      <c r="K34" s="488" t="str">
        <f t="shared" ref="K34:K37" si="74">IF(D34="","",IF(OR(COUNTIFS(D34,"*要配慮*")=1,COUNTIFS(D34,"*医療的ケア*")=1),"○","エラー"))</f>
        <v/>
      </c>
      <c r="L34" s="343">
        <f t="shared" si="64"/>
        <v>5</v>
      </c>
      <c r="M34" s="343" t="e">
        <f>VLOOKUP($D34&amp;M$5,'②-2勤務時間数入力'!$D$7:$Q$106,$L34,FALSE)</f>
        <v>#N/A</v>
      </c>
      <c r="N34" s="343" t="str">
        <f t="shared" si="49"/>
        <v>×</v>
      </c>
      <c r="O34" s="343" t="e">
        <f>VLOOKUP($D34&amp;O$5,'②-2勤務時間数入力'!$D$7:$Q$106,$L34,FALSE)</f>
        <v>#N/A</v>
      </c>
      <c r="P34" s="343" t="str">
        <f t="shared" si="50"/>
        <v>×</v>
      </c>
      <c r="Q34" s="343" t="e">
        <f>VLOOKUP($D34&amp;Q$5,'②-2勤務時間数入力'!$D$7:$Q$106,$L34,FALSE)</f>
        <v>#N/A</v>
      </c>
      <c r="R34" s="343" t="str">
        <f t="shared" si="51"/>
        <v>×</v>
      </c>
      <c r="S34" s="343" t="e">
        <f>VLOOKUP($D34&amp;S$5,'②-2勤務時間数入力'!$D$7:$Q$106,$L34,FALSE)</f>
        <v>#N/A</v>
      </c>
      <c r="T34" s="343" t="str">
        <f t="shared" si="52"/>
        <v>×</v>
      </c>
      <c r="W34" s="455" t="str">
        <f>IFERROR(IF(AND(C34="保育士等",D34="",D35=""),"×","〇"),"〇")</f>
        <v>〇</v>
      </c>
      <c r="X34" s="455" t="str">
        <f t="shared" si="4"/>
        <v>〇</v>
      </c>
    </row>
    <row r="35" spans="1:24" ht="13.5" customHeight="1">
      <c r="A35" s="861"/>
      <c r="B35" s="881"/>
      <c r="C35" s="865"/>
      <c r="D35" s="546" t="str">
        <f>IF(D24="","",D24)</f>
        <v/>
      </c>
      <c r="E35" s="486" t="str">
        <f t="shared" si="71"/>
        <v/>
      </c>
      <c r="F35" s="487" t="str">
        <f t="shared" si="72"/>
        <v/>
      </c>
      <c r="G35" s="555" t="e">
        <f>IF($B28="-","",IF($E35="正規職員","-",IF(AND(EXACT(B17,B28),EXACT(D24,D35),EXACT(E24,E35)),G24,"賃金単価を記載")))</f>
        <v>#N/A</v>
      </c>
      <c r="H35" s="487" t="str">
        <f t="shared" si="47"/>
        <v/>
      </c>
      <c r="I35" s="487">
        <f t="shared" si="19"/>
        <v>288666.66666667</v>
      </c>
      <c r="J35" s="487">
        <f t="shared" ref="J35" si="75">IFERROR(IF($C34="-","",IF(D35="","",IF(E35="正規職員",I35-J34,MIN(MIN(H35:I35),I34-J34)))),0)</f>
        <v>0</v>
      </c>
      <c r="K35" s="488" t="str">
        <f t="shared" si="74"/>
        <v/>
      </c>
      <c r="L35" s="343">
        <f t="shared" si="64"/>
        <v>5</v>
      </c>
      <c r="M35" s="343" t="e">
        <f>VLOOKUP($D35&amp;M$5,'②-2勤務時間数入力'!$D$7:$Q$106,$L35,FALSE)</f>
        <v>#N/A</v>
      </c>
      <c r="N35" s="343" t="str">
        <f t="shared" si="49"/>
        <v>×</v>
      </c>
      <c r="O35" s="343" t="e">
        <f>VLOOKUP($D35&amp;O$5,'②-2勤務時間数入力'!$D$7:$Q$106,$L35,FALSE)</f>
        <v>#N/A</v>
      </c>
      <c r="P35" s="343" t="str">
        <f t="shared" si="50"/>
        <v>×</v>
      </c>
      <c r="Q35" s="343" t="e">
        <f>VLOOKUP($D35&amp;Q$5,'②-2勤務時間数入力'!$D$7:$Q$106,$L35,FALSE)</f>
        <v>#N/A</v>
      </c>
      <c r="R35" s="343" t="str">
        <f t="shared" si="51"/>
        <v>×</v>
      </c>
      <c r="S35" s="343" t="e">
        <f>VLOOKUP($D35&amp;S$5,'②-2勤務時間数入力'!$D$7:$Q$106,$L35,FALSE)</f>
        <v>#N/A</v>
      </c>
      <c r="T35" s="343" t="str">
        <f t="shared" si="52"/>
        <v>×</v>
      </c>
      <c r="X35" s="455" t="str">
        <f t="shared" si="4"/>
        <v>〇</v>
      </c>
    </row>
    <row r="36" spans="1:24" ht="13.5" customHeight="1">
      <c r="A36" s="861"/>
      <c r="B36" s="881"/>
      <c r="C36" s="863" t="e">
        <f t="shared" ref="C36" si="76">IF(B28&gt;4,C28,"-")</f>
        <v>#N/A</v>
      </c>
      <c r="D36" s="546" t="str">
        <f t="shared" si="65"/>
        <v/>
      </c>
      <c r="E36" s="486" t="str">
        <f t="shared" si="71"/>
        <v/>
      </c>
      <c r="F36" s="487" t="str">
        <f t="shared" si="72"/>
        <v/>
      </c>
      <c r="G36" s="555" t="e">
        <f>IF($B28="","",IF($E36="正規職員","-",IF(AND(EXACT(B17,B28),EXACT(D25,D36),EXACT(E25,E36)),G25,"賃金単価を記載")))</f>
        <v>#N/A</v>
      </c>
      <c r="H36" s="487" t="str">
        <f>IF($D36="","",IF($E36="正規職員","-",F36*G36))</f>
        <v/>
      </c>
      <c r="I36" s="487">
        <f t="shared" si="19"/>
        <v>288666.66666667</v>
      </c>
      <c r="J36" s="487">
        <f t="shared" ref="J36" si="77">IFERROR(IF($C36="-","",IF(D36="",0,IF(E36="正規職員",I36,MIN(H36:I36)))),0)</f>
        <v>0</v>
      </c>
      <c r="K36" s="488" t="str">
        <f t="shared" si="74"/>
        <v/>
      </c>
      <c r="L36" s="343">
        <f t="shared" si="64"/>
        <v>5</v>
      </c>
      <c r="M36" s="343" t="e">
        <f>VLOOKUP($D36&amp;M$5,'②-2勤務時間数入力'!$D$7:$Q$106,$L36,FALSE)</f>
        <v>#N/A</v>
      </c>
      <c r="N36" s="343" t="str">
        <f t="shared" si="49"/>
        <v>×</v>
      </c>
      <c r="O36" s="343" t="e">
        <f>VLOOKUP($D36&amp;O$5,'②-2勤務時間数入力'!$D$7:$Q$106,$L36,FALSE)</f>
        <v>#N/A</v>
      </c>
      <c r="P36" s="343" t="str">
        <f t="shared" si="50"/>
        <v>×</v>
      </c>
      <c r="Q36" s="343" t="e">
        <f>VLOOKUP($D36&amp;Q$5,'②-2勤務時間数入力'!$D$7:$Q$106,$L36,FALSE)</f>
        <v>#N/A</v>
      </c>
      <c r="R36" s="343" t="str">
        <f t="shared" si="51"/>
        <v>×</v>
      </c>
      <c r="S36" s="343" t="e">
        <f>VLOOKUP($D36&amp;S$5,'②-2勤務時間数入力'!$D$7:$Q$106,$L36,FALSE)</f>
        <v>#N/A</v>
      </c>
      <c r="T36" s="343" t="str">
        <f t="shared" si="52"/>
        <v>×</v>
      </c>
      <c r="W36" s="455" t="str">
        <f>IFERROR(IF(AND(C36="保育士等",D36="",D37=""),"×","〇"),"〇")</f>
        <v>〇</v>
      </c>
      <c r="X36" s="455" t="str">
        <f t="shared" si="4"/>
        <v>〇</v>
      </c>
    </row>
    <row r="37" spans="1:24" ht="13.5" customHeight="1">
      <c r="A37" s="880"/>
      <c r="B37" s="881"/>
      <c r="C37" s="865"/>
      <c r="D37" s="546" t="str">
        <f t="shared" si="65"/>
        <v/>
      </c>
      <c r="E37" s="486" t="str">
        <f t="shared" si="71"/>
        <v/>
      </c>
      <c r="F37" s="487" t="str">
        <f t="shared" si="72"/>
        <v/>
      </c>
      <c r="G37" s="555" t="e">
        <f>IF($B28="-","",IF($E37="正規職員","-",IF(AND(EXACT(B17,B28),EXACT(D26,D37),EXACT(E26,E37)),G26,"賃金単価を記載")))</f>
        <v>#N/A</v>
      </c>
      <c r="H37" s="487" t="str">
        <f>IF($D37="","",IF($E37="正規職員","-",F37*G37))</f>
        <v/>
      </c>
      <c r="I37" s="487">
        <f t="shared" si="19"/>
        <v>288666.66666667</v>
      </c>
      <c r="J37" s="487">
        <f t="shared" ref="J37" si="78">IFERROR(IF($C36="-","",IF(D37="","",IF(E37="正規職員",I37-J36,MIN(MIN(H37:I37),I36-J36)))),0)</f>
        <v>0</v>
      </c>
      <c r="K37" s="488" t="str">
        <f t="shared" si="74"/>
        <v/>
      </c>
      <c r="L37" s="343">
        <f t="shared" si="64"/>
        <v>5</v>
      </c>
      <c r="M37" s="343" t="e">
        <f>VLOOKUP($D37&amp;M$5,'②-2勤務時間数入力'!$D$7:$Q$106,$L37,FALSE)</f>
        <v>#N/A</v>
      </c>
      <c r="N37" s="343" t="str">
        <f t="shared" si="49"/>
        <v>×</v>
      </c>
      <c r="O37" s="343" t="e">
        <f>VLOOKUP($D37&amp;O$5,'②-2勤務時間数入力'!$D$7:$Q$106,$L37,FALSE)</f>
        <v>#N/A</v>
      </c>
      <c r="P37" s="343" t="str">
        <f t="shared" si="50"/>
        <v>×</v>
      </c>
      <c r="Q37" s="343" t="e">
        <f>VLOOKUP($D37&amp;Q$5,'②-2勤務時間数入力'!$D$7:$Q$106,$L37,FALSE)</f>
        <v>#N/A</v>
      </c>
      <c r="R37" s="343" t="str">
        <f t="shared" si="51"/>
        <v>×</v>
      </c>
      <c r="S37" s="343" t="e">
        <f>VLOOKUP($D37&amp;S$5,'②-2勤務時間数入力'!$D$7:$Q$106,$L37,FALSE)</f>
        <v>#N/A</v>
      </c>
      <c r="T37" s="343" t="str">
        <f t="shared" si="52"/>
        <v>×</v>
      </c>
      <c r="X37" s="455" t="str">
        <f t="shared" si="4"/>
        <v>〇</v>
      </c>
    </row>
    <row r="38" spans="1:24" ht="13.5" customHeight="1">
      <c r="A38" s="845"/>
      <c r="B38" s="863"/>
      <c r="C38" s="501"/>
      <c r="D38" s="342" t="s">
        <v>257</v>
      </c>
      <c r="E38" s="486" t="s">
        <v>255</v>
      </c>
      <c r="F38" s="497"/>
      <c r="G38" s="486" t="s">
        <v>255</v>
      </c>
      <c r="H38" s="486" t="s">
        <v>255</v>
      </c>
      <c r="I38" s="486" t="s">
        <v>255</v>
      </c>
      <c r="J38" s="487">
        <f t="shared" ref="J38" si="79">IFERROR(IF(J28="","",MIN(SUM(J28:J37),(B28*I28))),0)</f>
        <v>0</v>
      </c>
      <c r="K38" s="488"/>
      <c r="L38" s="343"/>
      <c r="M38" s="343"/>
      <c r="N38" s="343"/>
      <c r="O38" s="343"/>
      <c r="P38" s="343"/>
      <c r="Q38" s="343"/>
      <c r="R38" s="343"/>
      <c r="S38" s="343"/>
      <c r="T38" s="343"/>
      <c r="X38" s="455" t="str">
        <f t="shared" si="4"/>
        <v>〇</v>
      </c>
    </row>
    <row r="39" spans="1:24" ht="13.5" customHeight="1">
      <c r="A39" s="844">
        <v>7</v>
      </c>
      <c r="B39" s="881" t="e">
        <f>加算判定!M7</f>
        <v>#N/A</v>
      </c>
      <c r="C39" s="863" t="e">
        <f>加算判定!N7</f>
        <v>#N/A</v>
      </c>
      <c r="D39" s="546" t="str">
        <f t="shared" ref="D39" si="80">IF(D28="","",D28)</f>
        <v/>
      </c>
      <c r="E39" s="486" t="str">
        <f>IF(D39="","",IF(N39="○",M$5,IF(P39="○",O$5,IF(R39="○",Q$5,IF(T39="○",S$5,"ERROR")))))</f>
        <v/>
      </c>
      <c r="F39" s="487" t="str">
        <f>IF(D39="","",IF(N39="○",M39,IF(P39="○",O39,IF(R39="○",Q39,IF(T39="○",S39,"ERROR")))))</f>
        <v/>
      </c>
      <c r="G39" s="555" t="e">
        <f>IF($B39="-","",IF($E39="正規職員","-",IF(AND(EXACT(B28,B39),EXACT(D28,D39),EXACT(E28,E39)),G28,"賃金単価を記載")))</f>
        <v>#N/A</v>
      </c>
      <c r="H39" s="487" t="str">
        <f t="shared" ref="H39:H46" si="81">IF($D39="","",IF($E39="正規職員","-",F39*G39))</f>
        <v/>
      </c>
      <c r="I39" s="487">
        <f t="shared" si="19"/>
        <v>288666.66666667</v>
      </c>
      <c r="J39" s="487">
        <f t="shared" ref="J39" si="82">IFERROR(IF($C39="-","",IF(D39="",0,IF(E39="正規職員",I39,MIN(H39:I39)))),0)</f>
        <v>0</v>
      </c>
      <c r="K39" s="488" t="str">
        <f>IF(D39="","",IF(OR(COUNTIFS(D39,"*要配慮*")=1,COUNTIFS(D39,"*医療的ケア*")=1),"○","エラー"))</f>
        <v/>
      </c>
      <c r="L39" s="343">
        <f t="shared" ref="L39" si="83">L28+1</f>
        <v>6</v>
      </c>
      <c r="M39" s="343" t="e">
        <f>VLOOKUP($D39&amp;M$5,'②-2勤務時間数入力'!$D$7:$Q$106,$L39,FALSE)</f>
        <v>#N/A</v>
      </c>
      <c r="N39" s="343" t="str">
        <f t="shared" ref="N39:N48" si="84">IF(ISERROR(M39),"×",IF(M39="-","×","○"))</f>
        <v>×</v>
      </c>
      <c r="O39" s="343" t="e">
        <f>VLOOKUP($D39&amp;O$5,'②-2勤務時間数入力'!$D$7:$Q$106,$L39,FALSE)</f>
        <v>#N/A</v>
      </c>
      <c r="P39" s="343" t="str">
        <f t="shared" ref="P39:P48" si="85">IF(ISERROR(O39),"×",IF(O39="-","×","○"))</f>
        <v>×</v>
      </c>
      <c r="Q39" s="343" t="e">
        <f>VLOOKUP($D39&amp;Q$5,'②-2勤務時間数入力'!$D$7:$Q$106,$L39,FALSE)</f>
        <v>#N/A</v>
      </c>
      <c r="R39" s="343" t="str">
        <f t="shared" ref="R39:R48" si="86">IF(ISERROR(Q39),"×",IF(Q39="-","×","○"))</f>
        <v>×</v>
      </c>
      <c r="S39" s="343" t="e">
        <f>VLOOKUP($D39&amp;S$5,'②-2勤務時間数入力'!$D$7:$Q$106,$L39,FALSE)</f>
        <v>#N/A</v>
      </c>
      <c r="T39" s="343" t="str">
        <f t="shared" ref="T39:T48" si="87">IF(ISERROR(S39),"×",IF(S39="-","×","○"))</f>
        <v>×</v>
      </c>
      <c r="W39" s="455" t="str">
        <f>IFERROR(IF(AND(C39="保育士等",D39="",D40=""),"×","〇"),"〇")</f>
        <v>〇</v>
      </c>
      <c r="X39" s="455" t="str">
        <f t="shared" si="4"/>
        <v>〇</v>
      </c>
    </row>
    <row r="40" spans="1:24" ht="13.5" customHeight="1">
      <c r="A40" s="861"/>
      <c r="B40" s="881"/>
      <c r="C40" s="865"/>
      <c r="D40" s="546" t="str">
        <f>IF(D29="","",D29)</f>
        <v/>
      </c>
      <c r="E40" s="486" t="str">
        <f t="shared" ref="E40:E41" si="88">IF(D40="","",IF(N40="○",M$5,IF(P40="○",O$5,IF(R40="○",Q$5,IF(T40="○",S$5,"ERROR")))))</f>
        <v/>
      </c>
      <c r="F40" s="487" t="str">
        <f t="shared" ref="F40:F41" si="89">IF(D40="","",IF(N40="○",M40,IF(P40="○",O40,IF(R40="○",Q40,IF(T40="○",S40,"ERROR")))))</f>
        <v/>
      </c>
      <c r="G40" s="555" t="e">
        <f>IF($B39="-","",IF($E40="正規職員","-",IF(AND(EXACT(B28,B39),EXACT(D29,D40),EXACT(E29,E40)),G29,"賃金単価を記載")))</f>
        <v>#N/A</v>
      </c>
      <c r="H40" s="487" t="str">
        <f t="shared" si="81"/>
        <v/>
      </c>
      <c r="I40" s="487">
        <f t="shared" si="19"/>
        <v>288666.66666667</v>
      </c>
      <c r="J40" s="487">
        <f t="shared" ref="J40" si="90">IFERROR(IF($C39="-","",IF(D40="","",IF(E40="正規職員",I40-J39,MIN(MIN(H40:I40),I39-J39)))),0)</f>
        <v>0</v>
      </c>
      <c r="K40" s="488" t="str">
        <f t="shared" ref="K40:K41" si="91">IF(D40="","",IF(OR(COUNTIFS(D40,"*要配慮*")=1,COUNTIFS(D40,"*医療的ケア*")=1),"○","エラー"))</f>
        <v/>
      </c>
      <c r="L40" s="343">
        <f>L39</f>
        <v>6</v>
      </c>
      <c r="M40" s="343" t="e">
        <f>VLOOKUP($D40&amp;M$5,'②-2勤務時間数入力'!$D$7:$Q$106,$L40,FALSE)</f>
        <v>#N/A</v>
      </c>
      <c r="N40" s="343" t="str">
        <f t="shared" si="84"/>
        <v>×</v>
      </c>
      <c r="O40" s="343" t="e">
        <f>VLOOKUP($D40&amp;O$5,'②-2勤務時間数入力'!$D$7:$Q$106,$L40,FALSE)</f>
        <v>#N/A</v>
      </c>
      <c r="P40" s="343" t="str">
        <f t="shared" si="85"/>
        <v>×</v>
      </c>
      <c r="Q40" s="343" t="e">
        <f>VLOOKUP($D40&amp;Q$5,'②-2勤務時間数入力'!$D$7:$Q$106,$L40,FALSE)</f>
        <v>#N/A</v>
      </c>
      <c r="R40" s="343" t="str">
        <f t="shared" si="86"/>
        <v>×</v>
      </c>
      <c r="S40" s="343" t="e">
        <f>VLOOKUP($D40&amp;S$5,'②-2勤務時間数入力'!$D$7:$Q$106,$L40,FALSE)</f>
        <v>#N/A</v>
      </c>
      <c r="T40" s="343" t="str">
        <f t="shared" si="87"/>
        <v>×</v>
      </c>
      <c r="X40" s="455" t="str">
        <f t="shared" si="4"/>
        <v>〇</v>
      </c>
    </row>
    <row r="41" spans="1:24" ht="13.5" customHeight="1">
      <c r="A41" s="861"/>
      <c r="B41" s="881"/>
      <c r="C41" s="863" t="e">
        <f t="shared" ref="C41" si="92">IF(B39&gt;1,C39,"-")</f>
        <v>#N/A</v>
      </c>
      <c r="D41" s="546" t="str">
        <f>IF(D30="","",D30)</f>
        <v/>
      </c>
      <c r="E41" s="486" t="str">
        <f t="shared" si="88"/>
        <v/>
      </c>
      <c r="F41" s="487" t="str">
        <f t="shared" si="89"/>
        <v/>
      </c>
      <c r="G41" s="555" t="e">
        <f>IF($B39="-","",IF($E41="正規職員","-",IF(AND(EXACT(B28,B39),EXACT(D30,D41),EXACT(E30,E41)),G30,"賃金単価を記載")))</f>
        <v>#N/A</v>
      </c>
      <c r="H41" s="487" t="str">
        <f>IF($D41="","",IF($E41="正規職員","-",F41*G41))</f>
        <v/>
      </c>
      <c r="I41" s="487">
        <f t="shared" si="19"/>
        <v>288666.66666667</v>
      </c>
      <c r="J41" s="487">
        <f t="shared" ref="J41" si="93">IFERROR(IF($C41="-","",IF(D41="",0,IF(E41="正規職員",I41,MIN(H41:I41)))),0)</f>
        <v>0</v>
      </c>
      <c r="K41" s="488" t="str">
        <f t="shared" si="91"/>
        <v/>
      </c>
      <c r="L41" s="343">
        <f t="shared" ref="L41:L48" si="94">L40</f>
        <v>6</v>
      </c>
      <c r="M41" s="343" t="e">
        <f>VLOOKUP($D41&amp;M$5,'②-2勤務時間数入力'!$D$7:$Q$106,$L41,FALSE)</f>
        <v>#N/A</v>
      </c>
      <c r="N41" s="343" t="str">
        <f t="shared" si="84"/>
        <v>×</v>
      </c>
      <c r="O41" s="343" t="e">
        <f>VLOOKUP($D41&amp;O$5,'②-2勤務時間数入力'!$D$7:$Q$106,$L41,FALSE)</f>
        <v>#N/A</v>
      </c>
      <c r="P41" s="343" t="str">
        <f t="shared" si="85"/>
        <v>×</v>
      </c>
      <c r="Q41" s="343" t="e">
        <f>VLOOKUP($D41&amp;Q$5,'②-2勤務時間数入力'!$D$7:$Q$106,$L41,FALSE)</f>
        <v>#N/A</v>
      </c>
      <c r="R41" s="343" t="str">
        <f t="shared" si="86"/>
        <v>×</v>
      </c>
      <c r="S41" s="343" t="e">
        <f>VLOOKUP($D41&amp;S$5,'②-2勤務時間数入力'!$D$7:$Q$106,$L41,FALSE)</f>
        <v>#N/A</v>
      </c>
      <c r="T41" s="343" t="str">
        <f t="shared" si="87"/>
        <v>×</v>
      </c>
      <c r="W41" s="455" t="str">
        <f>IFERROR(IF(AND(C41="保育士等",D41="",D42=""),"×","〇"),"〇")</f>
        <v>〇</v>
      </c>
      <c r="X41" s="455" t="str">
        <f t="shared" si="4"/>
        <v>〇</v>
      </c>
    </row>
    <row r="42" spans="1:24" ht="13.5" customHeight="1">
      <c r="A42" s="861"/>
      <c r="B42" s="881"/>
      <c r="C42" s="865"/>
      <c r="D42" s="546" t="str">
        <f t="shared" ref="D42:D48" si="95">IF(D31="","",D31)</f>
        <v/>
      </c>
      <c r="E42" s="486" t="str">
        <f t="shared" ref="E42:E44" si="96">IF(D42="","",IF(N42="○",M$5,IF(P42="○",O$5,IF(R42="○",Q$5,IF(T42="○",S$5,"ERROR")))))</f>
        <v/>
      </c>
      <c r="F42" s="487" t="str">
        <f t="shared" ref="F42:F44" si="97">IF(D42="","",IF(N42="○",M42,IF(P42="○",O42,IF(R42="○",Q42,IF(T42="○",S42,"ERROR")))))</f>
        <v/>
      </c>
      <c r="G42" s="555" t="e">
        <f>IF($B39="^","",IF($E42="正規職員","-",IF(AND(EXACT(B28,B39),EXACT(D31,D42),EXACT(E31,E42)),G31,"賃金単価を記載")))</f>
        <v>#N/A</v>
      </c>
      <c r="H42" s="487" t="str">
        <f t="shared" ref="H42:H43" si="98">IF($D42="","",IF($E42="正規職員","-",F42*G42))</f>
        <v/>
      </c>
      <c r="I42" s="487">
        <f t="shared" si="19"/>
        <v>288666.66666667</v>
      </c>
      <c r="J42" s="487">
        <f t="shared" ref="J42" si="99">IFERROR(IF($C41="-","",IF(D42="","",IF(E42="正規職員",I42-J41,MIN(MIN(H42:I42),I41-J41)))),0)</f>
        <v>0</v>
      </c>
      <c r="K42" s="488" t="str">
        <f t="shared" ref="K42:K44" si="100">IF(D42="","",IF(OR(COUNTIFS(D42,"*要配慮*")=1,COUNTIFS(D42,"*医療的ケア*")=1),"○","エラー"))</f>
        <v/>
      </c>
      <c r="L42" s="343">
        <f t="shared" si="94"/>
        <v>6</v>
      </c>
      <c r="M42" s="343" t="e">
        <f>VLOOKUP($D42&amp;M$5,'②-2勤務時間数入力'!$D$7:$Q$106,$L42,FALSE)</f>
        <v>#N/A</v>
      </c>
      <c r="N42" s="343" t="str">
        <f t="shared" si="84"/>
        <v>×</v>
      </c>
      <c r="O42" s="343" t="e">
        <f>VLOOKUP($D42&amp;O$5,'②-2勤務時間数入力'!$D$7:$Q$106,$L42,FALSE)</f>
        <v>#N/A</v>
      </c>
      <c r="P42" s="343" t="str">
        <f t="shared" si="85"/>
        <v>×</v>
      </c>
      <c r="Q42" s="343" t="e">
        <f>VLOOKUP($D42&amp;Q$5,'②-2勤務時間数入力'!$D$7:$Q$106,$L42,FALSE)</f>
        <v>#N/A</v>
      </c>
      <c r="R42" s="343" t="str">
        <f t="shared" si="86"/>
        <v>×</v>
      </c>
      <c r="S42" s="343" t="e">
        <f>VLOOKUP($D42&amp;S$5,'②-2勤務時間数入力'!$D$7:$Q$106,$L42,FALSE)</f>
        <v>#N/A</v>
      </c>
      <c r="T42" s="343" t="str">
        <f t="shared" si="87"/>
        <v>×</v>
      </c>
      <c r="X42" s="455" t="str">
        <f t="shared" si="4"/>
        <v>〇</v>
      </c>
    </row>
    <row r="43" spans="1:24" ht="13.5" customHeight="1">
      <c r="A43" s="861"/>
      <c r="B43" s="881"/>
      <c r="C43" s="863" t="e">
        <f t="shared" ref="C43" si="101">IF(B39&gt;2,C39,"-")</f>
        <v>#N/A</v>
      </c>
      <c r="D43" s="546" t="str">
        <f t="shared" si="95"/>
        <v/>
      </c>
      <c r="E43" s="486" t="str">
        <f t="shared" si="96"/>
        <v/>
      </c>
      <c r="F43" s="487" t="str">
        <f t="shared" si="97"/>
        <v/>
      </c>
      <c r="G43" s="555" t="e">
        <f>IF($B39="-","",IF($E43="正規職員","-",IF(AND(EXACT(B28,B39),EXACT(D32,D43),EXACT(E32,E43)),G32,"賃金単価を記載")))</f>
        <v>#N/A</v>
      </c>
      <c r="H43" s="487" t="str">
        <f t="shared" si="98"/>
        <v/>
      </c>
      <c r="I43" s="487">
        <f t="shared" si="19"/>
        <v>288666.66666667</v>
      </c>
      <c r="J43" s="487">
        <f t="shared" ref="J43" si="102">IFERROR(IF($C43="-","",IF(D43="",0,IF(E43="正規職員",I43,MIN(H43:I43)))),0)</f>
        <v>0</v>
      </c>
      <c r="K43" s="488" t="str">
        <f t="shared" si="100"/>
        <v/>
      </c>
      <c r="L43" s="343">
        <f t="shared" si="94"/>
        <v>6</v>
      </c>
      <c r="M43" s="343" t="e">
        <f>VLOOKUP($D43&amp;M$5,'②-2勤務時間数入力'!$D$7:$Q$106,$L43,FALSE)</f>
        <v>#N/A</v>
      </c>
      <c r="N43" s="343" t="str">
        <f t="shared" si="84"/>
        <v>×</v>
      </c>
      <c r="O43" s="343" t="e">
        <f>VLOOKUP($D43&amp;O$5,'②-2勤務時間数入力'!$D$7:$Q$106,$L43,FALSE)</f>
        <v>#N/A</v>
      </c>
      <c r="P43" s="343" t="str">
        <f t="shared" si="85"/>
        <v>×</v>
      </c>
      <c r="Q43" s="343" t="e">
        <f>VLOOKUP($D43&amp;Q$5,'②-2勤務時間数入力'!$D$7:$Q$106,$L43,FALSE)</f>
        <v>#N/A</v>
      </c>
      <c r="R43" s="343" t="str">
        <f t="shared" si="86"/>
        <v>×</v>
      </c>
      <c r="S43" s="343" t="e">
        <f>VLOOKUP($D43&amp;S$5,'②-2勤務時間数入力'!$D$7:$Q$106,$L43,FALSE)</f>
        <v>#N/A</v>
      </c>
      <c r="T43" s="343" t="str">
        <f t="shared" si="87"/>
        <v>×</v>
      </c>
      <c r="W43" s="455" t="str">
        <f>IFERROR(IF(AND(C43="保育士等",D43="",D44=""),"×","〇"),"〇")</f>
        <v>〇</v>
      </c>
      <c r="X43" s="455" t="str">
        <f t="shared" si="4"/>
        <v>〇</v>
      </c>
    </row>
    <row r="44" spans="1:24" ht="13.5" customHeight="1">
      <c r="A44" s="861"/>
      <c r="B44" s="881"/>
      <c r="C44" s="865"/>
      <c r="D44" s="546" t="str">
        <f t="shared" si="95"/>
        <v/>
      </c>
      <c r="E44" s="486" t="str">
        <f t="shared" si="96"/>
        <v/>
      </c>
      <c r="F44" s="487" t="str">
        <f t="shared" si="97"/>
        <v/>
      </c>
      <c r="G44" s="555" t="e">
        <f>IF($B39="-","",IF($E44="正規職員","-",IF(AND(EXACT(B28,B39),EXACT(D33,D44),EXACT(E33,E44)),G33,"賃金単価を記載")))</f>
        <v>#N/A</v>
      </c>
      <c r="H44" s="487" t="str">
        <f>IF($D44="","",IF($E44="正規職員","-",F44*G44))</f>
        <v/>
      </c>
      <c r="I44" s="487">
        <f t="shared" si="19"/>
        <v>288666.66666667</v>
      </c>
      <c r="J44" s="487">
        <f t="shared" ref="J44" si="103">IFERROR(IF($C43="-","",IF(D44="","",IF(E44="正規職員",I44-J43,MIN(MIN(H44:I44),I43-J43)))),0)</f>
        <v>0</v>
      </c>
      <c r="K44" s="488" t="str">
        <f t="shared" si="100"/>
        <v/>
      </c>
      <c r="L44" s="343">
        <f t="shared" si="94"/>
        <v>6</v>
      </c>
      <c r="M44" s="343" t="e">
        <f>VLOOKUP($D44&amp;M$5,'②-2勤務時間数入力'!$D$7:$Q$106,$L44,FALSE)</f>
        <v>#N/A</v>
      </c>
      <c r="N44" s="343" t="str">
        <f t="shared" si="84"/>
        <v>×</v>
      </c>
      <c r="O44" s="343" t="e">
        <f>VLOOKUP($D44&amp;O$5,'②-2勤務時間数入力'!$D$7:$Q$106,$L44,FALSE)</f>
        <v>#N/A</v>
      </c>
      <c r="P44" s="343" t="str">
        <f t="shared" si="85"/>
        <v>×</v>
      </c>
      <c r="Q44" s="343" t="e">
        <f>VLOOKUP($D44&amp;Q$5,'②-2勤務時間数入力'!$D$7:$Q$106,$L44,FALSE)</f>
        <v>#N/A</v>
      </c>
      <c r="R44" s="343" t="str">
        <f t="shared" si="86"/>
        <v>×</v>
      </c>
      <c r="S44" s="343" t="e">
        <f>VLOOKUP($D44&amp;S$5,'②-2勤務時間数入力'!$D$7:$Q$106,$L44,FALSE)</f>
        <v>#N/A</v>
      </c>
      <c r="T44" s="343" t="str">
        <f t="shared" si="87"/>
        <v>×</v>
      </c>
      <c r="X44" s="455" t="str">
        <f t="shared" si="4"/>
        <v>〇</v>
      </c>
    </row>
    <row r="45" spans="1:24" ht="13.5" customHeight="1">
      <c r="A45" s="861"/>
      <c r="B45" s="881"/>
      <c r="C45" s="863" t="e">
        <f t="shared" ref="C45" si="104">IF(B39&gt;3,C39,"-")</f>
        <v>#N/A</v>
      </c>
      <c r="D45" s="546" t="str">
        <f t="shared" si="95"/>
        <v/>
      </c>
      <c r="E45" s="486" t="str">
        <f t="shared" ref="E45:E48" si="105">IF(D45="","",IF(N45="○",M$5,IF(P45="○",O$5,IF(R45="○",Q$5,IF(T45="○",S$5,"ERROR")))))</f>
        <v/>
      </c>
      <c r="F45" s="487" t="str">
        <f t="shared" ref="F45:F48" si="106">IF(D45="","",IF(N45="○",M45,IF(P45="○",O45,IF(R45="○",Q45,IF(T45="○",S45,"ERROR")))))</f>
        <v/>
      </c>
      <c r="G45" s="555" t="e">
        <f>IF($B39="-","",IF($E45="正規職員","-",IF(AND(EXACT(B28,B39),EXACT(D34,D45),EXACT(E34,E45)),G34,"賃金単価を記載")))</f>
        <v>#N/A</v>
      </c>
      <c r="H45" s="487" t="str">
        <f t="shared" si="81"/>
        <v/>
      </c>
      <c r="I45" s="487">
        <f t="shared" si="19"/>
        <v>288666.66666667</v>
      </c>
      <c r="J45" s="487">
        <f t="shared" ref="J45" si="107">IFERROR(IF($C45="-","",IF(D45="",0,IF(E45="正規職員",I45,MIN(H45:I45)))),0)</f>
        <v>0</v>
      </c>
      <c r="K45" s="488" t="str">
        <f t="shared" ref="K45:K48" si="108">IF(D45="","",IF(OR(COUNTIFS(D45,"*要配慮*")=1,COUNTIFS(D45,"*医療的ケア*")=1),"○","エラー"))</f>
        <v/>
      </c>
      <c r="L45" s="343">
        <f t="shared" si="94"/>
        <v>6</v>
      </c>
      <c r="M45" s="343" t="e">
        <f>VLOOKUP($D45&amp;M$5,'②-2勤務時間数入力'!$D$7:$Q$106,$L45,FALSE)</f>
        <v>#N/A</v>
      </c>
      <c r="N45" s="343" t="str">
        <f t="shared" si="84"/>
        <v>×</v>
      </c>
      <c r="O45" s="343" t="e">
        <f>VLOOKUP($D45&amp;O$5,'②-2勤務時間数入力'!$D$7:$Q$106,$L45,FALSE)</f>
        <v>#N/A</v>
      </c>
      <c r="P45" s="343" t="str">
        <f t="shared" si="85"/>
        <v>×</v>
      </c>
      <c r="Q45" s="343" t="e">
        <f>VLOOKUP($D45&amp;Q$5,'②-2勤務時間数入力'!$D$7:$Q$106,$L45,FALSE)</f>
        <v>#N/A</v>
      </c>
      <c r="R45" s="343" t="str">
        <f t="shared" si="86"/>
        <v>×</v>
      </c>
      <c r="S45" s="343" t="e">
        <f>VLOOKUP($D45&amp;S$5,'②-2勤務時間数入力'!$D$7:$Q$106,$L45,FALSE)</f>
        <v>#N/A</v>
      </c>
      <c r="T45" s="343" t="str">
        <f t="shared" si="87"/>
        <v>×</v>
      </c>
      <c r="W45" s="455" t="str">
        <f>IFERROR(IF(AND(C45="保育士等",D45="",D46=""),"×","〇"),"〇")</f>
        <v>〇</v>
      </c>
      <c r="X45" s="455" t="str">
        <f t="shared" si="4"/>
        <v>〇</v>
      </c>
    </row>
    <row r="46" spans="1:24" ht="13.5" customHeight="1">
      <c r="A46" s="861"/>
      <c r="B46" s="881"/>
      <c r="C46" s="865"/>
      <c r="D46" s="546" t="str">
        <f>IF(D35="","",D35)</f>
        <v/>
      </c>
      <c r="E46" s="486" t="str">
        <f t="shared" si="105"/>
        <v/>
      </c>
      <c r="F46" s="487" t="str">
        <f t="shared" si="106"/>
        <v/>
      </c>
      <c r="G46" s="555" t="e">
        <f>IF($B39="-","",IF($E46="正規職員","-",IF(AND(EXACT(B28,B39),EXACT(D35,D46),EXACT(E35,E46)),G35,"賃金単価を記載")))</f>
        <v>#N/A</v>
      </c>
      <c r="H46" s="487" t="str">
        <f t="shared" si="81"/>
        <v/>
      </c>
      <c r="I46" s="487">
        <f t="shared" si="19"/>
        <v>288666.66666667</v>
      </c>
      <c r="J46" s="487">
        <f t="shared" ref="J46" si="109">IFERROR(IF($C45="-","",IF(D46="","",IF(E46="正規職員",I46-J45,MIN(MIN(H46:I46),I45-J45)))),0)</f>
        <v>0</v>
      </c>
      <c r="K46" s="488" t="str">
        <f t="shared" si="108"/>
        <v/>
      </c>
      <c r="L46" s="343">
        <f t="shared" si="94"/>
        <v>6</v>
      </c>
      <c r="M46" s="343" t="e">
        <f>VLOOKUP($D46&amp;M$5,'②-2勤務時間数入力'!$D$7:$Q$106,$L46,FALSE)</f>
        <v>#N/A</v>
      </c>
      <c r="N46" s="343" t="str">
        <f t="shared" si="84"/>
        <v>×</v>
      </c>
      <c r="O46" s="343" t="e">
        <f>VLOOKUP($D46&amp;O$5,'②-2勤務時間数入力'!$D$7:$Q$106,$L46,FALSE)</f>
        <v>#N/A</v>
      </c>
      <c r="P46" s="343" t="str">
        <f t="shared" si="85"/>
        <v>×</v>
      </c>
      <c r="Q46" s="343" t="e">
        <f>VLOOKUP($D46&amp;Q$5,'②-2勤務時間数入力'!$D$7:$Q$106,$L46,FALSE)</f>
        <v>#N/A</v>
      </c>
      <c r="R46" s="343" t="str">
        <f t="shared" si="86"/>
        <v>×</v>
      </c>
      <c r="S46" s="343" t="e">
        <f>VLOOKUP($D46&amp;S$5,'②-2勤務時間数入力'!$D$7:$Q$106,$L46,FALSE)</f>
        <v>#N/A</v>
      </c>
      <c r="T46" s="343" t="str">
        <f t="shared" si="87"/>
        <v>×</v>
      </c>
      <c r="X46" s="455" t="str">
        <f t="shared" si="4"/>
        <v>〇</v>
      </c>
    </row>
    <row r="47" spans="1:24" ht="13.5" customHeight="1">
      <c r="A47" s="861"/>
      <c r="B47" s="881"/>
      <c r="C47" s="863" t="e">
        <f t="shared" ref="C47" si="110">IF(B39&gt;4,C39,"-")</f>
        <v>#N/A</v>
      </c>
      <c r="D47" s="546" t="str">
        <f t="shared" si="95"/>
        <v/>
      </c>
      <c r="E47" s="486" t="str">
        <f t="shared" si="105"/>
        <v/>
      </c>
      <c r="F47" s="487" t="str">
        <f t="shared" si="106"/>
        <v/>
      </c>
      <c r="G47" s="555" t="e">
        <f>IF($B39="-","",IF($E47="正規職員","-",IF(AND(EXACT(B28,B39),EXACT(D36,D47),EXACT(E36,E47)),G36,"賃金単価を記載")))</f>
        <v>#N/A</v>
      </c>
      <c r="H47" s="487" t="str">
        <f>IF($D47="","",IF($E47="正規職員","-",F47*G47))</f>
        <v/>
      </c>
      <c r="I47" s="487">
        <f t="shared" si="19"/>
        <v>288666.66666667</v>
      </c>
      <c r="J47" s="487">
        <f t="shared" ref="J47" si="111">IFERROR(IF($C47="-","",IF(D47="",0,IF(E47="正規職員",I47,MIN(H47:I47)))),0)</f>
        <v>0</v>
      </c>
      <c r="K47" s="488" t="str">
        <f t="shared" si="108"/>
        <v/>
      </c>
      <c r="L47" s="343">
        <f t="shared" si="94"/>
        <v>6</v>
      </c>
      <c r="M47" s="343" t="e">
        <f>VLOOKUP($D47&amp;M$5,'②-2勤務時間数入力'!$D$7:$Q$106,$L47,FALSE)</f>
        <v>#N/A</v>
      </c>
      <c r="N47" s="343" t="str">
        <f t="shared" si="84"/>
        <v>×</v>
      </c>
      <c r="O47" s="343" t="e">
        <f>VLOOKUP($D47&amp;O$5,'②-2勤務時間数入力'!$D$7:$Q$106,$L47,FALSE)</f>
        <v>#N/A</v>
      </c>
      <c r="P47" s="343" t="str">
        <f t="shared" si="85"/>
        <v>×</v>
      </c>
      <c r="Q47" s="343" t="e">
        <f>VLOOKUP($D47&amp;Q$5,'②-2勤務時間数入力'!$D$7:$Q$106,$L47,FALSE)</f>
        <v>#N/A</v>
      </c>
      <c r="R47" s="343" t="str">
        <f t="shared" si="86"/>
        <v>×</v>
      </c>
      <c r="S47" s="343" t="e">
        <f>VLOOKUP($D47&amp;S$5,'②-2勤務時間数入力'!$D$7:$Q$106,$L47,FALSE)</f>
        <v>#N/A</v>
      </c>
      <c r="T47" s="343" t="str">
        <f t="shared" si="87"/>
        <v>×</v>
      </c>
      <c r="W47" s="455" t="str">
        <f>IFERROR(IF(AND(C47="保育士等",D47="",D48=""),"×","〇"),"〇")</f>
        <v>〇</v>
      </c>
      <c r="X47" s="455" t="str">
        <f t="shared" si="4"/>
        <v>〇</v>
      </c>
    </row>
    <row r="48" spans="1:24" ht="13.5" customHeight="1">
      <c r="A48" s="880"/>
      <c r="B48" s="881"/>
      <c r="C48" s="865"/>
      <c r="D48" s="546" t="str">
        <f t="shared" si="95"/>
        <v/>
      </c>
      <c r="E48" s="486" t="str">
        <f t="shared" si="105"/>
        <v/>
      </c>
      <c r="F48" s="487" t="str">
        <f t="shared" si="106"/>
        <v/>
      </c>
      <c r="G48" s="555" t="e">
        <f>IF($B39="-","",IF($E48="正規職員","-",IF(AND(EXACT(B28,B39),EXACT(D37,D48),EXACT(E37,E48)),G37,"賃金単価を記載")))</f>
        <v>#N/A</v>
      </c>
      <c r="H48" s="487" t="str">
        <f>IF($D48="","",IF($E48="正規職員","-",F48*G48))</f>
        <v/>
      </c>
      <c r="I48" s="487">
        <f t="shared" si="19"/>
        <v>288666.66666667</v>
      </c>
      <c r="J48" s="487">
        <f t="shared" ref="J48" si="112">IFERROR(IF($C47="-","",IF(D48="","",IF(E48="正規職員",I48-J47,MIN(MIN(H48:I48),I47-J47)))),0)</f>
        <v>0</v>
      </c>
      <c r="K48" s="488" t="str">
        <f t="shared" si="108"/>
        <v/>
      </c>
      <c r="L48" s="343">
        <f t="shared" si="94"/>
        <v>6</v>
      </c>
      <c r="M48" s="343" t="e">
        <f>VLOOKUP($D48&amp;M$5,'②-2勤務時間数入力'!$D$7:$Q$106,$L48,FALSE)</f>
        <v>#N/A</v>
      </c>
      <c r="N48" s="343" t="str">
        <f t="shared" si="84"/>
        <v>×</v>
      </c>
      <c r="O48" s="343" t="e">
        <f>VLOOKUP($D48&amp;O$5,'②-2勤務時間数入力'!$D$7:$Q$106,$L48,FALSE)</f>
        <v>#N/A</v>
      </c>
      <c r="P48" s="343" t="str">
        <f t="shared" si="85"/>
        <v>×</v>
      </c>
      <c r="Q48" s="343" t="e">
        <f>VLOOKUP($D48&amp;Q$5,'②-2勤務時間数入力'!$D$7:$Q$106,$L48,FALSE)</f>
        <v>#N/A</v>
      </c>
      <c r="R48" s="343" t="str">
        <f t="shared" si="86"/>
        <v>×</v>
      </c>
      <c r="S48" s="343" t="e">
        <f>VLOOKUP($D48&amp;S$5,'②-2勤務時間数入力'!$D$7:$Q$106,$L48,FALSE)</f>
        <v>#N/A</v>
      </c>
      <c r="T48" s="343" t="str">
        <f t="shared" si="87"/>
        <v>×</v>
      </c>
      <c r="X48" s="455" t="str">
        <f t="shared" si="4"/>
        <v>〇</v>
      </c>
    </row>
    <row r="49" spans="1:24" ht="13.5" customHeight="1">
      <c r="A49" s="845"/>
      <c r="B49" s="863"/>
      <c r="C49" s="501"/>
      <c r="D49" s="342" t="s">
        <v>258</v>
      </c>
      <c r="E49" s="486" t="s">
        <v>255</v>
      </c>
      <c r="F49" s="497"/>
      <c r="G49" s="486" t="s">
        <v>255</v>
      </c>
      <c r="H49" s="486" t="s">
        <v>255</v>
      </c>
      <c r="I49" s="486" t="s">
        <v>255</v>
      </c>
      <c r="J49" s="487">
        <f t="shared" ref="J49" si="113">IFERROR(IF(J39="","",MIN(SUM(J39:J48),(B39*I39))),0)</f>
        <v>0</v>
      </c>
      <c r="K49" s="488"/>
      <c r="L49" s="343"/>
      <c r="M49" s="343"/>
      <c r="N49" s="343"/>
      <c r="O49" s="343"/>
      <c r="P49" s="343"/>
      <c r="Q49" s="343"/>
      <c r="R49" s="343"/>
      <c r="S49" s="343"/>
      <c r="T49" s="343"/>
      <c r="X49" s="455" t="str">
        <f t="shared" si="4"/>
        <v>〇</v>
      </c>
    </row>
    <row r="50" spans="1:24" ht="13.5" customHeight="1">
      <c r="A50" s="844">
        <v>8</v>
      </c>
      <c r="B50" s="881" t="e">
        <f>加算判定!M8</f>
        <v>#N/A</v>
      </c>
      <c r="C50" s="863" t="e">
        <f>加算判定!N8</f>
        <v>#N/A</v>
      </c>
      <c r="D50" s="546" t="str">
        <f>IF(D39="","",D39)</f>
        <v/>
      </c>
      <c r="E50" s="486" t="str">
        <f>IF(D50="","",IF(N50="○",M$5,IF(P50="○",O$5,IF(R50="○",Q$5,IF(T50="○",S$5,"ERROR")))))</f>
        <v/>
      </c>
      <c r="F50" s="487" t="str">
        <f>IF(D50="","",IF(N50="○",M50,IF(P50="○",O50,IF(R50="○",Q50,IF(T50="○",S50,"ERROR")))))</f>
        <v/>
      </c>
      <c r="G50" s="555" t="e">
        <f>IF($B50="-","",IF($E50="正規職員","-",IF(AND(EXACT(B39,B50),EXACT(D39,D50),EXACT(E39,E50)),G39,"賃金単価を記載")))</f>
        <v>#N/A</v>
      </c>
      <c r="H50" s="487" t="str">
        <f t="shared" ref="H50:H57" si="114">IF($D50="","",IF($E50="正規職員","-",F50*G50))</f>
        <v/>
      </c>
      <c r="I50" s="487">
        <f t="shared" si="19"/>
        <v>288666.66666667</v>
      </c>
      <c r="J50" s="487">
        <f t="shared" ref="J50" si="115">IFERROR(IF($C50="-","",IF(D50="",0,IF(E50="正規職員",I50,MIN(H50:I50)))),0)</f>
        <v>0</v>
      </c>
      <c r="K50" s="488" t="str">
        <f>IF(D50="","",IF(OR(COUNTIFS(D50,"*要配慮*")=1,COUNTIFS(D50,"*医療的ケア*")=1),"○","エラー"))</f>
        <v/>
      </c>
      <c r="L50" s="343">
        <f t="shared" ref="L50" si="116">L39+1</f>
        <v>7</v>
      </c>
      <c r="M50" s="343" t="e">
        <f>VLOOKUP($D50&amp;M$5,'②-2勤務時間数入力'!$D$7:$Q$106,$L50,FALSE)</f>
        <v>#N/A</v>
      </c>
      <c r="N50" s="343" t="str">
        <f t="shared" ref="N50:N59" si="117">IF(ISERROR(M50),"×",IF(M50="-","×","○"))</f>
        <v>×</v>
      </c>
      <c r="O50" s="343" t="e">
        <f>VLOOKUP($D50&amp;O$5,'②-2勤務時間数入力'!$D$7:$Q$106,$L50,FALSE)</f>
        <v>#N/A</v>
      </c>
      <c r="P50" s="343" t="str">
        <f t="shared" ref="P50:P59" si="118">IF(ISERROR(O50),"×",IF(O50="-","×","○"))</f>
        <v>×</v>
      </c>
      <c r="Q50" s="343" t="e">
        <f>VLOOKUP($D50&amp;Q$5,'②-2勤務時間数入力'!$D$7:$Q$106,$L50,FALSE)</f>
        <v>#N/A</v>
      </c>
      <c r="R50" s="343" t="str">
        <f t="shared" ref="R50:R59" si="119">IF(ISERROR(Q50),"×",IF(Q50="-","×","○"))</f>
        <v>×</v>
      </c>
      <c r="S50" s="343" t="e">
        <f>VLOOKUP($D50&amp;S$5,'②-2勤務時間数入力'!$D$7:$Q$106,$L50,FALSE)</f>
        <v>#N/A</v>
      </c>
      <c r="T50" s="343" t="str">
        <f t="shared" ref="T50:T59" si="120">IF(ISERROR(S50),"×",IF(S50="-","×","○"))</f>
        <v>×</v>
      </c>
      <c r="W50" s="455" t="str">
        <f>IFERROR(IF(AND(C50="保育士等",D50="",D51=""),"×","〇"),"〇")</f>
        <v>〇</v>
      </c>
      <c r="X50" s="455" t="str">
        <f t="shared" si="4"/>
        <v>〇</v>
      </c>
    </row>
    <row r="51" spans="1:24" ht="13.5" customHeight="1">
      <c r="A51" s="861"/>
      <c r="B51" s="881"/>
      <c r="C51" s="865"/>
      <c r="D51" s="546" t="str">
        <f>IF(D40="","",D40)</f>
        <v/>
      </c>
      <c r="E51" s="486" t="str">
        <f t="shared" ref="E51:E55" si="121">IF(D51="","",IF(N51="○",M$5,IF(P51="○",O$5,IF(R51="○",Q$5,IF(T51="○",S$5,"ERROR")))))</f>
        <v/>
      </c>
      <c r="F51" s="487" t="str">
        <f t="shared" ref="F51:F55" si="122">IF(D51="","",IF(N51="○",M51,IF(P51="○",O51,IF(R51="○",Q51,IF(T51="○",S51,"ERROR")))))</f>
        <v/>
      </c>
      <c r="G51" s="555" t="e">
        <f>IF($B50="-","",IF($E51="正規職員","-",IF(AND(EXACT(B39,B50),EXACT(D42,D51),EXACT(E42,E51)),G42,"賃金単価を記載")))</f>
        <v>#N/A</v>
      </c>
      <c r="H51" s="487" t="str">
        <f t="shared" ref="H51:H52" si="123">IF($D51="","",IF($E51="正規職員","-",F51*G51))</f>
        <v/>
      </c>
      <c r="I51" s="487">
        <f t="shared" si="19"/>
        <v>288666.66666667</v>
      </c>
      <c r="J51" s="487">
        <f t="shared" ref="J51" si="124">IFERROR(IF($C50="-","",IF(D51="","",IF(E51="正規職員",I51-J50,MIN(MIN(H51:I51),I50-J50)))),0)</f>
        <v>0</v>
      </c>
      <c r="K51" s="488" t="str">
        <f t="shared" ref="K51:K55" si="125">IF(D51="","",IF(OR(COUNTIFS(D51,"*要配慮*")=1,COUNTIFS(D51,"*医療的ケア*")=1),"○","エラー"))</f>
        <v/>
      </c>
      <c r="L51" s="343">
        <f>L50</f>
        <v>7</v>
      </c>
      <c r="M51" s="343" t="e">
        <f>VLOOKUP($D51&amp;M$5,'②-2勤務時間数入力'!$D$7:$Q$106,$L51,FALSE)</f>
        <v>#N/A</v>
      </c>
      <c r="N51" s="343" t="str">
        <f t="shared" si="117"/>
        <v>×</v>
      </c>
      <c r="O51" s="343" t="e">
        <f>VLOOKUP($D51&amp;O$5,'②-2勤務時間数入力'!$D$7:$Q$106,$L51,FALSE)</f>
        <v>#N/A</v>
      </c>
      <c r="P51" s="343" t="str">
        <f t="shared" si="118"/>
        <v>×</v>
      </c>
      <c r="Q51" s="343" t="e">
        <f>VLOOKUP($D51&amp;Q$5,'②-2勤務時間数入力'!$D$7:$Q$106,$L51,FALSE)</f>
        <v>#N/A</v>
      </c>
      <c r="R51" s="343" t="str">
        <f t="shared" si="119"/>
        <v>×</v>
      </c>
      <c r="S51" s="343" t="e">
        <f>VLOOKUP($D51&amp;S$5,'②-2勤務時間数入力'!$D$7:$Q$106,$L51,FALSE)</f>
        <v>#N/A</v>
      </c>
      <c r="T51" s="343" t="str">
        <f t="shared" si="120"/>
        <v>×</v>
      </c>
      <c r="X51" s="455" t="str">
        <f t="shared" si="4"/>
        <v>〇</v>
      </c>
    </row>
    <row r="52" spans="1:24" ht="13.5" customHeight="1">
      <c r="A52" s="861"/>
      <c r="B52" s="881"/>
      <c r="C52" s="863" t="e">
        <f t="shared" ref="C52" si="126">IF(B50&gt;1,C50,"-")</f>
        <v>#N/A</v>
      </c>
      <c r="D52" s="546" t="str">
        <f>IF(D41="","",D41)</f>
        <v/>
      </c>
      <c r="E52" s="486" t="str">
        <f t="shared" si="121"/>
        <v/>
      </c>
      <c r="F52" s="487" t="str">
        <f t="shared" si="122"/>
        <v/>
      </c>
      <c r="G52" s="555" t="e">
        <f>IF($B50="-","",IF($E52="正規職員","-",IF(AND(EXACT(B39,B50),EXACT(D43,D52),EXACT(E43,E52)),G43,"賃金単価を記載")))</f>
        <v>#N/A</v>
      </c>
      <c r="H52" s="487" t="str">
        <f t="shared" si="123"/>
        <v/>
      </c>
      <c r="I52" s="487">
        <f t="shared" si="19"/>
        <v>288666.66666667</v>
      </c>
      <c r="J52" s="487">
        <f t="shared" ref="J52" si="127">IFERROR(IF($C52="-","",IF(D52="",0,IF(E52="正規職員",I52,MIN(H52:I52)))),0)</f>
        <v>0</v>
      </c>
      <c r="K52" s="488" t="str">
        <f t="shared" si="125"/>
        <v/>
      </c>
      <c r="L52" s="343">
        <f t="shared" ref="L52:L59" si="128">L51</f>
        <v>7</v>
      </c>
      <c r="M52" s="343" t="e">
        <f>VLOOKUP($D52&amp;M$5,'②-2勤務時間数入力'!$D$7:$Q$106,$L52,FALSE)</f>
        <v>#N/A</v>
      </c>
      <c r="N52" s="343" t="str">
        <f t="shared" si="117"/>
        <v>×</v>
      </c>
      <c r="O52" s="343" t="e">
        <f>VLOOKUP($D52&amp;O$5,'②-2勤務時間数入力'!$D$7:$Q$106,$L52,FALSE)</f>
        <v>#N/A</v>
      </c>
      <c r="P52" s="343" t="str">
        <f t="shared" si="118"/>
        <v>×</v>
      </c>
      <c r="Q52" s="343" t="e">
        <f>VLOOKUP($D52&amp;Q$5,'②-2勤務時間数入力'!$D$7:$Q$106,$L52,FALSE)</f>
        <v>#N/A</v>
      </c>
      <c r="R52" s="343" t="str">
        <f t="shared" si="119"/>
        <v>×</v>
      </c>
      <c r="S52" s="343" t="e">
        <f>VLOOKUP($D52&amp;S$5,'②-2勤務時間数入力'!$D$7:$Q$106,$L52,FALSE)</f>
        <v>#N/A</v>
      </c>
      <c r="T52" s="343" t="str">
        <f t="shared" si="120"/>
        <v>×</v>
      </c>
      <c r="W52" s="455" t="str">
        <f>IFERROR(IF(AND(C52="保育士等",D52="",D53=""),"×","〇"),"〇")</f>
        <v>〇</v>
      </c>
      <c r="X52" s="455" t="str">
        <f t="shared" si="4"/>
        <v>〇</v>
      </c>
    </row>
    <row r="53" spans="1:24" ht="13.5" customHeight="1">
      <c r="A53" s="861"/>
      <c r="B53" s="881"/>
      <c r="C53" s="865"/>
      <c r="D53" s="546" t="str">
        <f t="shared" ref="D53:D59" si="129">IF(D42="","",D42)</f>
        <v/>
      </c>
      <c r="E53" s="486" t="str">
        <f t="shared" ref="E53:E54" si="130">IF(D53="","",IF(N53="○",M$5,IF(P53="○",O$5,IF(R53="○",Q$5,IF(T53="○",S$5,"ERROR")))))</f>
        <v/>
      </c>
      <c r="F53" s="487" t="str">
        <f t="shared" ref="F53:F54" si="131">IF(D53="","",IF(N53="○",M53,IF(P53="○",O53,IF(R53="○",Q53,IF(T53="○",S53,"ERROR")))))</f>
        <v/>
      </c>
      <c r="G53" s="555" t="e">
        <f>IF($B50="-","",IF($E53="正規職員","-",IF(AND(EXACT(B39,B50),EXACT(D42,D53),EXACT(E42,E53)),G42,"賃金単価を記載")))</f>
        <v>#N/A</v>
      </c>
      <c r="H53" s="487" t="str">
        <f>IF($D53="","",IF($E53="正規職員","-",F53*G53))</f>
        <v/>
      </c>
      <c r="I53" s="487">
        <f t="shared" si="19"/>
        <v>288666.66666667</v>
      </c>
      <c r="J53" s="487">
        <f t="shared" ref="J53" si="132">IFERROR(IF($C52="-","",IF(D53="","",IF(E53="正規職員",I53-J52,MIN(MIN(H53:I53),I52-J52)))),0)</f>
        <v>0</v>
      </c>
      <c r="K53" s="488" t="str">
        <f t="shared" ref="K53:K54" si="133">IF(D53="","",IF(OR(COUNTIFS(D53,"*要配慮*")=1,COUNTIFS(D53,"*医療的ケア*")=1),"○","エラー"))</f>
        <v/>
      </c>
      <c r="L53" s="343">
        <f>L50</f>
        <v>7</v>
      </c>
      <c r="M53" s="343" t="e">
        <f>VLOOKUP($D53&amp;M$5,'②-2勤務時間数入力'!$D$7:$Q$106,$L53,FALSE)</f>
        <v>#N/A</v>
      </c>
      <c r="N53" s="343" t="str">
        <f t="shared" si="117"/>
        <v>×</v>
      </c>
      <c r="O53" s="343" t="e">
        <f>VLOOKUP($D53&amp;O$5,'②-2勤務時間数入力'!$D$7:$Q$106,$L53,FALSE)</f>
        <v>#N/A</v>
      </c>
      <c r="P53" s="343" t="str">
        <f t="shared" si="118"/>
        <v>×</v>
      </c>
      <c r="Q53" s="343" t="e">
        <f>VLOOKUP($D53&amp;Q$5,'②-2勤務時間数入力'!$D$7:$Q$106,$L53,FALSE)</f>
        <v>#N/A</v>
      </c>
      <c r="R53" s="343" t="str">
        <f t="shared" si="119"/>
        <v>×</v>
      </c>
      <c r="S53" s="343" t="e">
        <f>VLOOKUP($D53&amp;S$5,'②-2勤務時間数入力'!$D$7:$Q$106,$L53,FALSE)</f>
        <v>#N/A</v>
      </c>
      <c r="T53" s="343" t="str">
        <f t="shared" si="120"/>
        <v>×</v>
      </c>
      <c r="X53" s="455" t="str">
        <f t="shared" si="4"/>
        <v>〇</v>
      </c>
    </row>
    <row r="54" spans="1:24" ht="13.5" customHeight="1">
      <c r="A54" s="861"/>
      <c r="B54" s="881"/>
      <c r="C54" s="863" t="e">
        <f t="shared" ref="C54" si="134">IF(B50&gt;2,C50,"-")</f>
        <v>#N/A</v>
      </c>
      <c r="D54" s="546" t="str">
        <f t="shared" si="129"/>
        <v/>
      </c>
      <c r="E54" s="486" t="str">
        <f t="shared" si="130"/>
        <v/>
      </c>
      <c r="F54" s="487" t="str">
        <f t="shared" si="131"/>
        <v/>
      </c>
      <c r="G54" s="555" t="e">
        <f>IF($B50="-","",IF($E54="正規職員","-",IF(AND(EXACT(B39,B50),EXACT(D43,D54),EXACT(E43,E54)),G43,"賃金単価を記載")))</f>
        <v>#N/A</v>
      </c>
      <c r="H54" s="487" t="str">
        <f t="shared" ref="H54" si="135">IF($D54="","",IF($E54="正規職員","-",F54*G54))</f>
        <v/>
      </c>
      <c r="I54" s="487">
        <f t="shared" si="19"/>
        <v>288666.66666667</v>
      </c>
      <c r="J54" s="487">
        <f t="shared" ref="J54" si="136">IFERROR(IF($C54="-","",IF(D54="",0,IF(E54="正規職員",I54,MIN(H54:I54)))),0)</f>
        <v>0</v>
      </c>
      <c r="K54" s="488" t="str">
        <f t="shared" si="133"/>
        <v/>
      </c>
      <c r="L54" s="343">
        <f t="shared" ref="L54" si="137">L53</f>
        <v>7</v>
      </c>
      <c r="M54" s="343" t="e">
        <f>VLOOKUP($D54&amp;M$5,'②-2勤務時間数入力'!$D$7:$Q$106,$L54,FALSE)</f>
        <v>#N/A</v>
      </c>
      <c r="N54" s="343" t="str">
        <f t="shared" si="117"/>
        <v>×</v>
      </c>
      <c r="O54" s="343" t="e">
        <f>VLOOKUP($D54&amp;O$5,'②-2勤務時間数入力'!$D$7:$Q$106,$L54,FALSE)</f>
        <v>#N/A</v>
      </c>
      <c r="P54" s="343" t="str">
        <f t="shared" si="118"/>
        <v>×</v>
      </c>
      <c r="Q54" s="343" t="e">
        <f>VLOOKUP($D54&amp;Q$5,'②-2勤務時間数入力'!$D$7:$Q$106,$L54,FALSE)</f>
        <v>#N/A</v>
      </c>
      <c r="R54" s="343" t="str">
        <f t="shared" si="119"/>
        <v>×</v>
      </c>
      <c r="S54" s="343" t="e">
        <f>VLOOKUP($D54&amp;S$5,'②-2勤務時間数入力'!$D$7:$Q$106,$L54,FALSE)</f>
        <v>#N/A</v>
      </c>
      <c r="T54" s="343" t="str">
        <f t="shared" si="120"/>
        <v>×</v>
      </c>
      <c r="W54" s="455" t="str">
        <f>IFERROR(IF(AND(C54="保育士等",D54="",D55=""),"×","〇"),"〇")</f>
        <v>〇</v>
      </c>
      <c r="X54" s="455" t="str">
        <f t="shared" si="4"/>
        <v>〇</v>
      </c>
    </row>
    <row r="55" spans="1:24" ht="13.5" customHeight="1">
      <c r="A55" s="861"/>
      <c r="B55" s="881"/>
      <c r="C55" s="865"/>
      <c r="D55" s="546" t="str">
        <f t="shared" si="129"/>
        <v/>
      </c>
      <c r="E55" s="486" t="str">
        <f t="shared" si="121"/>
        <v/>
      </c>
      <c r="F55" s="487" t="str">
        <f t="shared" si="122"/>
        <v/>
      </c>
      <c r="G55" s="555" t="e">
        <f>IF($B50="-","",IF($E55="正規職員","-",IF(AND(EXACT(B39,B50),EXACT(D44,D55),EXACT(E44,E55)),G44,"賃金単価を記載")))</f>
        <v>#N/A</v>
      </c>
      <c r="H55" s="487" t="str">
        <f>IF($D55="","",IF($E55="正規職員","-",F55*G55))</f>
        <v/>
      </c>
      <c r="I55" s="487">
        <f t="shared" si="19"/>
        <v>288666.66666667</v>
      </c>
      <c r="J55" s="487">
        <f t="shared" ref="J55" si="138">IFERROR(IF($C54="-","",IF(D55="","",IF(E55="正規職員",I55-J54,MIN(MIN(H55:I55),I54-J54)))),0)</f>
        <v>0</v>
      </c>
      <c r="K55" s="488" t="str">
        <f t="shared" si="125"/>
        <v/>
      </c>
      <c r="L55" s="343">
        <f>L52</f>
        <v>7</v>
      </c>
      <c r="M55" s="343" t="e">
        <f>VLOOKUP($D55&amp;M$5,'②-2勤務時間数入力'!$D$7:$Q$106,$L55,FALSE)</f>
        <v>#N/A</v>
      </c>
      <c r="N55" s="343" t="str">
        <f t="shared" si="117"/>
        <v>×</v>
      </c>
      <c r="O55" s="343" t="e">
        <f>VLOOKUP($D55&amp;O$5,'②-2勤務時間数入力'!$D$7:$Q$106,$L55,FALSE)</f>
        <v>#N/A</v>
      </c>
      <c r="P55" s="343" t="str">
        <f t="shared" si="118"/>
        <v>×</v>
      </c>
      <c r="Q55" s="343" t="e">
        <f>VLOOKUP($D55&amp;Q$5,'②-2勤務時間数入力'!$D$7:$Q$106,$L55,FALSE)</f>
        <v>#N/A</v>
      </c>
      <c r="R55" s="343" t="str">
        <f t="shared" si="119"/>
        <v>×</v>
      </c>
      <c r="S55" s="343" t="e">
        <f>VLOOKUP($D55&amp;S$5,'②-2勤務時間数入力'!$D$7:$Q$106,$L55,FALSE)</f>
        <v>#N/A</v>
      </c>
      <c r="T55" s="343" t="str">
        <f t="shared" si="120"/>
        <v>×</v>
      </c>
      <c r="X55" s="455" t="str">
        <f t="shared" si="4"/>
        <v>〇</v>
      </c>
    </row>
    <row r="56" spans="1:24" ht="13.5" customHeight="1">
      <c r="A56" s="861"/>
      <c r="B56" s="881"/>
      <c r="C56" s="863" t="e">
        <f t="shared" ref="C56" si="139">IF(B50&gt;3,C50,"-")</f>
        <v>#N/A</v>
      </c>
      <c r="D56" s="546" t="str">
        <f t="shared" si="129"/>
        <v/>
      </c>
      <c r="E56" s="486" t="str">
        <f t="shared" ref="E56:E59" si="140">IF(D56="","",IF(N56="○",M$5,IF(P56="○",O$5,IF(R56="○",Q$5,IF(T56="○",S$5,"ERROR")))))</f>
        <v/>
      </c>
      <c r="F56" s="487" t="str">
        <f t="shared" ref="F56:F59" si="141">IF(D56="","",IF(N56="○",M56,IF(P56="○",O56,IF(R56="○",Q56,IF(T56="○",S56,"ERROR")))))</f>
        <v/>
      </c>
      <c r="G56" s="555" t="e">
        <f>IF($B50="-","",IF($E56="正規職員","-",IF(AND(EXACT(B39,B50),EXACT(D45,D56),EXACT(E45,E56)),G45,"賃金単価を記載")))</f>
        <v>#N/A</v>
      </c>
      <c r="H56" s="487" t="str">
        <f t="shared" si="114"/>
        <v/>
      </c>
      <c r="I56" s="487">
        <f t="shared" si="19"/>
        <v>288666.66666667</v>
      </c>
      <c r="J56" s="487">
        <f t="shared" ref="J56" si="142">IFERROR(IF($C56="-","",IF(D56="",0,IF(E56="正規職員",I56,MIN(H56:I56)))),0)</f>
        <v>0</v>
      </c>
      <c r="K56" s="488" t="str">
        <f t="shared" ref="K56:K59" si="143">IF(D56="","",IF(OR(COUNTIFS(D56,"*要配慮*")=1,COUNTIFS(D56,"*医療的ケア*")=1),"○","エラー"))</f>
        <v/>
      </c>
      <c r="L56" s="343">
        <f t="shared" si="128"/>
        <v>7</v>
      </c>
      <c r="M56" s="343" t="e">
        <f>VLOOKUP($D56&amp;M$5,'②-2勤務時間数入力'!$D$7:$Q$106,$L56,FALSE)</f>
        <v>#N/A</v>
      </c>
      <c r="N56" s="343" t="str">
        <f t="shared" si="117"/>
        <v>×</v>
      </c>
      <c r="O56" s="343" t="e">
        <f>VLOOKUP($D56&amp;O$5,'②-2勤務時間数入力'!$D$7:$Q$106,$L56,FALSE)</f>
        <v>#N/A</v>
      </c>
      <c r="P56" s="343" t="str">
        <f t="shared" si="118"/>
        <v>×</v>
      </c>
      <c r="Q56" s="343" t="e">
        <f>VLOOKUP($D56&amp;Q$5,'②-2勤務時間数入力'!$D$7:$Q$106,$L56,FALSE)</f>
        <v>#N/A</v>
      </c>
      <c r="R56" s="343" t="str">
        <f t="shared" si="119"/>
        <v>×</v>
      </c>
      <c r="S56" s="343" t="e">
        <f>VLOOKUP($D56&amp;S$5,'②-2勤務時間数入力'!$D$7:$Q$106,$L56,FALSE)</f>
        <v>#N/A</v>
      </c>
      <c r="T56" s="343" t="str">
        <f t="shared" si="120"/>
        <v>×</v>
      </c>
      <c r="W56" s="455" t="str">
        <f>IFERROR(IF(AND(C56="保育士等",D56="",D57=""),"×","〇"),"〇")</f>
        <v>〇</v>
      </c>
      <c r="X56" s="455" t="str">
        <f t="shared" si="4"/>
        <v>〇</v>
      </c>
    </row>
    <row r="57" spans="1:24" ht="13.5" customHeight="1">
      <c r="A57" s="861"/>
      <c r="B57" s="881"/>
      <c r="C57" s="865"/>
      <c r="D57" s="546" t="str">
        <f>IF(D46="","",D46)</f>
        <v/>
      </c>
      <c r="E57" s="486" t="str">
        <f t="shared" si="140"/>
        <v/>
      </c>
      <c r="F57" s="487" t="str">
        <f t="shared" si="141"/>
        <v/>
      </c>
      <c r="G57" s="555" t="e">
        <f>IF($B50="-","",IF($E57="正規職員","-",IF(AND(EXACT(B39,B50),EXACT(D46,D57),EXACT(E46,E57)),G46,"賃金単価を記載")))</f>
        <v>#N/A</v>
      </c>
      <c r="H57" s="487" t="str">
        <f t="shared" si="114"/>
        <v/>
      </c>
      <c r="I57" s="487">
        <f t="shared" si="19"/>
        <v>288666.66666667</v>
      </c>
      <c r="J57" s="487">
        <f t="shared" ref="J57" si="144">IFERROR(IF($C56="-","",IF(D57="","",IF(E57="正規職員",I57-J56,MIN(MIN(H57:I57),I56-J56)))),0)</f>
        <v>0</v>
      </c>
      <c r="K57" s="488" t="str">
        <f t="shared" si="143"/>
        <v/>
      </c>
      <c r="L57" s="343">
        <f t="shared" si="128"/>
        <v>7</v>
      </c>
      <c r="M57" s="343" t="e">
        <f>VLOOKUP($D57&amp;M$5,'②-2勤務時間数入力'!$D$7:$Q$106,$L57,FALSE)</f>
        <v>#N/A</v>
      </c>
      <c r="N57" s="343" t="str">
        <f t="shared" si="117"/>
        <v>×</v>
      </c>
      <c r="O57" s="343" t="e">
        <f>VLOOKUP($D57&amp;O$5,'②-2勤務時間数入力'!$D$7:$Q$106,$L57,FALSE)</f>
        <v>#N/A</v>
      </c>
      <c r="P57" s="343" t="str">
        <f t="shared" si="118"/>
        <v>×</v>
      </c>
      <c r="Q57" s="343" t="e">
        <f>VLOOKUP($D57&amp;Q$5,'②-2勤務時間数入力'!$D$7:$Q$106,$L57,FALSE)</f>
        <v>#N/A</v>
      </c>
      <c r="R57" s="343" t="str">
        <f t="shared" si="119"/>
        <v>×</v>
      </c>
      <c r="S57" s="343" t="e">
        <f>VLOOKUP($D57&amp;S$5,'②-2勤務時間数入力'!$D$7:$Q$106,$L57,FALSE)</f>
        <v>#N/A</v>
      </c>
      <c r="T57" s="343" t="str">
        <f t="shared" si="120"/>
        <v>×</v>
      </c>
      <c r="X57" s="455" t="str">
        <f t="shared" si="4"/>
        <v>〇</v>
      </c>
    </row>
    <row r="58" spans="1:24" ht="13.5" customHeight="1">
      <c r="A58" s="861"/>
      <c r="B58" s="881"/>
      <c r="C58" s="863" t="e">
        <f t="shared" ref="C58" si="145">IF(B50&gt;4,C50,"-")</f>
        <v>#N/A</v>
      </c>
      <c r="D58" s="546" t="str">
        <f t="shared" si="129"/>
        <v/>
      </c>
      <c r="E58" s="486" t="str">
        <f t="shared" si="140"/>
        <v/>
      </c>
      <c r="F58" s="487" t="str">
        <f t="shared" si="141"/>
        <v/>
      </c>
      <c r="G58" s="555" t="e">
        <f>IF($B50="-","",IF($E58="正規職員","-",IF(AND(EXACT(B39,B50),EXACT(D47,D58),EXACT(E47,E58)),G47,"賃金単価を記載")))</f>
        <v>#N/A</v>
      </c>
      <c r="H58" s="487" t="str">
        <f>IF($D58="","",IF($E58="正規職員","-",F58*G58))</f>
        <v/>
      </c>
      <c r="I58" s="487">
        <f t="shared" si="19"/>
        <v>288666.66666667</v>
      </c>
      <c r="J58" s="487">
        <f t="shared" ref="J58" si="146">IFERROR(IF($C58="-","",IF(D58="",0,IF(E58="正規職員",I58,MIN(H58:I58)))),0)</f>
        <v>0</v>
      </c>
      <c r="K58" s="488" t="str">
        <f t="shared" si="143"/>
        <v/>
      </c>
      <c r="L58" s="343">
        <f t="shared" si="128"/>
        <v>7</v>
      </c>
      <c r="M58" s="343" t="e">
        <f>VLOOKUP($D58&amp;M$5,'②-2勤務時間数入力'!$D$7:$Q$106,$L58,FALSE)</f>
        <v>#N/A</v>
      </c>
      <c r="N58" s="343" t="str">
        <f t="shared" si="117"/>
        <v>×</v>
      </c>
      <c r="O58" s="343" t="e">
        <f>VLOOKUP($D58&amp;O$5,'②-2勤務時間数入力'!$D$7:$Q$106,$L58,FALSE)</f>
        <v>#N/A</v>
      </c>
      <c r="P58" s="343" t="str">
        <f t="shared" si="118"/>
        <v>×</v>
      </c>
      <c r="Q58" s="343" t="e">
        <f>VLOOKUP($D58&amp;Q$5,'②-2勤務時間数入力'!$D$7:$Q$106,$L58,FALSE)</f>
        <v>#N/A</v>
      </c>
      <c r="R58" s="343" t="str">
        <f t="shared" si="119"/>
        <v>×</v>
      </c>
      <c r="S58" s="343" t="e">
        <f>VLOOKUP($D58&amp;S$5,'②-2勤務時間数入力'!$D$7:$Q$106,$L58,FALSE)</f>
        <v>#N/A</v>
      </c>
      <c r="T58" s="343" t="str">
        <f t="shared" si="120"/>
        <v>×</v>
      </c>
      <c r="W58" s="455" t="str">
        <f>IFERROR(IF(AND(C58="保育士等",D58="",D59=""),"×","〇"),"〇")</f>
        <v>〇</v>
      </c>
      <c r="X58" s="455" t="str">
        <f t="shared" si="4"/>
        <v>〇</v>
      </c>
    </row>
    <row r="59" spans="1:24" ht="13.5" customHeight="1">
      <c r="A59" s="880"/>
      <c r="B59" s="881"/>
      <c r="C59" s="865"/>
      <c r="D59" s="546" t="str">
        <f t="shared" si="129"/>
        <v/>
      </c>
      <c r="E59" s="486" t="str">
        <f t="shared" si="140"/>
        <v/>
      </c>
      <c r="F59" s="487" t="str">
        <f t="shared" si="141"/>
        <v/>
      </c>
      <c r="G59" s="555" t="e">
        <f>IF($B50="-","",IF($E59="正規職員","-",IF(AND(EXACT(B39,B50),EXACT(D48,D59),EXACT(E48,E59)),G48,"賃金単価を記載")))</f>
        <v>#N/A</v>
      </c>
      <c r="H59" s="487" t="str">
        <f>IF($D59="","",IF($E59="正規職員","-",F59*G59))</f>
        <v/>
      </c>
      <c r="I59" s="487">
        <f t="shared" si="19"/>
        <v>288666.66666667</v>
      </c>
      <c r="J59" s="487">
        <f t="shared" ref="J59" si="147">IFERROR(IF($C58="-","",IF(D59="","",IF(E59="正規職員",I59-J58,MIN(MIN(H59:I59),I58-J58)))),0)</f>
        <v>0</v>
      </c>
      <c r="K59" s="488" t="str">
        <f t="shared" si="143"/>
        <v/>
      </c>
      <c r="L59" s="343">
        <f t="shared" si="128"/>
        <v>7</v>
      </c>
      <c r="M59" s="343" t="e">
        <f>VLOOKUP($D59&amp;M$5,'②-2勤務時間数入力'!$D$7:$Q$106,$L59,FALSE)</f>
        <v>#N/A</v>
      </c>
      <c r="N59" s="343" t="str">
        <f t="shared" si="117"/>
        <v>×</v>
      </c>
      <c r="O59" s="343" t="e">
        <f>VLOOKUP($D59&amp;O$5,'②-2勤務時間数入力'!$D$7:$Q$106,$L59,FALSE)</f>
        <v>#N/A</v>
      </c>
      <c r="P59" s="343" t="str">
        <f t="shared" si="118"/>
        <v>×</v>
      </c>
      <c r="Q59" s="343" t="e">
        <f>VLOOKUP($D59&amp;Q$5,'②-2勤務時間数入力'!$D$7:$Q$106,$L59,FALSE)</f>
        <v>#N/A</v>
      </c>
      <c r="R59" s="343" t="str">
        <f t="shared" si="119"/>
        <v>×</v>
      </c>
      <c r="S59" s="343" t="e">
        <f>VLOOKUP($D59&amp;S$5,'②-2勤務時間数入力'!$D$7:$Q$106,$L59,FALSE)</f>
        <v>#N/A</v>
      </c>
      <c r="T59" s="343" t="str">
        <f t="shared" si="120"/>
        <v>×</v>
      </c>
      <c r="X59" s="455" t="str">
        <f t="shared" si="4"/>
        <v>〇</v>
      </c>
    </row>
    <row r="60" spans="1:24" ht="13.5" customHeight="1">
      <c r="A60" s="845"/>
      <c r="B60" s="863"/>
      <c r="C60" s="501"/>
      <c r="D60" s="342" t="s">
        <v>259</v>
      </c>
      <c r="E60" s="486" t="s">
        <v>255</v>
      </c>
      <c r="F60" s="497"/>
      <c r="G60" s="486" t="s">
        <v>255</v>
      </c>
      <c r="H60" s="486" t="s">
        <v>255</v>
      </c>
      <c r="I60" s="486" t="s">
        <v>255</v>
      </c>
      <c r="J60" s="487">
        <f t="shared" ref="J60" si="148">IFERROR(IF(J50="","",MIN(SUM(J50:J59),(B50*I50))),0)</f>
        <v>0</v>
      </c>
      <c r="K60" s="488"/>
      <c r="L60" s="343"/>
      <c r="M60" s="343"/>
      <c r="N60" s="343"/>
      <c r="O60" s="343"/>
      <c r="P60" s="343"/>
      <c r="Q60" s="343"/>
      <c r="R60" s="343"/>
      <c r="S60" s="343"/>
      <c r="T60" s="343"/>
      <c r="X60" s="455" t="str">
        <f t="shared" si="4"/>
        <v>〇</v>
      </c>
    </row>
    <row r="61" spans="1:24" ht="13.5" customHeight="1">
      <c r="A61" s="844">
        <v>9</v>
      </c>
      <c r="B61" s="881" t="e">
        <f>加算判定!M9</f>
        <v>#N/A</v>
      </c>
      <c r="C61" s="863" t="e">
        <f>加算判定!N9</f>
        <v>#N/A</v>
      </c>
      <c r="D61" s="546" t="str">
        <f>IF(D50="","",D50)</f>
        <v/>
      </c>
      <c r="E61" s="486" t="str">
        <f>IF(D61="","",IF(N61="○",M$5,IF(P61="○",O$5,IF(R61="○",Q$5,IF(T61="○",S$5,"ERROR")))))</f>
        <v/>
      </c>
      <c r="F61" s="487" t="str">
        <f>IF(D61="","",IF(N61="○",M61,IF(P61="○",O61,IF(R61="○",Q61,IF(T61="○",S61,"ERROR")))))</f>
        <v/>
      </c>
      <c r="G61" s="555" t="e">
        <f>IF($B61="-","",IF($E61="正規職員","-",IF(AND(EXACT(B50,B61),EXACT(D50,D61),EXACT(E50,E61)),G50,"賃金単価を記載")))</f>
        <v>#N/A</v>
      </c>
      <c r="H61" s="487" t="str">
        <f t="shared" ref="H61:H68" si="149">IF($D61="","",IF($E61="正規職員","-",F61*G61))</f>
        <v/>
      </c>
      <c r="I61" s="487">
        <f t="shared" si="19"/>
        <v>288666.66666667</v>
      </c>
      <c r="J61" s="487">
        <f t="shared" ref="J61" si="150">IFERROR(IF($C61="-","",IF(D61="",0,IF(E61="正規職員",I61,MIN(H61:I61)))),0)</f>
        <v>0</v>
      </c>
      <c r="K61" s="488" t="str">
        <f>IF(D61="","",IF(OR(COUNTIFS(D61,"*要配慮*")=1,COUNTIFS(D61,"*医療的ケア*")=1),"○","エラー"))</f>
        <v/>
      </c>
      <c r="L61" s="343">
        <f t="shared" ref="L61" si="151">L50+1</f>
        <v>8</v>
      </c>
      <c r="M61" s="343" t="e">
        <f>VLOOKUP($D61&amp;M$5,'②-2勤務時間数入力'!$D$7:$Q$106,$L61,FALSE)</f>
        <v>#N/A</v>
      </c>
      <c r="N61" s="343" t="str">
        <f t="shared" ref="N61:N70" si="152">IF(ISERROR(M61),"×",IF(M61="-","×","○"))</f>
        <v>×</v>
      </c>
      <c r="O61" s="343" t="e">
        <f>VLOOKUP($D61&amp;O$5,'②-2勤務時間数入力'!$D$7:$Q$106,$L61,FALSE)</f>
        <v>#N/A</v>
      </c>
      <c r="P61" s="343" t="str">
        <f t="shared" ref="P61:P70" si="153">IF(ISERROR(O61),"×",IF(O61="-","×","○"))</f>
        <v>×</v>
      </c>
      <c r="Q61" s="343" t="e">
        <f>VLOOKUP($D61&amp;Q$5,'②-2勤務時間数入力'!$D$7:$Q$106,$L61,FALSE)</f>
        <v>#N/A</v>
      </c>
      <c r="R61" s="343" t="str">
        <f t="shared" ref="R61:R70" si="154">IF(ISERROR(Q61),"×",IF(Q61="-","×","○"))</f>
        <v>×</v>
      </c>
      <c r="S61" s="343" t="e">
        <f>VLOOKUP($D61&amp;S$5,'②-2勤務時間数入力'!$D$7:$Q$106,$L61,FALSE)</f>
        <v>#N/A</v>
      </c>
      <c r="T61" s="343" t="str">
        <f t="shared" ref="T61:T70" si="155">IF(ISERROR(S61),"×",IF(S61="-","×","○"))</f>
        <v>×</v>
      </c>
      <c r="W61" s="455" t="str">
        <f>IFERROR(IF(AND(C61="保育士等",D61="",D62=""),"×","〇"),"〇")</f>
        <v>〇</v>
      </c>
      <c r="X61" s="455" t="str">
        <f t="shared" si="4"/>
        <v>〇</v>
      </c>
    </row>
    <row r="62" spans="1:24" ht="13.5" customHeight="1">
      <c r="A62" s="861"/>
      <c r="B62" s="881"/>
      <c r="C62" s="865"/>
      <c r="D62" s="546" t="str">
        <f>IF(D51="","",D51)</f>
        <v/>
      </c>
      <c r="E62" s="486" t="str">
        <f t="shared" ref="E62:E66" si="156">IF(D62="","",IF(N62="○",M$5,IF(P62="○",O$5,IF(R62="○",Q$5,IF(T62="○",S$5,"ERROR")))))</f>
        <v/>
      </c>
      <c r="F62" s="487" t="str">
        <f t="shared" ref="F62:F66" si="157">IF(D62="","",IF(N62="○",M62,IF(P62="○",O62,IF(R62="○",Q62,IF(T62="○",S62,"ERROR")))))</f>
        <v/>
      </c>
      <c r="G62" s="555" t="e">
        <f>IF($B61="-","",IF($E62="正規職員","-",IF(AND(EXACT(B50,B61),EXACT(D53,D62),EXACT(E53,E62)),G53,"賃金単価を記載")))</f>
        <v>#N/A</v>
      </c>
      <c r="H62" s="487" t="str">
        <f t="shared" ref="H62:H65" si="158">IF($D62="","",IF($E62="正規職員","-",F62*G62))</f>
        <v/>
      </c>
      <c r="I62" s="487">
        <f t="shared" si="19"/>
        <v>288666.66666667</v>
      </c>
      <c r="J62" s="487">
        <f t="shared" ref="J62" si="159">IFERROR(IF($C61="-","",IF(D62="","",IF(E62="正規職員",I62-J61,MIN(MIN(H62:I62),I61-J61)))),0)</f>
        <v>0</v>
      </c>
      <c r="K62" s="488" t="str">
        <f t="shared" ref="K62:K66" si="160">IF(D62="","",IF(OR(COUNTIFS(D62,"*要配慮*")=1,COUNTIFS(D62,"*医療的ケア*")=1),"○","エラー"))</f>
        <v/>
      </c>
      <c r="L62" s="343">
        <f>L61</f>
        <v>8</v>
      </c>
      <c r="M62" s="343" t="e">
        <f>VLOOKUP($D62&amp;M$5,'②-2勤務時間数入力'!$D$7:$Q$106,$L62,FALSE)</f>
        <v>#N/A</v>
      </c>
      <c r="N62" s="343" t="str">
        <f t="shared" si="152"/>
        <v>×</v>
      </c>
      <c r="O62" s="343" t="e">
        <f>VLOOKUP($D62&amp;O$5,'②-2勤務時間数入力'!$D$7:$Q$106,$L62,FALSE)</f>
        <v>#N/A</v>
      </c>
      <c r="P62" s="343" t="str">
        <f t="shared" si="153"/>
        <v>×</v>
      </c>
      <c r="Q62" s="343" t="e">
        <f>VLOOKUP($D62&amp;Q$5,'②-2勤務時間数入力'!$D$7:$Q$106,$L62,FALSE)</f>
        <v>#N/A</v>
      </c>
      <c r="R62" s="343" t="str">
        <f t="shared" si="154"/>
        <v>×</v>
      </c>
      <c r="S62" s="343" t="e">
        <f>VLOOKUP($D62&amp;S$5,'②-2勤務時間数入力'!$D$7:$Q$106,$L62,FALSE)</f>
        <v>#N/A</v>
      </c>
      <c r="T62" s="343" t="str">
        <f t="shared" si="155"/>
        <v>×</v>
      </c>
      <c r="X62" s="455" t="str">
        <f t="shared" si="4"/>
        <v>〇</v>
      </c>
    </row>
    <row r="63" spans="1:24" ht="13.5" customHeight="1">
      <c r="A63" s="861"/>
      <c r="B63" s="881"/>
      <c r="C63" s="863" t="e">
        <f t="shared" ref="C63" si="161">IF(B61&gt;1,C61,"-")</f>
        <v>#N/A</v>
      </c>
      <c r="D63" s="546" t="str">
        <f>IF(D52="","",D52)</f>
        <v/>
      </c>
      <c r="E63" s="486" t="str">
        <f t="shared" ref="E63:E64" si="162">IF(D63="","",IF(N63="○",M$5,IF(P63="○",O$5,IF(R63="○",Q$5,IF(T63="○",S$5,"ERROR")))))</f>
        <v/>
      </c>
      <c r="F63" s="487" t="str">
        <f t="shared" ref="F63:F64" si="163">IF(D63="","",IF(N63="○",M63,IF(P63="○",O63,IF(R63="○",Q63,IF(T63="○",S63,"ERROR")))))</f>
        <v/>
      </c>
      <c r="G63" s="555" t="e">
        <f>IF($B61="-","",IF($E63="正規職員","-",IF(AND(EXACT(B50,B61),EXACT(D52,D63),EXACT(E52,E63)),G52,"賃金単価を記載")))</f>
        <v>#N/A</v>
      </c>
      <c r="H63" s="487" t="str">
        <f t="shared" ref="H63" si="164">IF($D63="","",IF($E63="正規職員","-",F63*G63))</f>
        <v/>
      </c>
      <c r="I63" s="487">
        <f t="shared" si="19"/>
        <v>288666.66666667</v>
      </c>
      <c r="J63" s="487">
        <f t="shared" ref="J63" si="165">IFERROR(IF($C63="-","",IF(D63="",0,IF(E63="正規職員",I63,MIN(H63:I63)))),0)</f>
        <v>0</v>
      </c>
      <c r="K63" s="488" t="str">
        <f t="shared" ref="K63:K64" si="166">IF(D63="","",IF(OR(COUNTIFS(D63,"*要配慮*")=1,COUNTIFS(D63,"*医療的ケア*")=1),"○","エラー"))</f>
        <v/>
      </c>
      <c r="L63" s="343">
        <f t="shared" ref="L63:L70" si="167">L62</f>
        <v>8</v>
      </c>
      <c r="M63" s="343" t="e">
        <f>VLOOKUP($D63&amp;M$5,'②-2勤務時間数入力'!$D$7:$Q$106,$L63,FALSE)</f>
        <v>#N/A</v>
      </c>
      <c r="N63" s="343" t="str">
        <f t="shared" si="152"/>
        <v>×</v>
      </c>
      <c r="O63" s="343" t="e">
        <f>VLOOKUP($D63&amp;O$5,'②-2勤務時間数入力'!$D$7:$Q$106,$L63,FALSE)</f>
        <v>#N/A</v>
      </c>
      <c r="P63" s="343" t="str">
        <f t="shared" si="153"/>
        <v>×</v>
      </c>
      <c r="Q63" s="343" t="e">
        <f>VLOOKUP($D63&amp;Q$5,'②-2勤務時間数入力'!$D$7:$Q$106,$L63,FALSE)</f>
        <v>#N/A</v>
      </c>
      <c r="R63" s="343" t="str">
        <f t="shared" si="154"/>
        <v>×</v>
      </c>
      <c r="S63" s="343" t="e">
        <f>VLOOKUP($D63&amp;S$5,'②-2勤務時間数入力'!$D$7:$Q$106,$L63,FALSE)</f>
        <v>#N/A</v>
      </c>
      <c r="T63" s="343" t="str">
        <f t="shared" si="155"/>
        <v>×</v>
      </c>
      <c r="W63" s="455" t="str">
        <f>IFERROR(IF(AND(C63="保育士等",D63="",D64=""),"×","〇"),"〇")</f>
        <v>〇</v>
      </c>
      <c r="X63" s="455" t="str">
        <f t="shared" si="4"/>
        <v>〇</v>
      </c>
    </row>
    <row r="64" spans="1:24" ht="13.5" customHeight="1">
      <c r="A64" s="861"/>
      <c r="B64" s="881"/>
      <c r="C64" s="865"/>
      <c r="D64" s="546" t="str">
        <f t="shared" ref="D64:D70" si="168">IF(D53="","",D53)</f>
        <v/>
      </c>
      <c r="E64" s="486" t="str">
        <f t="shared" si="162"/>
        <v/>
      </c>
      <c r="F64" s="487" t="str">
        <f t="shared" si="163"/>
        <v/>
      </c>
      <c r="G64" s="555" t="e">
        <f>IF($B61="-","",IF($E64="正規職員","-",IF(AND(EXACT(B50,B61),EXACT(D53,D64),EXACT(E53,E64)),G53,"賃金単価を記載")))</f>
        <v>#N/A</v>
      </c>
      <c r="H64" s="487" t="str">
        <f>IF($D64="","",IF($E64="正規職員","-",F64*G64))</f>
        <v/>
      </c>
      <c r="I64" s="487">
        <f t="shared" si="19"/>
        <v>288666.66666667</v>
      </c>
      <c r="J64" s="487">
        <f t="shared" ref="J64" si="169">IFERROR(IF($C63="-","",IF(D64="","",IF(E64="正規職員",I64-J63,MIN(MIN(H64:I64),I63-J63)))),0)</f>
        <v>0</v>
      </c>
      <c r="K64" s="488" t="str">
        <f t="shared" si="166"/>
        <v/>
      </c>
      <c r="L64" s="343">
        <f t="shared" si="167"/>
        <v>8</v>
      </c>
      <c r="M64" s="343" t="e">
        <f>VLOOKUP($D64&amp;M$5,'②-2勤務時間数入力'!$D$7:$Q$106,$L64,FALSE)</f>
        <v>#N/A</v>
      </c>
      <c r="N64" s="343" t="str">
        <f t="shared" si="152"/>
        <v>×</v>
      </c>
      <c r="O64" s="343" t="e">
        <f>VLOOKUP($D64&amp;O$5,'②-2勤務時間数入力'!$D$7:$Q$106,$L64,FALSE)</f>
        <v>#N/A</v>
      </c>
      <c r="P64" s="343" t="str">
        <f t="shared" si="153"/>
        <v>×</v>
      </c>
      <c r="Q64" s="343" t="e">
        <f>VLOOKUP($D64&amp;Q$5,'②-2勤務時間数入力'!$D$7:$Q$106,$L64,FALSE)</f>
        <v>#N/A</v>
      </c>
      <c r="R64" s="343" t="str">
        <f t="shared" si="154"/>
        <v>×</v>
      </c>
      <c r="S64" s="343" t="e">
        <f>VLOOKUP($D64&amp;S$5,'②-2勤務時間数入力'!$D$7:$Q$106,$L64,FALSE)</f>
        <v>#N/A</v>
      </c>
      <c r="T64" s="343" t="str">
        <f t="shared" si="155"/>
        <v>×</v>
      </c>
      <c r="X64" s="455" t="str">
        <f t="shared" si="4"/>
        <v>〇</v>
      </c>
    </row>
    <row r="65" spans="1:24" ht="13.5" customHeight="1">
      <c r="A65" s="861"/>
      <c r="B65" s="881"/>
      <c r="C65" s="863" t="e">
        <f t="shared" ref="C65" si="170">IF(B61&gt;2,C61,"-")</f>
        <v>#N/A</v>
      </c>
      <c r="D65" s="546" t="str">
        <f t="shared" si="168"/>
        <v/>
      </c>
      <c r="E65" s="486" t="str">
        <f t="shared" si="156"/>
        <v/>
      </c>
      <c r="F65" s="487" t="str">
        <f t="shared" si="157"/>
        <v/>
      </c>
      <c r="G65" s="555" t="e">
        <f>IF($B61="","",IF($E65="正規職員","-",IF(AND(EXACT(B50,B61),EXACT(D54,D65),EXACT(E54,E65)),G54,"賃金単価を記載")))</f>
        <v>#N/A</v>
      </c>
      <c r="H65" s="487" t="str">
        <f t="shared" si="158"/>
        <v/>
      </c>
      <c r="I65" s="487">
        <f t="shared" si="19"/>
        <v>288666.66666667</v>
      </c>
      <c r="J65" s="487">
        <f t="shared" ref="J65" si="171">IFERROR(IF($C65="-","",IF(D65="",0,IF(E65="正規職員",I65,MIN(H65:I65)))),0)</f>
        <v>0</v>
      </c>
      <c r="K65" s="488" t="str">
        <f t="shared" si="160"/>
        <v/>
      </c>
      <c r="L65" s="343">
        <f t="shared" si="167"/>
        <v>8</v>
      </c>
      <c r="M65" s="343" t="e">
        <f>VLOOKUP($D65&amp;M$5,'②-2勤務時間数入力'!$D$7:$Q$106,$L65,FALSE)</f>
        <v>#N/A</v>
      </c>
      <c r="N65" s="343" t="str">
        <f t="shared" si="152"/>
        <v>×</v>
      </c>
      <c r="O65" s="343" t="e">
        <f>VLOOKUP($D65&amp;O$5,'②-2勤務時間数入力'!$D$7:$Q$106,$L65,FALSE)</f>
        <v>#N/A</v>
      </c>
      <c r="P65" s="343" t="str">
        <f t="shared" si="153"/>
        <v>×</v>
      </c>
      <c r="Q65" s="343" t="e">
        <f>VLOOKUP($D65&amp;Q$5,'②-2勤務時間数入力'!$D$7:$Q$106,$L65,FALSE)</f>
        <v>#N/A</v>
      </c>
      <c r="R65" s="343" t="str">
        <f t="shared" si="154"/>
        <v>×</v>
      </c>
      <c r="S65" s="343" t="e">
        <f>VLOOKUP($D65&amp;S$5,'②-2勤務時間数入力'!$D$7:$Q$106,$L65,FALSE)</f>
        <v>#N/A</v>
      </c>
      <c r="T65" s="343" t="str">
        <f t="shared" si="155"/>
        <v>×</v>
      </c>
      <c r="W65" s="455" t="str">
        <f>IFERROR(IF(AND(C65="保育士等",D65="",D66=""),"×","〇"),"〇")</f>
        <v>〇</v>
      </c>
      <c r="X65" s="455" t="str">
        <f t="shared" si="4"/>
        <v>〇</v>
      </c>
    </row>
    <row r="66" spans="1:24" ht="13.5" customHeight="1">
      <c r="A66" s="861"/>
      <c r="B66" s="881"/>
      <c r="C66" s="865"/>
      <c r="D66" s="546" t="str">
        <f t="shared" si="168"/>
        <v/>
      </c>
      <c r="E66" s="486" t="str">
        <f t="shared" si="156"/>
        <v/>
      </c>
      <c r="F66" s="487" t="str">
        <f t="shared" si="157"/>
        <v/>
      </c>
      <c r="G66" s="555" t="e">
        <f>IF($B61="-","",IF($E66="正規職員","-",IF(AND(EXACT(B50,B61),EXACT(D55,D66),EXACT(E55,E66)),G55,"賃金単価を記載")))</f>
        <v>#N/A</v>
      </c>
      <c r="H66" s="487" t="str">
        <f>IF($D66="","",IF($E66="正規職員","-",F66*G66))</f>
        <v/>
      </c>
      <c r="I66" s="487">
        <f t="shared" si="19"/>
        <v>288666.66666667</v>
      </c>
      <c r="J66" s="487">
        <f t="shared" ref="J66" si="172">IFERROR(IF($C65="-","",IF(D66="","",IF(E66="正規職員",I66-J65,MIN(MIN(H66:I66),I65-J65)))),0)</f>
        <v>0</v>
      </c>
      <c r="K66" s="488" t="str">
        <f t="shared" si="160"/>
        <v/>
      </c>
      <c r="L66" s="343">
        <f t="shared" si="167"/>
        <v>8</v>
      </c>
      <c r="M66" s="343" t="e">
        <f>VLOOKUP($D66&amp;M$5,'②-2勤務時間数入力'!$D$7:$Q$106,$L66,FALSE)</f>
        <v>#N/A</v>
      </c>
      <c r="N66" s="343" t="str">
        <f t="shared" si="152"/>
        <v>×</v>
      </c>
      <c r="O66" s="343" t="e">
        <f>VLOOKUP($D66&amp;O$5,'②-2勤務時間数入力'!$D$7:$Q$106,$L66,FALSE)</f>
        <v>#N/A</v>
      </c>
      <c r="P66" s="343" t="str">
        <f t="shared" si="153"/>
        <v>×</v>
      </c>
      <c r="Q66" s="343" t="e">
        <f>VLOOKUP($D66&amp;Q$5,'②-2勤務時間数入力'!$D$7:$Q$106,$L66,FALSE)</f>
        <v>#N/A</v>
      </c>
      <c r="R66" s="343" t="str">
        <f t="shared" si="154"/>
        <v>×</v>
      </c>
      <c r="S66" s="343" t="e">
        <f>VLOOKUP($D66&amp;S$5,'②-2勤務時間数入力'!$D$7:$Q$106,$L66,FALSE)</f>
        <v>#N/A</v>
      </c>
      <c r="T66" s="343" t="str">
        <f t="shared" si="155"/>
        <v>×</v>
      </c>
      <c r="X66" s="455" t="str">
        <f t="shared" si="4"/>
        <v>〇</v>
      </c>
    </row>
    <row r="67" spans="1:24" ht="13.5" customHeight="1">
      <c r="A67" s="861"/>
      <c r="B67" s="881"/>
      <c r="C67" s="863" t="e">
        <f t="shared" ref="C67" si="173">IF(B61&gt;3,C61,"-")</f>
        <v>#N/A</v>
      </c>
      <c r="D67" s="546" t="str">
        <f t="shared" si="168"/>
        <v/>
      </c>
      <c r="E67" s="486" t="str">
        <f t="shared" ref="E67:E70" si="174">IF(D67="","",IF(N67="○",M$5,IF(P67="○",O$5,IF(R67="○",Q$5,IF(T67="○",S$5,"ERROR")))))</f>
        <v/>
      </c>
      <c r="F67" s="487" t="str">
        <f t="shared" ref="F67:F70" si="175">IF(D67="","",IF(N67="○",M67,IF(P67="○",O67,IF(R67="○",Q67,IF(T67="○",S67,"ERROR")))))</f>
        <v/>
      </c>
      <c r="G67" s="555" t="e">
        <f>IF($B61="-","",IF($E67="正規職員","-",IF(AND(EXACT(B50,B61),EXACT(D56,D67),EXACT(E56,E67)),G56,"賃金単価を記載")))</f>
        <v>#N/A</v>
      </c>
      <c r="H67" s="487" t="str">
        <f t="shared" si="149"/>
        <v/>
      </c>
      <c r="I67" s="487">
        <f t="shared" si="19"/>
        <v>288666.66666667</v>
      </c>
      <c r="J67" s="487">
        <f t="shared" ref="J67" si="176">IFERROR(IF($C67="-","",IF(D67="",0,IF(E67="正規職員",I67,MIN(H67:I67)))),0)</f>
        <v>0</v>
      </c>
      <c r="K67" s="488" t="str">
        <f t="shared" ref="K67:K70" si="177">IF(D67="","",IF(OR(COUNTIFS(D67,"*要配慮*")=1,COUNTIFS(D67,"*医療的ケア*")=1),"○","エラー"))</f>
        <v/>
      </c>
      <c r="L67" s="343">
        <f t="shared" si="167"/>
        <v>8</v>
      </c>
      <c r="M67" s="343" t="e">
        <f>VLOOKUP($D67&amp;M$5,'②-2勤務時間数入力'!$D$7:$Q$106,$L67,FALSE)</f>
        <v>#N/A</v>
      </c>
      <c r="N67" s="343" t="str">
        <f t="shared" si="152"/>
        <v>×</v>
      </c>
      <c r="O67" s="343" t="e">
        <f>VLOOKUP($D67&amp;O$5,'②-2勤務時間数入力'!$D$7:$Q$106,$L67,FALSE)</f>
        <v>#N/A</v>
      </c>
      <c r="P67" s="343" t="str">
        <f t="shared" si="153"/>
        <v>×</v>
      </c>
      <c r="Q67" s="343" t="e">
        <f>VLOOKUP($D67&amp;Q$5,'②-2勤務時間数入力'!$D$7:$Q$106,$L67,FALSE)</f>
        <v>#N/A</v>
      </c>
      <c r="R67" s="343" t="str">
        <f t="shared" si="154"/>
        <v>×</v>
      </c>
      <c r="S67" s="343" t="e">
        <f>VLOOKUP($D67&amp;S$5,'②-2勤務時間数入力'!$D$7:$Q$106,$L67,FALSE)</f>
        <v>#N/A</v>
      </c>
      <c r="T67" s="343" t="str">
        <f t="shared" si="155"/>
        <v>×</v>
      </c>
      <c r="W67" s="455" t="str">
        <f>IFERROR(IF(AND(C67="保育士等",D67="",D68=""),"×","〇"),"〇")</f>
        <v>〇</v>
      </c>
      <c r="X67" s="455" t="str">
        <f t="shared" si="4"/>
        <v>〇</v>
      </c>
    </row>
    <row r="68" spans="1:24" ht="13.5" customHeight="1">
      <c r="A68" s="861"/>
      <c r="B68" s="881"/>
      <c r="C68" s="865"/>
      <c r="D68" s="546" t="str">
        <f>IF(D57="","",D57)</f>
        <v/>
      </c>
      <c r="E68" s="486" t="str">
        <f t="shared" si="174"/>
        <v/>
      </c>
      <c r="F68" s="487" t="str">
        <f t="shared" si="175"/>
        <v/>
      </c>
      <c r="G68" s="555" t="e">
        <f>IF($B61="-","",IF($E68="正規職員","-",IF(AND(EXACT(B50,B61),EXACT(D57,D68),EXACT(E57,E68)),G57,"賃金単価を記載")))</f>
        <v>#N/A</v>
      </c>
      <c r="H68" s="487" t="str">
        <f t="shared" si="149"/>
        <v/>
      </c>
      <c r="I68" s="487">
        <f t="shared" si="19"/>
        <v>288666.66666667</v>
      </c>
      <c r="J68" s="487">
        <f t="shared" ref="J68" si="178">IFERROR(IF($C67="-","",IF(D68="","",IF(E68="正規職員",I68-J67,MIN(MIN(H68:I68),I67-J67)))),0)</f>
        <v>0</v>
      </c>
      <c r="K68" s="488" t="str">
        <f t="shared" si="177"/>
        <v/>
      </c>
      <c r="L68" s="343">
        <f t="shared" si="167"/>
        <v>8</v>
      </c>
      <c r="M68" s="343" t="e">
        <f>VLOOKUP($D68&amp;M$5,'②-2勤務時間数入力'!$D$7:$Q$106,$L68,FALSE)</f>
        <v>#N/A</v>
      </c>
      <c r="N68" s="343" t="str">
        <f t="shared" si="152"/>
        <v>×</v>
      </c>
      <c r="O68" s="343" t="e">
        <f>VLOOKUP($D68&amp;O$5,'②-2勤務時間数入力'!$D$7:$Q$106,$L68,FALSE)</f>
        <v>#N/A</v>
      </c>
      <c r="P68" s="343" t="str">
        <f t="shared" si="153"/>
        <v>×</v>
      </c>
      <c r="Q68" s="343" t="e">
        <f>VLOOKUP($D68&amp;Q$5,'②-2勤務時間数入力'!$D$7:$Q$106,$L68,FALSE)</f>
        <v>#N/A</v>
      </c>
      <c r="R68" s="343" t="str">
        <f t="shared" si="154"/>
        <v>×</v>
      </c>
      <c r="S68" s="343" t="e">
        <f>VLOOKUP($D68&amp;S$5,'②-2勤務時間数入力'!$D$7:$Q$106,$L68,FALSE)</f>
        <v>#N/A</v>
      </c>
      <c r="T68" s="343" t="str">
        <f t="shared" si="155"/>
        <v>×</v>
      </c>
      <c r="X68" s="455" t="str">
        <f t="shared" si="4"/>
        <v>〇</v>
      </c>
    </row>
    <row r="69" spans="1:24" ht="13.5" customHeight="1">
      <c r="A69" s="861"/>
      <c r="B69" s="881"/>
      <c r="C69" s="863" t="e">
        <f t="shared" ref="C69" si="179">IF(B61&gt;4,C61,"-")</f>
        <v>#N/A</v>
      </c>
      <c r="D69" s="546" t="str">
        <f t="shared" si="168"/>
        <v/>
      </c>
      <c r="E69" s="486" t="str">
        <f t="shared" si="174"/>
        <v/>
      </c>
      <c r="F69" s="487" t="str">
        <f t="shared" si="175"/>
        <v/>
      </c>
      <c r="G69" s="555" t="e">
        <f>IF($B61="-","",IF($E69="正規職員","-",IF(AND(EXACT(B50,B61),EXACT(D58,D69),EXACT(E58,E69)),G58,"賃金単価を記載")))</f>
        <v>#N/A</v>
      </c>
      <c r="H69" s="487" t="str">
        <f>IF($D69="","",IF($E69="正規職員","-",F69*G69))</f>
        <v/>
      </c>
      <c r="I69" s="487">
        <f t="shared" si="19"/>
        <v>288666.66666667</v>
      </c>
      <c r="J69" s="487">
        <f t="shared" ref="J69" si="180">IFERROR(IF($C69="-","",IF(D69="",0,IF(E69="正規職員",I69,MIN(H69:I69)))),0)</f>
        <v>0</v>
      </c>
      <c r="K69" s="488" t="str">
        <f t="shared" si="177"/>
        <v/>
      </c>
      <c r="L69" s="343">
        <f t="shared" si="167"/>
        <v>8</v>
      </c>
      <c r="M69" s="343" t="e">
        <f>VLOOKUP($D69&amp;M$5,'②-2勤務時間数入力'!$D$7:$Q$106,$L69,FALSE)</f>
        <v>#N/A</v>
      </c>
      <c r="N69" s="343" t="str">
        <f t="shared" si="152"/>
        <v>×</v>
      </c>
      <c r="O69" s="343" t="e">
        <f>VLOOKUP($D69&amp;O$5,'②-2勤務時間数入力'!$D$7:$Q$106,$L69,FALSE)</f>
        <v>#N/A</v>
      </c>
      <c r="P69" s="343" t="str">
        <f t="shared" si="153"/>
        <v>×</v>
      </c>
      <c r="Q69" s="343" t="e">
        <f>VLOOKUP($D69&amp;Q$5,'②-2勤務時間数入力'!$D$7:$Q$106,$L69,FALSE)</f>
        <v>#N/A</v>
      </c>
      <c r="R69" s="343" t="str">
        <f t="shared" si="154"/>
        <v>×</v>
      </c>
      <c r="S69" s="343" t="e">
        <f>VLOOKUP($D69&amp;S$5,'②-2勤務時間数入力'!$D$7:$Q$106,$L69,FALSE)</f>
        <v>#N/A</v>
      </c>
      <c r="T69" s="343" t="str">
        <f t="shared" si="155"/>
        <v>×</v>
      </c>
      <c r="W69" s="455" t="str">
        <f>IFERROR(IF(AND(C69="保育士等",D69="",D70=""),"×","〇"),"〇")</f>
        <v>〇</v>
      </c>
      <c r="X69" s="455" t="str">
        <f t="shared" si="4"/>
        <v>〇</v>
      </c>
    </row>
    <row r="70" spans="1:24" ht="13.5" customHeight="1">
      <c r="A70" s="880"/>
      <c r="B70" s="881"/>
      <c r="C70" s="865"/>
      <c r="D70" s="546" t="str">
        <f t="shared" si="168"/>
        <v/>
      </c>
      <c r="E70" s="486" t="str">
        <f t="shared" si="174"/>
        <v/>
      </c>
      <c r="F70" s="487" t="str">
        <f t="shared" si="175"/>
        <v/>
      </c>
      <c r="G70" s="555" t="e">
        <f>IF($B61="-","",IF($E70="正規職員","-",IF(AND(EXACT(B50,B61),EXACT(D59,D70),EXACT(E59,E70)),G59,"賃金単価を記載")))</f>
        <v>#N/A</v>
      </c>
      <c r="H70" s="487" t="str">
        <f>IF($D70="","",IF($E70="正規職員","-",F70*G70))</f>
        <v/>
      </c>
      <c r="I70" s="487">
        <f t="shared" si="19"/>
        <v>288666.66666667</v>
      </c>
      <c r="J70" s="487">
        <f t="shared" ref="J70" si="181">IFERROR(IF($C69="-","",IF(D70="","",IF(E70="正規職員",I70-J69,MIN(MIN(H70:I70),I69-J69)))),0)</f>
        <v>0</v>
      </c>
      <c r="K70" s="488" t="str">
        <f t="shared" si="177"/>
        <v/>
      </c>
      <c r="L70" s="343">
        <f t="shared" si="167"/>
        <v>8</v>
      </c>
      <c r="M70" s="343" t="e">
        <f>VLOOKUP($D70&amp;M$5,'②-2勤務時間数入力'!$D$7:$Q$106,$L70,FALSE)</f>
        <v>#N/A</v>
      </c>
      <c r="N70" s="343" t="str">
        <f t="shared" si="152"/>
        <v>×</v>
      </c>
      <c r="O70" s="343" t="e">
        <f>VLOOKUP($D70&amp;O$5,'②-2勤務時間数入力'!$D$7:$Q$106,$L70,FALSE)</f>
        <v>#N/A</v>
      </c>
      <c r="P70" s="343" t="str">
        <f t="shared" si="153"/>
        <v>×</v>
      </c>
      <c r="Q70" s="343" t="e">
        <f>VLOOKUP($D70&amp;Q$5,'②-2勤務時間数入力'!$D$7:$Q$106,$L70,FALSE)</f>
        <v>#N/A</v>
      </c>
      <c r="R70" s="343" t="str">
        <f t="shared" si="154"/>
        <v>×</v>
      </c>
      <c r="S70" s="343" t="e">
        <f>VLOOKUP($D70&amp;S$5,'②-2勤務時間数入力'!$D$7:$Q$106,$L70,FALSE)</f>
        <v>#N/A</v>
      </c>
      <c r="T70" s="343" t="str">
        <f t="shared" si="155"/>
        <v>×</v>
      </c>
      <c r="X70" s="455" t="str">
        <f t="shared" si="4"/>
        <v>〇</v>
      </c>
    </row>
    <row r="71" spans="1:24" ht="13.5" customHeight="1">
      <c r="A71" s="845"/>
      <c r="B71" s="863"/>
      <c r="C71" s="501"/>
      <c r="D71" s="342" t="s">
        <v>260</v>
      </c>
      <c r="E71" s="486" t="s">
        <v>255</v>
      </c>
      <c r="F71" s="497"/>
      <c r="G71" s="486" t="s">
        <v>255</v>
      </c>
      <c r="H71" s="486" t="s">
        <v>255</v>
      </c>
      <c r="I71" s="486" t="s">
        <v>255</v>
      </c>
      <c r="J71" s="487">
        <f t="shared" ref="J71" si="182">IFERROR(IF(J61="","",MIN(SUM(J61:J70),(B61*I61))),0)</f>
        <v>0</v>
      </c>
      <c r="K71" s="488"/>
      <c r="L71" s="343"/>
      <c r="M71" s="343"/>
      <c r="N71" s="343"/>
      <c r="O71" s="343"/>
      <c r="P71" s="343"/>
      <c r="Q71" s="343"/>
      <c r="R71" s="343"/>
      <c r="S71" s="343"/>
      <c r="T71" s="343"/>
      <c r="X71" s="455" t="str">
        <f t="shared" ref="X71:X134" si="183">IFERROR(IF(G71="賃金単価を記載","×","〇"),"〇")</f>
        <v>〇</v>
      </c>
    </row>
    <row r="72" spans="1:24" ht="13.5" customHeight="1">
      <c r="A72" s="844">
        <v>10</v>
      </c>
      <c r="B72" s="863" t="e">
        <f>加算判定!M10</f>
        <v>#N/A</v>
      </c>
      <c r="C72" s="863" t="e">
        <f>加算判定!N10</f>
        <v>#N/A</v>
      </c>
      <c r="D72" s="546" t="str">
        <f>IF(D61="","",D61)</f>
        <v/>
      </c>
      <c r="E72" s="486" t="str">
        <f>IF(D72="","",IF(N72="○",M$5,IF(P72="○",O$5,IF(R72="○",Q$5,IF(T72="○",S$5,"ERROR")))))</f>
        <v/>
      </c>
      <c r="F72" s="487" t="str">
        <f>IF(D72="","",IF(N72="○",M72,IF(P72="○",O72,IF(R72="○",Q72,IF(T72="○",S72,"ERROR")))))</f>
        <v/>
      </c>
      <c r="G72" s="555" t="e">
        <f>IF($B72="-","",IF($E72="正規職員","-",IF(AND(EXACT(B61,B72),EXACT(D61,D72),EXACT(E61,E72)),G61,"賃金単価を記載")))</f>
        <v>#N/A</v>
      </c>
      <c r="H72" s="487" t="str">
        <f t="shared" ref="H72:H79" si="184">IF($D72="","",IF($E72="正規職員","-",F72*G72))</f>
        <v/>
      </c>
      <c r="I72" s="487">
        <f t="shared" si="19"/>
        <v>288666.66666667</v>
      </c>
      <c r="J72" s="487">
        <f t="shared" ref="J72" si="185">IFERROR(IF($C72="-","",IF(D72="",0,IF(E72="正規職員",I72,MIN(H72:I72)))),0)</f>
        <v>0</v>
      </c>
      <c r="K72" s="488" t="str">
        <f>IF(D72="","",IF(OR(COUNTIFS(D72,"*要配慮*")=1,COUNTIFS(D72,"*医療的ケア*")=1),"○","エラー"))</f>
        <v/>
      </c>
      <c r="L72" s="343">
        <f t="shared" ref="L72" si="186">L61+1</f>
        <v>9</v>
      </c>
      <c r="M72" s="343" t="e">
        <f>VLOOKUP($D72&amp;M$5,'②-2勤務時間数入力'!$D$7:$Q$106,$L72,FALSE)</f>
        <v>#N/A</v>
      </c>
      <c r="N72" s="343" t="str">
        <f t="shared" ref="N72:N81" si="187">IF(ISERROR(M72),"×",IF(M72="-","×","○"))</f>
        <v>×</v>
      </c>
      <c r="O72" s="343" t="e">
        <f>VLOOKUP($D72&amp;O$5,'②-2勤務時間数入力'!$D$7:$Q$106,$L72,FALSE)</f>
        <v>#N/A</v>
      </c>
      <c r="P72" s="343" t="str">
        <f t="shared" ref="P72:P81" si="188">IF(ISERROR(O72),"×",IF(O72="-","×","○"))</f>
        <v>×</v>
      </c>
      <c r="Q72" s="343" t="e">
        <f>VLOOKUP($D72&amp;Q$5,'②-2勤務時間数入力'!$D$7:$Q$106,$L72,FALSE)</f>
        <v>#N/A</v>
      </c>
      <c r="R72" s="343" t="str">
        <f t="shared" ref="R72:R81" si="189">IF(ISERROR(Q72),"×",IF(Q72="-","×","○"))</f>
        <v>×</v>
      </c>
      <c r="S72" s="343" t="e">
        <f>VLOOKUP($D72&amp;S$5,'②-2勤務時間数入力'!$D$7:$Q$106,$L72,FALSE)</f>
        <v>#N/A</v>
      </c>
      <c r="T72" s="343" t="str">
        <f t="shared" ref="T72:T81" si="190">IF(ISERROR(S72),"×",IF(S72="-","×","○"))</f>
        <v>×</v>
      </c>
      <c r="W72" s="455" t="str">
        <f>IFERROR(IF(AND(C72="保育士等",D72="",D73=""),"×","〇"),"〇")</f>
        <v>〇</v>
      </c>
      <c r="X72" s="455" t="str">
        <f t="shared" si="183"/>
        <v>〇</v>
      </c>
    </row>
    <row r="73" spans="1:24" ht="13.5" customHeight="1">
      <c r="A73" s="861"/>
      <c r="B73" s="864"/>
      <c r="C73" s="865"/>
      <c r="D73" s="546" t="str">
        <f>IF(D62="","",D62)</f>
        <v/>
      </c>
      <c r="E73" s="486" t="str">
        <f t="shared" ref="E73:E77" si="191">IF(D73="","",IF(N73="○",M$5,IF(P73="○",O$5,IF(R73="○",Q$5,IF(T73="○",S$5,"ERROR")))))</f>
        <v/>
      </c>
      <c r="F73" s="487" t="str">
        <f t="shared" ref="F73:F77" si="192">IF(D73="","",IF(N73="○",M73,IF(P73="○",O73,IF(R73="○",Q73,IF(T73="○",S73,"ERROR")))))</f>
        <v/>
      </c>
      <c r="G73" s="555" t="e">
        <f>IF($B72="-","",IF($E73="正規職員","-",IF(AND(EXACT(B61,B72),EXACT(D64,D73),EXACT(E64,E73)),G64,"賃金単価を記載")))</f>
        <v>#N/A</v>
      </c>
      <c r="H73" s="487" t="str">
        <f t="shared" ref="H73:H76" si="193">IF($D73="","",IF($E73="正規職員","-",F73*G73))</f>
        <v/>
      </c>
      <c r="I73" s="487">
        <f t="shared" si="19"/>
        <v>288666.66666667</v>
      </c>
      <c r="J73" s="487">
        <f t="shared" ref="J73" si="194">IFERROR(IF($C72="-","",IF(D73="","",IF(E73="正規職員",I73-J72,MIN(MIN(H73:I73),I72-J72)))),0)</f>
        <v>0</v>
      </c>
      <c r="K73" s="488" t="str">
        <f t="shared" ref="K73:K77" si="195">IF(D73="","",IF(OR(COUNTIFS(D73,"*要配慮*")=1,COUNTIFS(D73,"*医療的ケア*")=1),"○","エラー"))</f>
        <v/>
      </c>
      <c r="L73" s="343">
        <f>L72</f>
        <v>9</v>
      </c>
      <c r="M73" s="343" t="e">
        <f>VLOOKUP($D73&amp;M$5,'②-2勤務時間数入力'!$D$7:$Q$106,$L73,FALSE)</f>
        <v>#N/A</v>
      </c>
      <c r="N73" s="343" t="str">
        <f t="shared" si="187"/>
        <v>×</v>
      </c>
      <c r="O73" s="343" t="e">
        <f>VLOOKUP($D73&amp;O$5,'②-2勤務時間数入力'!$D$7:$Q$106,$L73,FALSE)</f>
        <v>#N/A</v>
      </c>
      <c r="P73" s="343" t="str">
        <f t="shared" si="188"/>
        <v>×</v>
      </c>
      <c r="Q73" s="343" t="e">
        <f>VLOOKUP($D73&amp;Q$5,'②-2勤務時間数入力'!$D$7:$Q$106,$L73,FALSE)</f>
        <v>#N/A</v>
      </c>
      <c r="R73" s="343" t="str">
        <f t="shared" si="189"/>
        <v>×</v>
      </c>
      <c r="S73" s="343" t="e">
        <f>VLOOKUP($D73&amp;S$5,'②-2勤務時間数入力'!$D$7:$Q$106,$L73,FALSE)</f>
        <v>#N/A</v>
      </c>
      <c r="T73" s="343" t="str">
        <f t="shared" si="190"/>
        <v>×</v>
      </c>
      <c r="X73" s="455" t="str">
        <f t="shared" si="183"/>
        <v>〇</v>
      </c>
    </row>
    <row r="74" spans="1:24" ht="13.5" customHeight="1">
      <c r="A74" s="861"/>
      <c r="B74" s="864"/>
      <c r="C74" s="863" t="e">
        <f t="shared" ref="C74" si="196">IF(B72&gt;1,C72,"-")</f>
        <v>#N/A</v>
      </c>
      <c r="D74" s="546" t="str">
        <f>IF(D63="","",D63)</f>
        <v/>
      </c>
      <c r="E74" s="486" t="str">
        <f t="shared" ref="E74:E75" si="197">IF(D74="","",IF(N74="○",M$5,IF(P74="○",O$5,IF(R74="○",Q$5,IF(T74="○",S$5,"ERROR")))))</f>
        <v/>
      </c>
      <c r="F74" s="487" t="str">
        <f t="shared" ref="F74:F75" si="198">IF(D74="","",IF(N74="○",M74,IF(P74="○",O74,IF(R74="○",Q74,IF(T74="○",S74,"ERROR")))))</f>
        <v/>
      </c>
      <c r="G74" s="555" t="e">
        <f>IF($B72="-","",IF($E74="正規職員","-",IF(AND(EXACT(B61,B72),EXACT(D63,D74),EXACT(E63,E74)),G63,"賃金単価を記載")))</f>
        <v>#N/A</v>
      </c>
      <c r="H74" s="487" t="str">
        <f t="shared" ref="H74" si="199">IF($D74="","",IF($E74="正規職員","-",F74*G74))</f>
        <v/>
      </c>
      <c r="I74" s="487">
        <f t="shared" si="19"/>
        <v>288666.66666667</v>
      </c>
      <c r="J74" s="487">
        <f t="shared" ref="J74" si="200">IFERROR(IF($C74="-","",IF(D74="",0,IF(E74="正規職員",I74,MIN(H74:I74)))),0)</f>
        <v>0</v>
      </c>
      <c r="K74" s="488" t="str">
        <f t="shared" ref="K74:K75" si="201">IF(D74="","",IF(OR(COUNTIFS(D74,"*要配慮*")=1,COUNTIFS(D74,"*医療的ケア*")=1),"○","エラー"))</f>
        <v/>
      </c>
      <c r="L74" s="343">
        <f t="shared" ref="L74:L81" si="202">L73</f>
        <v>9</v>
      </c>
      <c r="M74" s="343" t="e">
        <f>VLOOKUP($D74&amp;M$5,'②-2勤務時間数入力'!$D$7:$Q$106,$L74,FALSE)</f>
        <v>#N/A</v>
      </c>
      <c r="N74" s="343" t="str">
        <f t="shared" si="187"/>
        <v>×</v>
      </c>
      <c r="O74" s="343" t="e">
        <f>VLOOKUP($D74&amp;O$5,'②-2勤務時間数入力'!$D$7:$Q$106,$L74,FALSE)</f>
        <v>#N/A</v>
      </c>
      <c r="P74" s="343" t="str">
        <f t="shared" si="188"/>
        <v>×</v>
      </c>
      <c r="Q74" s="343" t="e">
        <f>VLOOKUP($D74&amp;Q$5,'②-2勤務時間数入力'!$D$7:$Q$106,$L74,FALSE)</f>
        <v>#N/A</v>
      </c>
      <c r="R74" s="343" t="str">
        <f t="shared" si="189"/>
        <v>×</v>
      </c>
      <c r="S74" s="343" t="e">
        <f>VLOOKUP($D74&amp;S$5,'②-2勤務時間数入力'!$D$7:$Q$106,$L74,FALSE)</f>
        <v>#N/A</v>
      </c>
      <c r="T74" s="343" t="str">
        <f t="shared" si="190"/>
        <v>×</v>
      </c>
      <c r="W74" s="455" t="str">
        <f>IFERROR(IF(AND(C74="保育士等",D74="",D75=""),"×","〇"),"〇")</f>
        <v>〇</v>
      </c>
      <c r="X74" s="455" t="str">
        <f t="shared" si="183"/>
        <v>〇</v>
      </c>
    </row>
    <row r="75" spans="1:24" ht="13.5" customHeight="1">
      <c r="A75" s="861"/>
      <c r="B75" s="864"/>
      <c r="C75" s="865"/>
      <c r="D75" s="546" t="str">
        <f t="shared" ref="D75:D81" si="203">IF(D64="","",D64)</f>
        <v/>
      </c>
      <c r="E75" s="486" t="str">
        <f t="shared" si="197"/>
        <v/>
      </c>
      <c r="F75" s="487" t="str">
        <f t="shared" si="198"/>
        <v/>
      </c>
      <c r="G75" s="555" t="e">
        <f>IF($B72="-","",IF($E75="正規職員","-",IF(AND(EXACT(B61,B72),EXACT(D64,D75),EXACT(E64,E75)),G64,"賃金単価を記載")))</f>
        <v>#N/A</v>
      </c>
      <c r="H75" s="487" t="str">
        <f>IF($D75="","",IF($E75="正規職員","-",F75*G75))</f>
        <v/>
      </c>
      <c r="I75" s="487">
        <f t="shared" si="19"/>
        <v>288666.66666667</v>
      </c>
      <c r="J75" s="487">
        <f t="shared" ref="J75" si="204">IFERROR(IF($C74="-","",IF(D75="","",IF(E75="正規職員",I75-J74,MIN(MIN(H75:I75),I74-J74)))),0)</f>
        <v>0</v>
      </c>
      <c r="K75" s="488" t="str">
        <f t="shared" si="201"/>
        <v/>
      </c>
      <c r="L75" s="343">
        <f t="shared" si="202"/>
        <v>9</v>
      </c>
      <c r="M75" s="343" t="e">
        <f>VLOOKUP($D75&amp;M$5,'②-2勤務時間数入力'!$D$7:$Q$106,$L75,FALSE)</f>
        <v>#N/A</v>
      </c>
      <c r="N75" s="343" t="str">
        <f t="shared" si="187"/>
        <v>×</v>
      </c>
      <c r="O75" s="343" t="e">
        <f>VLOOKUP($D75&amp;O$5,'②-2勤務時間数入力'!$D$7:$Q$106,$L75,FALSE)</f>
        <v>#N/A</v>
      </c>
      <c r="P75" s="343" t="str">
        <f t="shared" si="188"/>
        <v>×</v>
      </c>
      <c r="Q75" s="343" t="e">
        <f>VLOOKUP($D75&amp;Q$5,'②-2勤務時間数入力'!$D$7:$Q$106,$L75,FALSE)</f>
        <v>#N/A</v>
      </c>
      <c r="R75" s="343" t="str">
        <f t="shared" si="189"/>
        <v>×</v>
      </c>
      <c r="S75" s="343" t="e">
        <f>VLOOKUP($D75&amp;S$5,'②-2勤務時間数入力'!$D$7:$Q$106,$L75,FALSE)</f>
        <v>#N/A</v>
      </c>
      <c r="T75" s="343" t="str">
        <f t="shared" si="190"/>
        <v>×</v>
      </c>
      <c r="X75" s="455" t="str">
        <f t="shared" si="183"/>
        <v>〇</v>
      </c>
    </row>
    <row r="76" spans="1:24" ht="13.5" customHeight="1">
      <c r="A76" s="861"/>
      <c r="B76" s="864"/>
      <c r="C76" s="863" t="e">
        <f t="shared" ref="C76" si="205">IF(B72&gt;2,C72,"-")</f>
        <v>#N/A</v>
      </c>
      <c r="D76" s="546" t="str">
        <f t="shared" si="203"/>
        <v/>
      </c>
      <c r="E76" s="486" t="str">
        <f t="shared" si="191"/>
        <v/>
      </c>
      <c r="F76" s="487" t="str">
        <f t="shared" si="192"/>
        <v/>
      </c>
      <c r="G76" s="555" t="e">
        <f>IF($B72="-","",IF($E76="正規職員","-",IF(AND(EXACT(B61,B72),EXACT(D65,D76),EXACT(E65,E76)),G65,"賃金単価を記載")))</f>
        <v>#N/A</v>
      </c>
      <c r="H76" s="487" t="str">
        <f t="shared" si="193"/>
        <v/>
      </c>
      <c r="I76" s="487">
        <f t="shared" si="19"/>
        <v>288666.66666667</v>
      </c>
      <c r="J76" s="487">
        <f t="shared" ref="J76" si="206">IFERROR(IF($C76="-","",IF(D76="",0,IF(E76="正規職員",I76,MIN(H76:I76)))),0)</f>
        <v>0</v>
      </c>
      <c r="K76" s="488" t="str">
        <f t="shared" si="195"/>
        <v/>
      </c>
      <c r="L76" s="343">
        <f t="shared" si="202"/>
        <v>9</v>
      </c>
      <c r="M76" s="343" t="e">
        <f>VLOOKUP($D76&amp;M$5,'②-2勤務時間数入力'!$D$7:$Q$106,$L76,FALSE)</f>
        <v>#N/A</v>
      </c>
      <c r="N76" s="343" t="str">
        <f t="shared" si="187"/>
        <v>×</v>
      </c>
      <c r="O76" s="343" t="e">
        <f>VLOOKUP($D76&amp;O$5,'②-2勤務時間数入力'!$D$7:$Q$106,$L76,FALSE)</f>
        <v>#N/A</v>
      </c>
      <c r="P76" s="343" t="str">
        <f t="shared" si="188"/>
        <v>×</v>
      </c>
      <c r="Q76" s="343" t="e">
        <f>VLOOKUP($D76&amp;Q$5,'②-2勤務時間数入力'!$D$7:$Q$106,$L76,FALSE)</f>
        <v>#N/A</v>
      </c>
      <c r="R76" s="343" t="str">
        <f t="shared" si="189"/>
        <v>×</v>
      </c>
      <c r="S76" s="343" t="e">
        <f>VLOOKUP($D76&amp;S$5,'②-2勤務時間数入力'!$D$7:$Q$106,$L76,FALSE)</f>
        <v>#N/A</v>
      </c>
      <c r="T76" s="343" t="str">
        <f t="shared" si="190"/>
        <v>×</v>
      </c>
      <c r="W76" s="455" t="str">
        <f>IFERROR(IF(AND(C76="保育士等",D76="",D77=""),"×","〇"),"〇")</f>
        <v>〇</v>
      </c>
      <c r="X76" s="455" t="str">
        <f t="shared" si="183"/>
        <v>〇</v>
      </c>
    </row>
    <row r="77" spans="1:24" ht="13.5" customHeight="1">
      <c r="A77" s="861"/>
      <c r="B77" s="864"/>
      <c r="C77" s="865"/>
      <c r="D77" s="546" t="str">
        <f t="shared" si="203"/>
        <v/>
      </c>
      <c r="E77" s="486" t="str">
        <f t="shared" si="191"/>
        <v/>
      </c>
      <c r="F77" s="487" t="str">
        <f t="shared" si="192"/>
        <v/>
      </c>
      <c r="G77" s="555" t="e">
        <f>IF($B72="-","",IF($E77="正規職員","-",IF(AND(EXACT(B61,B72),EXACT(D66,D77),EXACT(E66,E77)),G66,"賃金単価を記載")))</f>
        <v>#N/A</v>
      </c>
      <c r="H77" s="487" t="str">
        <f>IF($D77="","",IF($E77="正規職員","-",F77*G77))</f>
        <v/>
      </c>
      <c r="I77" s="487">
        <f t="shared" si="19"/>
        <v>288666.66666667</v>
      </c>
      <c r="J77" s="487">
        <f t="shared" ref="J77" si="207">IFERROR(IF($C76="-","",IF(D77="","",IF(E77="正規職員",I77-J76,MIN(MIN(H77:I77),I76-J76)))),0)</f>
        <v>0</v>
      </c>
      <c r="K77" s="488" t="str">
        <f t="shared" si="195"/>
        <v/>
      </c>
      <c r="L77" s="343">
        <f t="shared" si="202"/>
        <v>9</v>
      </c>
      <c r="M77" s="343" t="e">
        <f>VLOOKUP($D77&amp;M$5,'②-2勤務時間数入力'!$D$7:$Q$106,$L77,FALSE)</f>
        <v>#N/A</v>
      </c>
      <c r="N77" s="343" t="str">
        <f t="shared" si="187"/>
        <v>×</v>
      </c>
      <c r="O77" s="343" t="e">
        <f>VLOOKUP($D77&amp;O$5,'②-2勤務時間数入力'!$D$7:$Q$106,$L77,FALSE)</f>
        <v>#N/A</v>
      </c>
      <c r="P77" s="343" t="str">
        <f t="shared" si="188"/>
        <v>×</v>
      </c>
      <c r="Q77" s="343" t="e">
        <f>VLOOKUP($D77&amp;Q$5,'②-2勤務時間数入力'!$D$7:$Q$106,$L77,FALSE)</f>
        <v>#N/A</v>
      </c>
      <c r="R77" s="343" t="str">
        <f t="shared" si="189"/>
        <v>×</v>
      </c>
      <c r="S77" s="343" t="e">
        <f>VLOOKUP($D77&amp;S$5,'②-2勤務時間数入力'!$D$7:$Q$106,$L77,FALSE)</f>
        <v>#N/A</v>
      </c>
      <c r="T77" s="343" t="str">
        <f t="shared" si="190"/>
        <v>×</v>
      </c>
      <c r="X77" s="455" t="str">
        <f t="shared" si="183"/>
        <v>〇</v>
      </c>
    </row>
    <row r="78" spans="1:24" ht="13.5" customHeight="1">
      <c r="A78" s="861"/>
      <c r="B78" s="864"/>
      <c r="C78" s="863" t="e">
        <f t="shared" ref="C78" si="208">IF(B72&gt;3,C72,"-")</f>
        <v>#N/A</v>
      </c>
      <c r="D78" s="546" t="str">
        <f t="shared" si="203"/>
        <v/>
      </c>
      <c r="E78" s="486" t="str">
        <f t="shared" ref="E78:E81" si="209">IF(D78="","",IF(N78="○",M$5,IF(P78="○",O$5,IF(R78="○",Q$5,IF(T78="○",S$5,"ERROR")))))</f>
        <v/>
      </c>
      <c r="F78" s="487" t="str">
        <f t="shared" ref="F78:F81" si="210">IF(D78="","",IF(N78="○",M78,IF(P78="○",O78,IF(R78="○",Q78,IF(T78="○",S78,"ERROR")))))</f>
        <v/>
      </c>
      <c r="G78" s="555" t="e">
        <f>IF($B72="-","",IF($E78="正規職員","-",IF(AND(EXACT(B61,B72),EXACT(D67,D78),EXACT(E67,E78)),G67,"賃金単価を記載")))</f>
        <v>#N/A</v>
      </c>
      <c r="H78" s="487" t="str">
        <f t="shared" si="184"/>
        <v/>
      </c>
      <c r="I78" s="487">
        <f t="shared" si="19"/>
        <v>288666.66666667</v>
      </c>
      <c r="J78" s="487">
        <f t="shared" ref="J78" si="211">IFERROR(IF($C78="-","",IF(D78="",0,IF(E78="正規職員",I78,MIN(H78:I78)))),0)</f>
        <v>0</v>
      </c>
      <c r="K78" s="488" t="str">
        <f t="shared" ref="K78:K81" si="212">IF(D78="","",IF(OR(COUNTIFS(D78,"*要配慮*")=1,COUNTIFS(D78,"*医療的ケア*")=1),"○","エラー"))</f>
        <v/>
      </c>
      <c r="L78" s="343">
        <f t="shared" si="202"/>
        <v>9</v>
      </c>
      <c r="M78" s="343" t="e">
        <f>VLOOKUP($D78&amp;M$5,'②-2勤務時間数入力'!$D$7:$Q$106,$L78,FALSE)</f>
        <v>#N/A</v>
      </c>
      <c r="N78" s="343" t="str">
        <f t="shared" si="187"/>
        <v>×</v>
      </c>
      <c r="O78" s="343" t="e">
        <f>VLOOKUP($D78&amp;O$5,'②-2勤務時間数入力'!$D$7:$Q$106,$L78,FALSE)</f>
        <v>#N/A</v>
      </c>
      <c r="P78" s="343" t="str">
        <f t="shared" si="188"/>
        <v>×</v>
      </c>
      <c r="Q78" s="343" t="e">
        <f>VLOOKUP($D78&amp;Q$5,'②-2勤務時間数入力'!$D$7:$Q$106,$L78,FALSE)</f>
        <v>#N/A</v>
      </c>
      <c r="R78" s="343" t="str">
        <f t="shared" si="189"/>
        <v>×</v>
      </c>
      <c r="S78" s="343" t="e">
        <f>VLOOKUP($D78&amp;S$5,'②-2勤務時間数入力'!$D$7:$Q$106,$L78,FALSE)</f>
        <v>#N/A</v>
      </c>
      <c r="T78" s="343" t="str">
        <f t="shared" si="190"/>
        <v>×</v>
      </c>
      <c r="W78" s="455" t="str">
        <f>IFERROR(IF(AND(C78="保育士等",D78="",D79=""),"×","〇"),"〇")</f>
        <v>〇</v>
      </c>
      <c r="X78" s="455" t="str">
        <f t="shared" si="183"/>
        <v>〇</v>
      </c>
    </row>
    <row r="79" spans="1:24" ht="13.5" customHeight="1">
      <c r="A79" s="861"/>
      <c r="B79" s="864"/>
      <c r="C79" s="865"/>
      <c r="D79" s="546" t="str">
        <f>IF(D68="","",D68)</f>
        <v/>
      </c>
      <c r="E79" s="486" t="str">
        <f t="shared" si="209"/>
        <v/>
      </c>
      <c r="F79" s="487" t="str">
        <f t="shared" si="210"/>
        <v/>
      </c>
      <c r="G79" s="555" t="e">
        <f>IF($B72="-","",IF($E79="正規職員","-",IF(AND(EXACT(B61,B72),EXACT(D68,D79),EXACT(E68,E79)),G68,"賃金単価を記載")))</f>
        <v>#N/A</v>
      </c>
      <c r="H79" s="487" t="str">
        <f t="shared" si="184"/>
        <v/>
      </c>
      <c r="I79" s="487">
        <f t="shared" si="19"/>
        <v>288666.66666667</v>
      </c>
      <c r="J79" s="487">
        <f t="shared" ref="J79" si="213">IFERROR(IF($C78="-","",IF(D79="","",IF(E79="正規職員",I79-J78,MIN(MIN(H79:I79),I78-J78)))),0)</f>
        <v>0</v>
      </c>
      <c r="K79" s="488" t="str">
        <f t="shared" si="212"/>
        <v/>
      </c>
      <c r="L79" s="343">
        <f t="shared" si="202"/>
        <v>9</v>
      </c>
      <c r="M79" s="343" t="e">
        <f>VLOOKUP($D79&amp;M$5,'②-2勤務時間数入力'!$D$7:$Q$106,$L79,FALSE)</f>
        <v>#N/A</v>
      </c>
      <c r="N79" s="343" t="str">
        <f t="shared" si="187"/>
        <v>×</v>
      </c>
      <c r="O79" s="343" t="e">
        <f>VLOOKUP($D79&amp;O$5,'②-2勤務時間数入力'!$D$7:$Q$106,$L79,FALSE)</f>
        <v>#N/A</v>
      </c>
      <c r="P79" s="343" t="str">
        <f t="shared" si="188"/>
        <v>×</v>
      </c>
      <c r="Q79" s="343" t="e">
        <f>VLOOKUP($D79&amp;Q$5,'②-2勤務時間数入力'!$D$7:$Q$106,$L79,FALSE)</f>
        <v>#N/A</v>
      </c>
      <c r="R79" s="343" t="str">
        <f t="shared" si="189"/>
        <v>×</v>
      </c>
      <c r="S79" s="343" t="e">
        <f>VLOOKUP($D79&amp;S$5,'②-2勤務時間数入力'!$D$7:$Q$106,$L79,FALSE)</f>
        <v>#N/A</v>
      </c>
      <c r="T79" s="343" t="str">
        <f t="shared" si="190"/>
        <v>×</v>
      </c>
      <c r="X79" s="455" t="str">
        <f t="shared" si="183"/>
        <v>〇</v>
      </c>
    </row>
    <row r="80" spans="1:24" ht="13.5" customHeight="1">
      <c r="A80" s="861"/>
      <c r="B80" s="864"/>
      <c r="C80" s="863" t="e">
        <f t="shared" ref="C80" si="214">IF(B72&gt;4,C72,"-")</f>
        <v>#N/A</v>
      </c>
      <c r="D80" s="546" t="str">
        <f t="shared" si="203"/>
        <v/>
      </c>
      <c r="E80" s="486" t="str">
        <f t="shared" si="209"/>
        <v/>
      </c>
      <c r="F80" s="487" t="str">
        <f t="shared" si="210"/>
        <v/>
      </c>
      <c r="G80" s="555" t="e">
        <f>IF($B72="-","",IF($E80="正規職員","-",IF(AND(EXACT(B61,B72),EXACT(D69,D80),EXACT(E69,E80)),G69,"賃金単価を記載")))</f>
        <v>#N/A</v>
      </c>
      <c r="H80" s="487" t="str">
        <f>IF($D80="","",IF($E80="正規職員","-",F80*G80))</f>
        <v/>
      </c>
      <c r="I80" s="487">
        <f t="shared" si="19"/>
        <v>288666.66666667</v>
      </c>
      <c r="J80" s="487">
        <f t="shared" ref="J80" si="215">IFERROR(IF($C80="-","",IF(D80="",0,IF(E80="正規職員",I80,MIN(H80:I80)))),0)</f>
        <v>0</v>
      </c>
      <c r="K80" s="488" t="str">
        <f t="shared" si="212"/>
        <v/>
      </c>
      <c r="L80" s="343">
        <f t="shared" si="202"/>
        <v>9</v>
      </c>
      <c r="M80" s="343" t="e">
        <f>VLOOKUP($D80&amp;M$5,'②-2勤務時間数入力'!$D$7:$Q$106,$L80,FALSE)</f>
        <v>#N/A</v>
      </c>
      <c r="N80" s="343" t="str">
        <f t="shared" si="187"/>
        <v>×</v>
      </c>
      <c r="O80" s="343" t="e">
        <f>VLOOKUP($D80&amp;O$5,'②-2勤務時間数入力'!$D$7:$Q$106,$L80,FALSE)</f>
        <v>#N/A</v>
      </c>
      <c r="P80" s="343" t="str">
        <f t="shared" si="188"/>
        <v>×</v>
      </c>
      <c r="Q80" s="343" t="e">
        <f>VLOOKUP($D80&amp;Q$5,'②-2勤務時間数入力'!$D$7:$Q$106,$L80,FALSE)</f>
        <v>#N/A</v>
      </c>
      <c r="R80" s="343" t="str">
        <f t="shared" si="189"/>
        <v>×</v>
      </c>
      <c r="S80" s="343" t="e">
        <f>VLOOKUP($D80&amp;S$5,'②-2勤務時間数入力'!$D$7:$Q$106,$L80,FALSE)</f>
        <v>#N/A</v>
      </c>
      <c r="T80" s="343" t="str">
        <f t="shared" si="190"/>
        <v>×</v>
      </c>
      <c r="W80" s="455" t="str">
        <f>IFERROR(IF(AND(C80="保育士等",D80="",D81=""),"×","〇"),"〇")</f>
        <v>〇</v>
      </c>
      <c r="X80" s="455" t="str">
        <f t="shared" si="183"/>
        <v>〇</v>
      </c>
    </row>
    <row r="81" spans="1:24" ht="13.5" customHeight="1">
      <c r="A81" s="880"/>
      <c r="B81" s="864"/>
      <c r="C81" s="865"/>
      <c r="D81" s="546" t="str">
        <f t="shared" si="203"/>
        <v/>
      </c>
      <c r="E81" s="486" t="str">
        <f t="shared" si="209"/>
        <v/>
      </c>
      <c r="F81" s="487" t="str">
        <f t="shared" si="210"/>
        <v/>
      </c>
      <c r="G81" s="555" t="e">
        <f>IF($B72="-","",IF($E81="正規職員","-",IF(AND(EXACT(B61,B72),EXACT(D70,D81),EXACT(E70,E81)),G70,"賃金単価を記載")))</f>
        <v>#N/A</v>
      </c>
      <c r="H81" s="487" t="str">
        <f>IF($D81="","",IF($E81="正規職員","-",F81*G81))</f>
        <v/>
      </c>
      <c r="I81" s="487">
        <f t="shared" si="19"/>
        <v>288666.66666667</v>
      </c>
      <c r="J81" s="487">
        <f t="shared" ref="J81" si="216">IFERROR(IF($C80="-","",IF(D81="","",IF(E81="正規職員",I81-J80,MIN(MIN(H81:I81),I80-J80)))),0)</f>
        <v>0</v>
      </c>
      <c r="K81" s="488" t="str">
        <f t="shared" si="212"/>
        <v/>
      </c>
      <c r="L81" s="343">
        <f t="shared" si="202"/>
        <v>9</v>
      </c>
      <c r="M81" s="343" t="e">
        <f>VLOOKUP($D81&amp;M$5,'②-2勤務時間数入力'!$D$7:$Q$106,$L81,FALSE)</f>
        <v>#N/A</v>
      </c>
      <c r="N81" s="343" t="str">
        <f t="shared" si="187"/>
        <v>×</v>
      </c>
      <c r="O81" s="343" t="e">
        <f>VLOOKUP($D81&amp;O$5,'②-2勤務時間数入力'!$D$7:$Q$106,$L81,FALSE)</f>
        <v>#N/A</v>
      </c>
      <c r="P81" s="343" t="str">
        <f t="shared" si="188"/>
        <v>×</v>
      </c>
      <c r="Q81" s="343" t="e">
        <f>VLOOKUP($D81&amp;Q$5,'②-2勤務時間数入力'!$D$7:$Q$106,$L81,FALSE)</f>
        <v>#N/A</v>
      </c>
      <c r="R81" s="343" t="str">
        <f t="shared" si="189"/>
        <v>×</v>
      </c>
      <c r="S81" s="343" t="e">
        <f>VLOOKUP($D81&amp;S$5,'②-2勤務時間数入力'!$D$7:$Q$106,$L81,FALSE)</f>
        <v>#N/A</v>
      </c>
      <c r="T81" s="343" t="str">
        <f t="shared" si="190"/>
        <v>×</v>
      </c>
      <c r="X81" s="455" t="str">
        <f t="shared" si="183"/>
        <v>〇</v>
      </c>
    </row>
    <row r="82" spans="1:24" ht="13.5" customHeight="1">
      <c r="A82" s="845"/>
      <c r="B82" s="865"/>
      <c r="C82" s="501"/>
      <c r="D82" s="342" t="s">
        <v>261</v>
      </c>
      <c r="E82" s="486" t="s">
        <v>255</v>
      </c>
      <c r="F82" s="497"/>
      <c r="G82" s="486" t="s">
        <v>255</v>
      </c>
      <c r="H82" s="486" t="s">
        <v>255</v>
      </c>
      <c r="I82" s="486" t="s">
        <v>255</v>
      </c>
      <c r="J82" s="487">
        <f t="shared" ref="J82" si="217">IFERROR(IF(J72="","",MIN(SUM(J72:J81),(B72*I72))),0)</f>
        <v>0</v>
      </c>
      <c r="K82" s="488"/>
      <c r="L82" s="343"/>
      <c r="M82" s="343"/>
      <c r="N82" s="343"/>
      <c r="O82" s="343"/>
      <c r="P82" s="343"/>
      <c r="Q82" s="343"/>
      <c r="R82" s="343"/>
      <c r="S82" s="343"/>
      <c r="T82" s="343"/>
      <c r="X82" s="455" t="str">
        <f t="shared" si="183"/>
        <v>〇</v>
      </c>
    </row>
    <row r="83" spans="1:24" ht="13.5" customHeight="1">
      <c r="A83" s="844">
        <v>11</v>
      </c>
      <c r="B83" s="863" t="e">
        <f>加算判定!M11</f>
        <v>#N/A</v>
      </c>
      <c r="C83" s="863" t="e">
        <f>加算判定!N11</f>
        <v>#N/A</v>
      </c>
      <c r="D83" s="546" t="str">
        <f>IF(D72="","",D72)</f>
        <v/>
      </c>
      <c r="E83" s="486" t="str">
        <f>IF(D83="","",IF(N83="○",M$5,IF(P83="○",O$5,IF(R83="○",Q$5,IF(T83="○",S$5,"ERROR")))))</f>
        <v/>
      </c>
      <c r="F83" s="487" t="str">
        <f>IF(D83="","",IF(N83="○",M83,IF(P83="○",O83,IF(R83="○",Q83,IF(T83="○",S83,"ERROR")))))</f>
        <v/>
      </c>
      <c r="G83" s="555" t="e">
        <f>IF($B83="-","",IF($E83="正規職員","-",IF(AND(EXACT(B72,B83),EXACT(D72,D83),EXACT(E72,E83)),G72,"賃金単価を記載")))</f>
        <v>#N/A</v>
      </c>
      <c r="H83" s="487" t="str">
        <f t="shared" ref="H83:H90" si="218">IF($D83="","",IF($E83="正規職員","-",F83*G83))</f>
        <v/>
      </c>
      <c r="I83" s="487">
        <f t="shared" si="19"/>
        <v>288666.66666667</v>
      </c>
      <c r="J83" s="487">
        <f t="shared" ref="J83" si="219">IFERROR(IF($C83="-","",IF(D83="",0,IF(E83="正規職員",I83,MIN(H83:I83)))),0)</f>
        <v>0</v>
      </c>
      <c r="K83" s="488" t="str">
        <f>IF(D83="","",IF(OR(COUNTIFS(D83,"*要配慮*")=1,COUNTIFS(D83,"*医療的ケア*")=1),"○","エラー"))</f>
        <v/>
      </c>
      <c r="L83" s="343">
        <f t="shared" ref="L83" si="220">L72+1</f>
        <v>10</v>
      </c>
      <c r="M83" s="343" t="e">
        <f>VLOOKUP($D83&amp;M$5,'②-2勤務時間数入力'!$D$7:$Q$106,$L83,FALSE)</f>
        <v>#N/A</v>
      </c>
      <c r="N83" s="343" t="str">
        <f t="shared" ref="N83:N92" si="221">IF(ISERROR(M83),"×",IF(M83="-","×","○"))</f>
        <v>×</v>
      </c>
      <c r="O83" s="343" t="e">
        <f>VLOOKUP($D83&amp;O$5,'②-2勤務時間数入力'!$D$7:$Q$106,$L83,FALSE)</f>
        <v>#N/A</v>
      </c>
      <c r="P83" s="343" t="str">
        <f t="shared" ref="P83:P92" si="222">IF(ISERROR(O83),"×",IF(O83="-","×","○"))</f>
        <v>×</v>
      </c>
      <c r="Q83" s="343" t="e">
        <f>VLOOKUP($D83&amp;Q$5,'②-2勤務時間数入力'!$D$7:$Q$106,$L83,FALSE)</f>
        <v>#N/A</v>
      </c>
      <c r="R83" s="343" t="str">
        <f t="shared" ref="R83:R92" si="223">IF(ISERROR(Q83),"×",IF(Q83="-","×","○"))</f>
        <v>×</v>
      </c>
      <c r="S83" s="343" t="e">
        <f>VLOOKUP($D83&amp;S$5,'②-2勤務時間数入力'!$D$7:$Q$106,$L83,FALSE)</f>
        <v>#N/A</v>
      </c>
      <c r="T83" s="343" t="str">
        <f t="shared" ref="T83:T92" si="224">IF(ISERROR(S83),"×",IF(S83="-","×","○"))</f>
        <v>×</v>
      </c>
      <c r="W83" s="455" t="str">
        <f>IFERROR(IF(AND(C83="保育士等",D83="",D84=""),"×","〇"),"〇")</f>
        <v>〇</v>
      </c>
      <c r="X83" s="455" t="str">
        <f t="shared" si="183"/>
        <v>〇</v>
      </c>
    </row>
    <row r="84" spans="1:24" ht="13.5" customHeight="1">
      <c r="A84" s="861"/>
      <c r="B84" s="864"/>
      <c r="C84" s="865"/>
      <c r="D84" s="546" t="str">
        <f>IF(D73="","",D73)</f>
        <v/>
      </c>
      <c r="E84" s="486" t="str">
        <f t="shared" ref="E84:E88" si="225">IF(D84="","",IF(N84="○",M$5,IF(P84="○",O$5,IF(R84="○",Q$5,IF(T84="○",S$5,"ERROR")))))</f>
        <v/>
      </c>
      <c r="F84" s="487" t="str">
        <f t="shared" ref="F84:F88" si="226">IF(D84="","",IF(N84="○",M84,IF(P84="○",O84,IF(R84="○",Q84,IF(T84="○",S84,"ERROR")))))</f>
        <v/>
      </c>
      <c r="G84" s="555" t="e">
        <f>IF($B83="-","",IF($E84="正規職員","-",IF(AND(EXACT(B72,B83),EXACT(D75,D84),EXACT(E75,E84)),G75,"賃金単価を記載")))</f>
        <v>#N/A</v>
      </c>
      <c r="H84" s="487" t="str">
        <f t="shared" ref="H84:H85" si="227">IF($D84="","",IF($E84="正規職員","-",F84*G84))</f>
        <v/>
      </c>
      <c r="I84" s="487">
        <f t="shared" si="19"/>
        <v>288666.66666667</v>
      </c>
      <c r="J84" s="487">
        <f t="shared" ref="J84" si="228">IFERROR(IF($C83="-","",IF(D84="","",IF(E84="正規職員",I84-J83,MIN(MIN(H84:I84),I83-J83)))),0)</f>
        <v>0</v>
      </c>
      <c r="K84" s="488" t="str">
        <f t="shared" ref="K84:K88" si="229">IF(D84="","",IF(OR(COUNTIFS(D84,"*要配慮*")=1,COUNTIFS(D84,"*医療的ケア*")=1),"○","エラー"))</f>
        <v/>
      </c>
      <c r="L84" s="343">
        <f>L83</f>
        <v>10</v>
      </c>
      <c r="M84" s="343" t="e">
        <f>VLOOKUP($D84&amp;M$5,'②-2勤務時間数入力'!$D$7:$Q$106,$L84,FALSE)</f>
        <v>#N/A</v>
      </c>
      <c r="N84" s="343" t="str">
        <f t="shared" si="221"/>
        <v>×</v>
      </c>
      <c r="O84" s="343" t="e">
        <f>VLOOKUP($D84&amp;O$5,'②-2勤務時間数入力'!$D$7:$Q$106,$L84,FALSE)</f>
        <v>#N/A</v>
      </c>
      <c r="P84" s="343" t="str">
        <f t="shared" si="222"/>
        <v>×</v>
      </c>
      <c r="Q84" s="343" t="e">
        <f>VLOOKUP($D84&amp;Q$5,'②-2勤務時間数入力'!$D$7:$Q$106,$L84,FALSE)</f>
        <v>#N/A</v>
      </c>
      <c r="R84" s="343" t="str">
        <f t="shared" si="223"/>
        <v>×</v>
      </c>
      <c r="S84" s="343" t="e">
        <f>VLOOKUP($D84&amp;S$5,'②-2勤務時間数入力'!$D$7:$Q$106,$L84,FALSE)</f>
        <v>#N/A</v>
      </c>
      <c r="T84" s="343" t="str">
        <f t="shared" si="224"/>
        <v>×</v>
      </c>
      <c r="X84" s="455" t="str">
        <f t="shared" si="183"/>
        <v>〇</v>
      </c>
    </row>
    <row r="85" spans="1:24" ht="13.5" customHeight="1">
      <c r="A85" s="861"/>
      <c r="B85" s="864"/>
      <c r="C85" s="863" t="e">
        <f t="shared" ref="C85" si="230">IF(B83&gt;1,C83,"-")</f>
        <v>#N/A</v>
      </c>
      <c r="D85" s="546" t="str">
        <f>IF(D74="","",D74)</f>
        <v/>
      </c>
      <c r="E85" s="486" t="str">
        <f t="shared" si="225"/>
        <v/>
      </c>
      <c r="F85" s="487" t="str">
        <f t="shared" si="226"/>
        <v/>
      </c>
      <c r="G85" s="555" t="e">
        <f>IF($B83="-","",IF($E85="正規職員","-",IF(AND(EXACT(B72,B83),EXACT(D76,D85),EXACT(E76,E85)),G76,"賃金単価を記載")))</f>
        <v>#N/A</v>
      </c>
      <c r="H85" s="487" t="str">
        <f t="shared" si="227"/>
        <v/>
      </c>
      <c r="I85" s="487">
        <f t="shared" si="19"/>
        <v>288666.66666667</v>
      </c>
      <c r="J85" s="487">
        <f t="shared" ref="J85" si="231">IFERROR(IF($C85="-","",IF(D85="",0,IF(E85="正規職員",I85,MIN(H85:I85)))),0)</f>
        <v>0</v>
      </c>
      <c r="K85" s="488" t="str">
        <f t="shared" si="229"/>
        <v/>
      </c>
      <c r="L85" s="343">
        <f t="shared" ref="L85:L92" si="232">L84</f>
        <v>10</v>
      </c>
      <c r="M85" s="343" t="e">
        <f>VLOOKUP($D85&amp;M$5,'②-2勤務時間数入力'!$D$7:$Q$106,$L85,FALSE)</f>
        <v>#N/A</v>
      </c>
      <c r="N85" s="343" t="str">
        <f t="shared" si="221"/>
        <v>×</v>
      </c>
      <c r="O85" s="343" t="e">
        <f>VLOOKUP($D85&amp;O$5,'②-2勤務時間数入力'!$D$7:$Q$106,$L85,FALSE)</f>
        <v>#N/A</v>
      </c>
      <c r="P85" s="343" t="str">
        <f t="shared" si="222"/>
        <v>×</v>
      </c>
      <c r="Q85" s="343" t="e">
        <f>VLOOKUP($D85&amp;Q$5,'②-2勤務時間数入力'!$D$7:$Q$106,$L85,FALSE)</f>
        <v>#N/A</v>
      </c>
      <c r="R85" s="343" t="str">
        <f t="shared" si="223"/>
        <v>×</v>
      </c>
      <c r="S85" s="343" t="e">
        <f>VLOOKUP($D85&amp;S$5,'②-2勤務時間数入力'!$D$7:$Q$106,$L85,FALSE)</f>
        <v>#N/A</v>
      </c>
      <c r="T85" s="343" t="str">
        <f t="shared" si="224"/>
        <v>×</v>
      </c>
      <c r="W85" s="455" t="str">
        <f>IFERROR(IF(AND(C85="保育士等",D85="",D86=""),"×","〇"),"〇")</f>
        <v>〇</v>
      </c>
      <c r="X85" s="455" t="str">
        <f t="shared" si="183"/>
        <v>〇</v>
      </c>
    </row>
    <row r="86" spans="1:24" ht="13.5" customHeight="1">
      <c r="A86" s="861"/>
      <c r="B86" s="864"/>
      <c r="C86" s="865"/>
      <c r="D86" s="546" t="str">
        <f t="shared" ref="D86:D92" si="233">IF(D75="","",D75)</f>
        <v/>
      </c>
      <c r="E86" s="486" t="str">
        <f t="shared" ref="E86:E87" si="234">IF(D86="","",IF(N86="○",M$5,IF(P86="○",O$5,IF(R86="○",Q$5,IF(T86="○",S$5,"ERROR")))))</f>
        <v/>
      </c>
      <c r="F86" s="487" t="str">
        <f t="shared" ref="F86:F87" si="235">IF(D86="","",IF(N86="○",M86,IF(P86="○",O86,IF(R86="○",Q86,IF(T86="○",S86,"ERROR")))))</f>
        <v/>
      </c>
      <c r="G86" s="555" t="e">
        <f>IF($B83="-","",IF($E86="正規職員","-",IF(AND(EXACT(B72,B83),EXACT(D75,D86),EXACT(E75,E86)),G75,"賃金単価を記載")))</f>
        <v>#N/A</v>
      </c>
      <c r="H86" s="487" t="str">
        <f>IF($D86="","",IF($E86="正規職員","-",F86*G86))</f>
        <v/>
      </c>
      <c r="I86" s="487">
        <f t="shared" si="19"/>
        <v>288666.66666667</v>
      </c>
      <c r="J86" s="487">
        <f t="shared" ref="J86" si="236">IFERROR(IF($C85="-","",IF(D86="","",IF(E86="正規職員",I86-J85,MIN(MIN(H86:I86),I85-J85)))),0)</f>
        <v>0</v>
      </c>
      <c r="K86" s="488" t="str">
        <f t="shared" ref="K86:K87" si="237">IF(D86="","",IF(OR(COUNTIFS(D86,"*要配慮*")=1,COUNTIFS(D86,"*医療的ケア*")=1),"○","エラー"))</f>
        <v/>
      </c>
      <c r="L86" s="343">
        <f t="shared" si="232"/>
        <v>10</v>
      </c>
      <c r="M86" s="343" t="e">
        <f>VLOOKUP($D86&amp;M$5,'②-2勤務時間数入力'!$D$7:$Q$106,$L86,FALSE)</f>
        <v>#N/A</v>
      </c>
      <c r="N86" s="343" t="str">
        <f t="shared" si="221"/>
        <v>×</v>
      </c>
      <c r="O86" s="343" t="e">
        <f>VLOOKUP($D86&amp;O$5,'②-2勤務時間数入力'!$D$7:$Q$106,$L86,FALSE)</f>
        <v>#N/A</v>
      </c>
      <c r="P86" s="343" t="str">
        <f t="shared" si="222"/>
        <v>×</v>
      </c>
      <c r="Q86" s="343" t="e">
        <f>VLOOKUP($D86&amp;Q$5,'②-2勤務時間数入力'!$D$7:$Q$106,$L86,FALSE)</f>
        <v>#N/A</v>
      </c>
      <c r="R86" s="343" t="str">
        <f t="shared" si="223"/>
        <v>×</v>
      </c>
      <c r="S86" s="343" t="e">
        <f>VLOOKUP($D86&amp;S$5,'②-2勤務時間数入力'!$D$7:$Q$106,$L86,FALSE)</f>
        <v>#N/A</v>
      </c>
      <c r="T86" s="343" t="str">
        <f t="shared" si="224"/>
        <v>×</v>
      </c>
      <c r="X86" s="455" t="str">
        <f t="shared" si="183"/>
        <v>〇</v>
      </c>
    </row>
    <row r="87" spans="1:24" ht="13.5" customHeight="1">
      <c r="A87" s="861"/>
      <c r="B87" s="864"/>
      <c r="C87" s="863" t="e">
        <f t="shared" ref="C87" si="238">IF(B83&gt;2,C83,"-")</f>
        <v>#N/A</v>
      </c>
      <c r="D87" s="546" t="str">
        <f t="shared" si="233"/>
        <v/>
      </c>
      <c r="E87" s="486" t="str">
        <f t="shared" si="234"/>
        <v/>
      </c>
      <c r="F87" s="487" t="str">
        <f t="shared" si="235"/>
        <v/>
      </c>
      <c r="G87" s="555" t="e">
        <f>IF($B83="","",IF($E87="正規職員","-",IF(AND(EXACT(B72,B83),EXACT(D76,D87),EXACT(E76,E87)),G76,"賃金単価を記載")))</f>
        <v>#N/A</v>
      </c>
      <c r="H87" s="487" t="str">
        <f t="shared" ref="H87" si="239">IF($D87="","",IF($E87="正規職員","-",F87*G87))</f>
        <v/>
      </c>
      <c r="I87" s="487">
        <f t="shared" si="19"/>
        <v>288666.66666667</v>
      </c>
      <c r="J87" s="487">
        <f t="shared" ref="J87" si="240">IFERROR(IF($C87="-","",IF(D87="",0,IF(E87="正規職員",I87,MIN(H87:I87)))),0)</f>
        <v>0</v>
      </c>
      <c r="K87" s="488" t="str">
        <f t="shared" si="237"/>
        <v/>
      </c>
      <c r="L87" s="343">
        <f t="shared" si="232"/>
        <v>10</v>
      </c>
      <c r="M87" s="343" t="e">
        <f>VLOOKUP($D87&amp;M$5,'②-2勤務時間数入力'!$D$7:$Q$106,$L87,FALSE)</f>
        <v>#N/A</v>
      </c>
      <c r="N87" s="343" t="str">
        <f t="shared" si="221"/>
        <v>×</v>
      </c>
      <c r="O87" s="343" t="e">
        <f>VLOOKUP($D87&amp;O$5,'②-2勤務時間数入力'!$D$7:$Q$106,$L87,FALSE)</f>
        <v>#N/A</v>
      </c>
      <c r="P87" s="343" t="str">
        <f t="shared" si="222"/>
        <v>×</v>
      </c>
      <c r="Q87" s="343" t="e">
        <f>VLOOKUP($D87&amp;Q$5,'②-2勤務時間数入力'!$D$7:$Q$106,$L87,FALSE)</f>
        <v>#N/A</v>
      </c>
      <c r="R87" s="343" t="str">
        <f t="shared" si="223"/>
        <v>×</v>
      </c>
      <c r="S87" s="343" t="e">
        <f>VLOOKUP($D87&amp;S$5,'②-2勤務時間数入力'!$D$7:$Q$106,$L87,FALSE)</f>
        <v>#N/A</v>
      </c>
      <c r="T87" s="343" t="str">
        <f t="shared" si="224"/>
        <v>×</v>
      </c>
      <c r="W87" s="455" t="str">
        <f>IFERROR(IF(AND(C87="保育士等",D87="",D88=""),"×","〇"),"〇")</f>
        <v>〇</v>
      </c>
      <c r="X87" s="455" t="str">
        <f t="shared" si="183"/>
        <v>〇</v>
      </c>
    </row>
    <row r="88" spans="1:24" ht="13.5" customHeight="1">
      <c r="A88" s="861"/>
      <c r="B88" s="864"/>
      <c r="C88" s="865"/>
      <c r="D88" s="546" t="str">
        <f t="shared" si="233"/>
        <v/>
      </c>
      <c r="E88" s="486" t="str">
        <f t="shared" si="225"/>
        <v/>
      </c>
      <c r="F88" s="487" t="str">
        <f t="shared" si="226"/>
        <v/>
      </c>
      <c r="G88" s="555" t="e">
        <f>IF($B83="-","",IF($E88="正規職員","-",IF(AND(EXACT(B72,B83),EXACT(D77,D88),EXACT(E77,E88)),G77,"賃金単価を記載")))</f>
        <v>#N/A</v>
      </c>
      <c r="H88" s="487" t="str">
        <f>IF($D88="","",IF($E88="正規職員","-",F88*G88))</f>
        <v/>
      </c>
      <c r="I88" s="487">
        <f t="shared" si="19"/>
        <v>288666.66666667</v>
      </c>
      <c r="J88" s="487">
        <f t="shared" ref="J88" si="241">IFERROR(IF($C87="-","",IF(D88="","",IF(E88="正規職員",I88-J87,MIN(MIN(H88:I88),I87-J87)))),0)</f>
        <v>0</v>
      </c>
      <c r="K88" s="488" t="str">
        <f t="shared" si="229"/>
        <v/>
      </c>
      <c r="L88" s="343">
        <f t="shared" si="232"/>
        <v>10</v>
      </c>
      <c r="M88" s="343" t="e">
        <f>VLOOKUP($D88&amp;M$5,'②-2勤務時間数入力'!$D$7:$Q$106,$L88,FALSE)</f>
        <v>#N/A</v>
      </c>
      <c r="N88" s="343" t="str">
        <f t="shared" si="221"/>
        <v>×</v>
      </c>
      <c r="O88" s="343" t="e">
        <f>VLOOKUP($D88&amp;O$5,'②-2勤務時間数入力'!$D$7:$Q$106,$L88,FALSE)</f>
        <v>#N/A</v>
      </c>
      <c r="P88" s="343" t="str">
        <f t="shared" si="222"/>
        <v>×</v>
      </c>
      <c r="Q88" s="343" t="e">
        <f>VLOOKUP($D88&amp;Q$5,'②-2勤務時間数入力'!$D$7:$Q$106,$L88,FALSE)</f>
        <v>#N/A</v>
      </c>
      <c r="R88" s="343" t="str">
        <f t="shared" si="223"/>
        <v>×</v>
      </c>
      <c r="S88" s="343" t="e">
        <f>VLOOKUP($D88&amp;S$5,'②-2勤務時間数入力'!$D$7:$Q$106,$L88,FALSE)</f>
        <v>#N/A</v>
      </c>
      <c r="T88" s="343" t="str">
        <f t="shared" si="224"/>
        <v>×</v>
      </c>
      <c r="X88" s="455" t="str">
        <f t="shared" si="183"/>
        <v>〇</v>
      </c>
    </row>
    <row r="89" spans="1:24" ht="13.5" customHeight="1">
      <c r="A89" s="861"/>
      <c r="B89" s="864"/>
      <c r="C89" s="863" t="e">
        <f t="shared" ref="C89" si="242">IF(B83&gt;3,C83,"-")</f>
        <v>#N/A</v>
      </c>
      <c r="D89" s="546" t="str">
        <f t="shared" si="233"/>
        <v/>
      </c>
      <c r="E89" s="486" t="str">
        <f t="shared" ref="E89:E92" si="243">IF(D89="","",IF(N89="○",M$5,IF(P89="○",O$5,IF(R89="○",Q$5,IF(T89="○",S$5,"ERROR")))))</f>
        <v/>
      </c>
      <c r="F89" s="487" t="str">
        <f t="shared" ref="F89:F92" si="244">IF(D89="","",IF(N89="○",M89,IF(P89="○",O89,IF(R89="○",Q89,IF(T89="○",S89,"ERROR")))))</f>
        <v/>
      </c>
      <c r="G89" s="555" t="e">
        <f>IF($B83="-","",IF($E89="正規職員","-",IF(AND(EXACT(B72,B83),EXACT(D78,D89),EXACT(E78,E89)),G78,"賃金単価を記載")))</f>
        <v>#N/A</v>
      </c>
      <c r="H89" s="487" t="str">
        <f t="shared" si="218"/>
        <v/>
      </c>
      <c r="I89" s="487">
        <f t="shared" si="19"/>
        <v>288666.66666667</v>
      </c>
      <c r="J89" s="487">
        <f t="shared" ref="J89" si="245">IFERROR(IF($C89="-","",IF(D89="",0,IF(E89="正規職員",I89,MIN(H89:I89)))),0)</f>
        <v>0</v>
      </c>
      <c r="K89" s="488" t="str">
        <f t="shared" ref="K89:K92" si="246">IF(D89="","",IF(OR(COUNTIFS(D89,"*要配慮*")=1,COUNTIFS(D89,"*医療的ケア*")=1),"○","エラー"))</f>
        <v/>
      </c>
      <c r="L89" s="343">
        <f t="shared" si="232"/>
        <v>10</v>
      </c>
      <c r="M89" s="343" t="e">
        <f>VLOOKUP($D89&amp;M$5,'②-2勤務時間数入力'!$D$7:$Q$106,$L89,FALSE)</f>
        <v>#N/A</v>
      </c>
      <c r="N89" s="343" t="str">
        <f t="shared" si="221"/>
        <v>×</v>
      </c>
      <c r="O89" s="343" t="e">
        <f>VLOOKUP($D89&amp;O$5,'②-2勤務時間数入力'!$D$7:$Q$106,$L89,FALSE)</f>
        <v>#N/A</v>
      </c>
      <c r="P89" s="343" t="str">
        <f t="shared" si="222"/>
        <v>×</v>
      </c>
      <c r="Q89" s="343" t="e">
        <f>VLOOKUP($D89&amp;Q$5,'②-2勤務時間数入力'!$D$7:$Q$106,$L89,FALSE)</f>
        <v>#N/A</v>
      </c>
      <c r="R89" s="343" t="str">
        <f t="shared" si="223"/>
        <v>×</v>
      </c>
      <c r="S89" s="343" t="e">
        <f>VLOOKUP($D89&amp;S$5,'②-2勤務時間数入力'!$D$7:$Q$106,$L89,FALSE)</f>
        <v>#N/A</v>
      </c>
      <c r="T89" s="343" t="str">
        <f t="shared" si="224"/>
        <v>×</v>
      </c>
      <c r="W89" s="455" t="str">
        <f>IFERROR(IF(AND(C89="保育士等",D89="",D90=""),"×","〇"),"〇")</f>
        <v>〇</v>
      </c>
      <c r="X89" s="455" t="str">
        <f t="shared" si="183"/>
        <v>〇</v>
      </c>
    </row>
    <row r="90" spans="1:24" ht="13.5" customHeight="1">
      <c r="A90" s="861"/>
      <c r="B90" s="864"/>
      <c r="C90" s="865"/>
      <c r="D90" s="546" t="str">
        <f>IF(D79="","",D79)</f>
        <v/>
      </c>
      <c r="E90" s="486" t="str">
        <f t="shared" si="243"/>
        <v/>
      </c>
      <c r="F90" s="487" t="str">
        <f t="shared" si="244"/>
        <v/>
      </c>
      <c r="G90" s="555" t="e">
        <f>IF($B83="-","",IF($E90="正規職員","-",IF(AND(EXACT(B72,B83),EXACT(D79,D90),EXACT(E79,E90)),G79,"賃金単価を記載")))</f>
        <v>#N/A</v>
      </c>
      <c r="H90" s="487" t="str">
        <f t="shared" si="218"/>
        <v/>
      </c>
      <c r="I90" s="487">
        <f t="shared" si="19"/>
        <v>288666.66666667</v>
      </c>
      <c r="J90" s="487">
        <f t="shared" ref="J90" si="247">IFERROR(IF($C89="-","",IF(D90="","",IF(E90="正規職員",I90-J89,MIN(MIN(H90:I90),I89-J89)))),0)</f>
        <v>0</v>
      </c>
      <c r="K90" s="488" t="str">
        <f t="shared" si="246"/>
        <v/>
      </c>
      <c r="L90" s="343">
        <f t="shared" si="232"/>
        <v>10</v>
      </c>
      <c r="M90" s="343" t="e">
        <f>VLOOKUP($D90&amp;M$5,'②-2勤務時間数入力'!$D$7:$Q$106,$L90,FALSE)</f>
        <v>#N/A</v>
      </c>
      <c r="N90" s="343" t="str">
        <f t="shared" si="221"/>
        <v>×</v>
      </c>
      <c r="O90" s="343" t="e">
        <f>VLOOKUP($D90&amp;O$5,'②-2勤務時間数入力'!$D$7:$Q$106,$L90,FALSE)</f>
        <v>#N/A</v>
      </c>
      <c r="P90" s="343" t="str">
        <f t="shared" si="222"/>
        <v>×</v>
      </c>
      <c r="Q90" s="343" t="e">
        <f>VLOOKUP($D90&amp;Q$5,'②-2勤務時間数入力'!$D$7:$Q$106,$L90,FALSE)</f>
        <v>#N/A</v>
      </c>
      <c r="R90" s="343" t="str">
        <f t="shared" si="223"/>
        <v>×</v>
      </c>
      <c r="S90" s="343" t="e">
        <f>VLOOKUP($D90&amp;S$5,'②-2勤務時間数入力'!$D$7:$Q$106,$L90,FALSE)</f>
        <v>#N/A</v>
      </c>
      <c r="T90" s="343" t="str">
        <f t="shared" si="224"/>
        <v>×</v>
      </c>
      <c r="X90" s="455" t="str">
        <f t="shared" si="183"/>
        <v>〇</v>
      </c>
    </row>
    <row r="91" spans="1:24" ht="13.5" customHeight="1">
      <c r="A91" s="861"/>
      <c r="B91" s="864"/>
      <c r="C91" s="863" t="e">
        <f t="shared" ref="C91" si="248">IF(B83&gt;4,C83,"-")</f>
        <v>#N/A</v>
      </c>
      <c r="D91" s="546" t="str">
        <f t="shared" si="233"/>
        <v/>
      </c>
      <c r="E91" s="486" t="str">
        <f t="shared" si="243"/>
        <v/>
      </c>
      <c r="F91" s="487" t="str">
        <f t="shared" si="244"/>
        <v/>
      </c>
      <c r="G91" s="555" t="e">
        <f>IF($B83="-","",IF($E91="正規職員","-",IF(AND(EXACT(B72,B83),EXACT(D80,D91),EXACT(E80,E91)),G80,"賃金単価を記載")))</f>
        <v>#N/A</v>
      </c>
      <c r="H91" s="487" t="str">
        <f>IF($D91="","",IF($E91="正規職員","-",F91*G91))</f>
        <v/>
      </c>
      <c r="I91" s="487">
        <f t="shared" si="19"/>
        <v>288666.66666667</v>
      </c>
      <c r="J91" s="487">
        <f t="shared" ref="J91" si="249">IFERROR(IF($C91="-","",IF(D91="",0,IF(E91="正規職員",I91,MIN(H91:I91)))),0)</f>
        <v>0</v>
      </c>
      <c r="K91" s="488" t="str">
        <f t="shared" si="246"/>
        <v/>
      </c>
      <c r="L91" s="343">
        <f t="shared" si="232"/>
        <v>10</v>
      </c>
      <c r="M91" s="343" t="e">
        <f>VLOOKUP($D91&amp;M$5,'②-2勤務時間数入力'!$D$7:$Q$106,$L91,FALSE)</f>
        <v>#N/A</v>
      </c>
      <c r="N91" s="343" t="str">
        <f t="shared" si="221"/>
        <v>×</v>
      </c>
      <c r="O91" s="343" t="e">
        <f>VLOOKUP($D91&amp;O$5,'②-2勤務時間数入力'!$D$7:$Q$106,$L91,FALSE)</f>
        <v>#N/A</v>
      </c>
      <c r="P91" s="343" t="str">
        <f t="shared" si="222"/>
        <v>×</v>
      </c>
      <c r="Q91" s="343" t="e">
        <f>VLOOKUP($D91&amp;Q$5,'②-2勤務時間数入力'!$D$7:$Q$106,$L91,FALSE)</f>
        <v>#N/A</v>
      </c>
      <c r="R91" s="343" t="str">
        <f t="shared" si="223"/>
        <v>×</v>
      </c>
      <c r="S91" s="343" t="e">
        <f>VLOOKUP($D91&amp;S$5,'②-2勤務時間数入力'!$D$7:$Q$106,$L91,FALSE)</f>
        <v>#N/A</v>
      </c>
      <c r="T91" s="343" t="str">
        <f t="shared" si="224"/>
        <v>×</v>
      </c>
      <c r="W91" s="455" t="str">
        <f>IFERROR(IF(AND(C91="保育士等",D91="",D92=""),"×","〇"),"〇")</f>
        <v>〇</v>
      </c>
      <c r="X91" s="455" t="str">
        <f t="shared" si="183"/>
        <v>〇</v>
      </c>
    </row>
    <row r="92" spans="1:24" ht="13.5" customHeight="1">
      <c r="A92" s="880"/>
      <c r="B92" s="864"/>
      <c r="C92" s="865"/>
      <c r="D92" s="546" t="str">
        <f t="shared" si="233"/>
        <v/>
      </c>
      <c r="E92" s="486" t="str">
        <f t="shared" si="243"/>
        <v/>
      </c>
      <c r="F92" s="487" t="str">
        <f t="shared" si="244"/>
        <v/>
      </c>
      <c r="G92" s="555" t="e">
        <f>IF($B83="-","",IF($E92="正規職員","-",IF(AND(EXACT(B72,B83),EXACT(D81,D92),EXACT(E81,E92)),G81,"賃金単価を記載")))</f>
        <v>#N/A</v>
      </c>
      <c r="H92" s="487" t="str">
        <f>IF($D92="","",IF($E92="正規職員","-",F92*G92))</f>
        <v/>
      </c>
      <c r="I92" s="487">
        <f t="shared" si="19"/>
        <v>288666.66666667</v>
      </c>
      <c r="J92" s="487">
        <f t="shared" ref="J92" si="250">IFERROR(IF($C91="-","",IF(D92="","",IF(E92="正規職員",I92-J91,MIN(MIN(H92:I92),I91-J91)))),0)</f>
        <v>0</v>
      </c>
      <c r="K92" s="488" t="str">
        <f t="shared" si="246"/>
        <v/>
      </c>
      <c r="L92" s="343">
        <f t="shared" si="232"/>
        <v>10</v>
      </c>
      <c r="M92" s="343" t="e">
        <f>VLOOKUP($D92&amp;M$5,'②-2勤務時間数入力'!$D$7:$Q$106,$L92,FALSE)</f>
        <v>#N/A</v>
      </c>
      <c r="N92" s="343" t="str">
        <f t="shared" si="221"/>
        <v>×</v>
      </c>
      <c r="O92" s="343" t="e">
        <f>VLOOKUP($D92&amp;O$5,'②-2勤務時間数入力'!$D$7:$Q$106,$L92,FALSE)</f>
        <v>#N/A</v>
      </c>
      <c r="P92" s="343" t="str">
        <f t="shared" si="222"/>
        <v>×</v>
      </c>
      <c r="Q92" s="343" t="e">
        <f>VLOOKUP($D92&amp;Q$5,'②-2勤務時間数入力'!$D$7:$Q$106,$L92,FALSE)</f>
        <v>#N/A</v>
      </c>
      <c r="R92" s="343" t="str">
        <f t="shared" si="223"/>
        <v>×</v>
      </c>
      <c r="S92" s="343" t="e">
        <f>VLOOKUP($D92&amp;S$5,'②-2勤務時間数入力'!$D$7:$Q$106,$L92,FALSE)</f>
        <v>#N/A</v>
      </c>
      <c r="T92" s="343" t="str">
        <f t="shared" si="224"/>
        <v>×</v>
      </c>
      <c r="X92" s="455" t="str">
        <f t="shared" si="183"/>
        <v>〇</v>
      </c>
    </row>
    <row r="93" spans="1:24" ht="13.5" customHeight="1">
      <c r="A93" s="845"/>
      <c r="B93" s="865"/>
      <c r="C93" s="501"/>
      <c r="D93" s="342" t="s">
        <v>262</v>
      </c>
      <c r="E93" s="486" t="s">
        <v>255</v>
      </c>
      <c r="F93" s="497"/>
      <c r="G93" s="486" t="s">
        <v>255</v>
      </c>
      <c r="H93" s="486" t="s">
        <v>255</v>
      </c>
      <c r="I93" s="486" t="s">
        <v>255</v>
      </c>
      <c r="J93" s="487">
        <f t="shared" ref="J93" si="251">IFERROR(IF(J83="","",MIN(SUM(J83:J92),(B83*I83))),0)</f>
        <v>0</v>
      </c>
      <c r="K93" s="488"/>
      <c r="L93" s="343"/>
      <c r="M93" s="343"/>
      <c r="N93" s="343"/>
      <c r="O93" s="343"/>
      <c r="P93" s="343"/>
      <c r="Q93" s="343"/>
      <c r="R93" s="343"/>
      <c r="S93" s="343"/>
      <c r="T93" s="343"/>
      <c r="X93" s="455" t="str">
        <f t="shared" si="183"/>
        <v>〇</v>
      </c>
    </row>
    <row r="94" spans="1:24" ht="13.5" customHeight="1">
      <c r="A94" s="844">
        <v>12</v>
      </c>
      <c r="B94" s="863" t="e">
        <f>加算判定!M12</f>
        <v>#N/A</v>
      </c>
      <c r="C94" s="863" t="e">
        <f>加算判定!N12</f>
        <v>#N/A</v>
      </c>
      <c r="D94" s="546" t="str">
        <f>IF(D83="","",D83)</f>
        <v/>
      </c>
      <c r="E94" s="486" t="str">
        <f>IF(D94="","",IF(N94="○",M$5,IF(P94="○",O$5,IF(R94="○",Q$5,IF(T94="○",S$5,"ERROR")))))</f>
        <v/>
      </c>
      <c r="F94" s="487" t="str">
        <f>IF(D94="","",IF(N94="○",M94,IF(P94="○",O94,IF(R94="○",Q94,IF(T94="○",S94,"ERROR")))))</f>
        <v/>
      </c>
      <c r="G94" s="555" t="e">
        <f>IF($B94="-","",IF($E94="正規職員","-",IF(AND(EXACT(B83,B94),EXACT(D83,D94),EXACT(E83,E94)),G83,"賃金単価を記載")))</f>
        <v>#N/A</v>
      </c>
      <c r="H94" s="487" t="str">
        <f t="shared" ref="H94:H101" si="252">IF($D94="","",IF($E94="正規職員","-",F94*G94))</f>
        <v/>
      </c>
      <c r="I94" s="487">
        <f t="shared" si="19"/>
        <v>288666.66666667</v>
      </c>
      <c r="J94" s="487">
        <f t="shared" ref="J94" si="253">IFERROR(IF($C94="-","",IF(D94="",0,IF(E94="正規職員",I94,MIN(H94:I94)))),0)</f>
        <v>0</v>
      </c>
      <c r="K94" s="488" t="str">
        <f>IF(D94="","",IF(OR(COUNTIFS(D94,"*要配慮*")=1,COUNTIFS(D94,"*医療的ケア*")=1),"○","エラー"))</f>
        <v/>
      </c>
      <c r="L94" s="343">
        <f t="shared" ref="L94" si="254">L83+1</f>
        <v>11</v>
      </c>
      <c r="M94" s="343" t="e">
        <f>VLOOKUP($D94&amp;M$5,'②-2勤務時間数入力'!$D$7:$Q$106,$L94,FALSE)</f>
        <v>#N/A</v>
      </c>
      <c r="N94" s="343" t="str">
        <f t="shared" ref="N94:N103" si="255">IF(ISERROR(M94),"×",IF(M94="-","×","○"))</f>
        <v>×</v>
      </c>
      <c r="O94" s="343" t="e">
        <f>VLOOKUP($D94&amp;O$5,'②-2勤務時間数入力'!$D$7:$Q$106,$L94,FALSE)</f>
        <v>#N/A</v>
      </c>
      <c r="P94" s="343" t="str">
        <f t="shared" ref="P94:P103" si="256">IF(ISERROR(O94),"×",IF(O94="-","×","○"))</f>
        <v>×</v>
      </c>
      <c r="Q94" s="343" t="e">
        <f>VLOOKUP($D94&amp;Q$5,'②-2勤務時間数入力'!$D$7:$Q$106,$L94,FALSE)</f>
        <v>#N/A</v>
      </c>
      <c r="R94" s="343" t="str">
        <f t="shared" ref="R94:R103" si="257">IF(ISERROR(Q94),"×",IF(Q94="-","×","○"))</f>
        <v>×</v>
      </c>
      <c r="S94" s="343" t="e">
        <f>VLOOKUP($D94&amp;S$5,'②-2勤務時間数入力'!$D$7:$Q$106,$L94,FALSE)</f>
        <v>#N/A</v>
      </c>
      <c r="T94" s="343" t="str">
        <f t="shared" ref="T94:T103" si="258">IF(ISERROR(S94),"×",IF(S94="-","×","○"))</f>
        <v>×</v>
      </c>
      <c r="W94" s="455" t="str">
        <f>IFERROR(IF(AND(C94="保育士等",D94="",D95=""),"×","〇"),"〇")</f>
        <v>〇</v>
      </c>
      <c r="X94" s="455" t="str">
        <f t="shared" si="183"/>
        <v>〇</v>
      </c>
    </row>
    <row r="95" spans="1:24" ht="13.5" customHeight="1">
      <c r="A95" s="861"/>
      <c r="B95" s="864"/>
      <c r="C95" s="865"/>
      <c r="D95" s="546" t="str">
        <f>IF(D84="","",D84)</f>
        <v/>
      </c>
      <c r="E95" s="486" t="str">
        <f t="shared" ref="E95:E99" si="259">IF(D95="","",IF(N95="○",M$5,IF(P95="○",O$5,IF(R95="○",Q$5,IF(T95="○",S$5,"ERROR")))))</f>
        <v/>
      </c>
      <c r="F95" s="487" t="str">
        <f t="shared" ref="F95:F99" si="260">IF(D95="","",IF(N95="○",M95,IF(P95="○",O95,IF(R95="○",Q95,IF(T95="○",S95,"ERROR")))))</f>
        <v/>
      </c>
      <c r="G95" s="555" t="e">
        <f>IF($B94="-","",IF($E95="正規職員","-",IF(AND(EXACT(B83,B94),EXACT(D86,D95),EXACT(E86,E95)),G86,"賃金単価を記載")))</f>
        <v>#N/A</v>
      </c>
      <c r="H95" s="487" t="str">
        <f t="shared" ref="H95:H96" si="261">IF($D95="","",IF($E95="正規職員","-",F95*G95))</f>
        <v/>
      </c>
      <c r="I95" s="487">
        <f t="shared" si="19"/>
        <v>288666.66666667</v>
      </c>
      <c r="J95" s="487">
        <f t="shared" ref="J95" si="262">IFERROR(IF($C94="-","",IF(D95="","",IF(E95="正規職員",I95-J94,MIN(MIN(H95:I95),I94-J94)))),0)</f>
        <v>0</v>
      </c>
      <c r="K95" s="488" t="str">
        <f t="shared" ref="K95:K99" si="263">IF(D95="","",IF(OR(COUNTIFS(D95,"*要配慮*")=1,COUNTIFS(D95,"*医療的ケア*")=1),"○","エラー"))</f>
        <v/>
      </c>
      <c r="L95" s="343">
        <f>L94</f>
        <v>11</v>
      </c>
      <c r="M95" s="343" t="e">
        <f>VLOOKUP($D95&amp;M$5,'②-2勤務時間数入力'!$D$7:$Q$106,$L95,FALSE)</f>
        <v>#N/A</v>
      </c>
      <c r="N95" s="343" t="str">
        <f t="shared" si="255"/>
        <v>×</v>
      </c>
      <c r="O95" s="343" t="e">
        <f>VLOOKUP($D95&amp;O$5,'②-2勤務時間数入力'!$D$7:$Q$106,$L95,FALSE)</f>
        <v>#N/A</v>
      </c>
      <c r="P95" s="343" t="str">
        <f t="shared" si="256"/>
        <v>×</v>
      </c>
      <c r="Q95" s="343" t="e">
        <f>VLOOKUP($D95&amp;Q$5,'②-2勤務時間数入力'!$D$7:$Q$106,$L95,FALSE)</f>
        <v>#N/A</v>
      </c>
      <c r="R95" s="343" t="str">
        <f t="shared" si="257"/>
        <v>×</v>
      </c>
      <c r="S95" s="343" t="e">
        <f>VLOOKUP($D95&amp;S$5,'②-2勤務時間数入力'!$D$7:$Q$106,$L95,FALSE)</f>
        <v>#N/A</v>
      </c>
      <c r="T95" s="343" t="str">
        <f t="shared" si="258"/>
        <v>×</v>
      </c>
      <c r="X95" s="455" t="str">
        <f t="shared" si="183"/>
        <v>〇</v>
      </c>
    </row>
    <row r="96" spans="1:24" ht="13.5" customHeight="1">
      <c r="A96" s="861"/>
      <c r="B96" s="864"/>
      <c r="C96" s="863" t="e">
        <f t="shared" ref="C96" si="264">IF(B94&gt;1,C94,"-")</f>
        <v>#N/A</v>
      </c>
      <c r="D96" s="546" t="str">
        <f>IF(D85="","",D85)</f>
        <v/>
      </c>
      <c r="E96" s="486" t="str">
        <f t="shared" si="259"/>
        <v/>
      </c>
      <c r="F96" s="487" t="str">
        <f t="shared" si="260"/>
        <v/>
      </c>
      <c r="G96" s="555" t="e">
        <f>IF($B94="-","",IF($E96="正規職員","-",IF(AND(EXACT(B83,B94),EXACT(D87,D96),EXACT(E87,E96)),G87,"賃金単価を記載")))</f>
        <v>#N/A</v>
      </c>
      <c r="H96" s="487" t="str">
        <f t="shared" si="261"/>
        <v/>
      </c>
      <c r="I96" s="487">
        <f t="shared" si="19"/>
        <v>288666.66666667</v>
      </c>
      <c r="J96" s="487">
        <f t="shared" ref="J96" si="265">IFERROR(IF($C96="-","",IF(D96="",0,IF(E96="正規職員",I96,MIN(H96:I96)))),0)</f>
        <v>0</v>
      </c>
      <c r="K96" s="488" t="str">
        <f t="shared" si="263"/>
        <v/>
      </c>
      <c r="L96" s="343">
        <f t="shared" ref="L96:L102" si="266">L95</f>
        <v>11</v>
      </c>
      <c r="M96" s="343" t="e">
        <f>VLOOKUP($D96&amp;M$5,'②-2勤務時間数入力'!$D$7:$Q$106,$L96,FALSE)</f>
        <v>#N/A</v>
      </c>
      <c r="N96" s="343" t="str">
        <f t="shared" si="255"/>
        <v>×</v>
      </c>
      <c r="O96" s="343" t="e">
        <f>VLOOKUP($D96&amp;O$5,'②-2勤務時間数入力'!$D$7:$Q$106,$L96,FALSE)</f>
        <v>#N/A</v>
      </c>
      <c r="P96" s="343" t="str">
        <f t="shared" si="256"/>
        <v>×</v>
      </c>
      <c r="Q96" s="343" t="e">
        <f>VLOOKUP($D96&amp;Q$5,'②-2勤務時間数入力'!$D$7:$Q$106,$L96,FALSE)</f>
        <v>#N/A</v>
      </c>
      <c r="R96" s="343" t="str">
        <f t="shared" si="257"/>
        <v>×</v>
      </c>
      <c r="S96" s="343" t="e">
        <f>VLOOKUP($D96&amp;S$5,'②-2勤務時間数入力'!$D$7:$Q$106,$L96,FALSE)</f>
        <v>#N/A</v>
      </c>
      <c r="T96" s="343" t="str">
        <f t="shared" si="258"/>
        <v>×</v>
      </c>
      <c r="W96" s="455" t="str">
        <f>IFERROR(IF(AND(C96="保育士等",D96="",D97=""),"×","〇"),"〇")</f>
        <v>〇</v>
      </c>
      <c r="X96" s="455" t="str">
        <f t="shared" si="183"/>
        <v>〇</v>
      </c>
    </row>
    <row r="97" spans="1:24" ht="13.5" customHeight="1">
      <c r="A97" s="861"/>
      <c r="B97" s="864"/>
      <c r="C97" s="865"/>
      <c r="D97" s="546" t="str">
        <f t="shared" ref="D97:D103" si="267">IF(D86="","",D86)</f>
        <v/>
      </c>
      <c r="E97" s="486" t="str">
        <f t="shared" ref="E97:E98" si="268">IF(D97="","",IF(N97="○",M$5,IF(P97="○",O$5,IF(R97="○",Q$5,IF(T97="○",S$5,"ERROR")))))</f>
        <v/>
      </c>
      <c r="F97" s="487" t="str">
        <f t="shared" ref="F97:F98" si="269">IF(D97="","",IF(N97="○",M97,IF(P97="○",O97,IF(R97="○",Q97,IF(T97="○",S97,"ERROR")))))</f>
        <v/>
      </c>
      <c r="G97" s="555" t="e">
        <f>IF($B94="-","",IF($E97="正規職員","-",IF(AND(EXACT(B83,B94),EXACT(D86,D97),EXACT(E86,E97)),G86,"賃金単価を記載")))</f>
        <v>#N/A</v>
      </c>
      <c r="H97" s="487" t="str">
        <f>IF($D97="","",IF($E97="正規職員","-",F97*G97))</f>
        <v/>
      </c>
      <c r="I97" s="487">
        <f t="shared" si="19"/>
        <v>288666.66666667</v>
      </c>
      <c r="J97" s="487">
        <f t="shared" ref="J97" si="270">IFERROR(IF($C96="-","",IF(D97="","",IF(E97="正規職員",I97-J96,MIN(MIN(H97:I97),I96-J96)))),0)</f>
        <v>0</v>
      </c>
      <c r="K97" s="488" t="str">
        <f t="shared" ref="K97:K98" si="271">IF(D97="","",IF(OR(COUNTIFS(D97,"*要配慮*")=1,COUNTIFS(D97,"*医療的ケア*")=1),"○","エラー"))</f>
        <v/>
      </c>
      <c r="L97" s="343">
        <f t="shared" si="266"/>
        <v>11</v>
      </c>
      <c r="M97" s="343" t="e">
        <f>VLOOKUP($D97&amp;M$5,'②-2勤務時間数入力'!$D$7:$Q$106,$L97,FALSE)</f>
        <v>#N/A</v>
      </c>
      <c r="N97" s="343" t="str">
        <f t="shared" si="255"/>
        <v>×</v>
      </c>
      <c r="O97" s="343" t="e">
        <f>VLOOKUP($D97&amp;O$5,'②-2勤務時間数入力'!$D$7:$Q$106,$L97,FALSE)</f>
        <v>#N/A</v>
      </c>
      <c r="P97" s="343" t="str">
        <f t="shared" si="256"/>
        <v>×</v>
      </c>
      <c r="Q97" s="343" t="e">
        <f>VLOOKUP($D97&amp;Q$5,'②-2勤務時間数入力'!$D$7:$Q$106,$L97,FALSE)</f>
        <v>#N/A</v>
      </c>
      <c r="R97" s="343" t="str">
        <f t="shared" si="257"/>
        <v>×</v>
      </c>
      <c r="S97" s="343" t="e">
        <f>VLOOKUP($D97&amp;S$5,'②-2勤務時間数入力'!$D$7:$Q$106,$L97,FALSE)</f>
        <v>#N/A</v>
      </c>
      <c r="T97" s="343" t="str">
        <f t="shared" si="258"/>
        <v>×</v>
      </c>
      <c r="X97" s="455" t="str">
        <f t="shared" si="183"/>
        <v>〇</v>
      </c>
    </row>
    <row r="98" spans="1:24" ht="13.5" customHeight="1">
      <c r="A98" s="861"/>
      <c r="B98" s="864"/>
      <c r="C98" s="863" t="e">
        <f t="shared" ref="C98" si="272">IF(B94&gt;2,C94,"-")</f>
        <v>#N/A</v>
      </c>
      <c r="D98" s="546" t="str">
        <f t="shared" si="267"/>
        <v/>
      </c>
      <c r="E98" s="486" t="str">
        <f t="shared" si="268"/>
        <v/>
      </c>
      <c r="F98" s="487" t="str">
        <f t="shared" si="269"/>
        <v/>
      </c>
      <c r="G98" s="555" t="e">
        <f>IF($B94="-","",IF($E98="正規職員","-",IF(AND(EXACT(B83,B94),EXACT(D87,D98),EXACT(E87,E98)),G87,"賃金単価を記載")))</f>
        <v>#N/A</v>
      </c>
      <c r="H98" s="487" t="str">
        <f t="shared" ref="H98" si="273">IF($D98="","",IF($E98="正規職員","-",F98*G98))</f>
        <v/>
      </c>
      <c r="I98" s="487">
        <f t="shared" si="19"/>
        <v>288666.66666667</v>
      </c>
      <c r="J98" s="487">
        <f t="shared" ref="J98" si="274">IFERROR(IF($C98="-","",IF(D98="",0,IF(E98="正規職員",I98,MIN(H98:I98)))),0)</f>
        <v>0</v>
      </c>
      <c r="K98" s="488" t="str">
        <f t="shared" si="271"/>
        <v/>
      </c>
      <c r="L98" s="343">
        <f t="shared" si="266"/>
        <v>11</v>
      </c>
      <c r="M98" s="343" t="e">
        <f>VLOOKUP($D98&amp;M$5,'②-2勤務時間数入力'!$D$7:$Q$106,$L98,FALSE)</f>
        <v>#N/A</v>
      </c>
      <c r="N98" s="343" t="str">
        <f t="shared" si="255"/>
        <v>×</v>
      </c>
      <c r="O98" s="343" t="e">
        <f>VLOOKUP($D98&amp;O$5,'②-2勤務時間数入力'!$D$7:$Q$106,$L98,FALSE)</f>
        <v>#N/A</v>
      </c>
      <c r="P98" s="343" t="str">
        <f t="shared" si="256"/>
        <v>×</v>
      </c>
      <c r="Q98" s="343" t="e">
        <f>VLOOKUP($D98&amp;Q$5,'②-2勤務時間数入力'!$D$7:$Q$106,$L98,FALSE)</f>
        <v>#N/A</v>
      </c>
      <c r="R98" s="343" t="str">
        <f t="shared" si="257"/>
        <v>×</v>
      </c>
      <c r="S98" s="343" t="e">
        <f>VLOOKUP($D98&amp;S$5,'②-2勤務時間数入力'!$D$7:$Q$106,$L98,FALSE)</f>
        <v>#N/A</v>
      </c>
      <c r="T98" s="343" t="str">
        <f t="shared" si="258"/>
        <v>×</v>
      </c>
      <c r="W98" s="455" t="str">
        <f>IFERROR(IF(AND(C98="保育士等",D98="",D99=""),"×","〇"),"〇")</f>
        <v>〇</v>
      </c>
      <c r="X98" s="455" t="str">
        <f t="shared" si="183"/>
        <v>〇</v>
      </c>
    </row>
    <row r="99" spans="1:24" ht="13.5" customHeight="1">
      <c r="A99" s="861"/>
      <c r="B99" s="864"/>
      <c r="C99" s="865"/>
      <c r="D99" s="546" t="str">
        <f t="shared" si="267"/>
        <v/>
      </c>
      <c r="E99" s="486" t="str">
        <f t="shared" si="259"/>
        <v/>
      </c>
      <c r="F99" s="487" t="str">
        <f t="shared" si="260"/>
        <v/>
      </c>
      <c r="G99" s="555" t="e">
        <f>IF($B94="-","",IF($E99="正規職員","-",IF(AND(EXACT(B83,B94),EXACT(D88,D99),EXACT(E88,E99)),G88,"賃金単価を記載")))</f>
        <v>#N/A</v>
      </c>
      <c r="H99" s="487" t="str">
        <f>IF($D99="","",IF($E99="正規職員","-",F99*G99))</f>
        <v/>
      </c>
      <c r="I99" s="487">
        <f t="shared" si="19"/>
        <v>288666.66666667</v>
      </c>
      <c r="J99" s="487">
        <f t="shared" ref="J99" si="275">IFERROR(IF($C98="-","",IF(D99="","",IF(E99="正規職員",I99-J98,MIN(MIN(H99:I99),I98-J98)))),0)</f>
        <v>0</v>
      </c>
      <c r="K99" s="488" t="str">
        <f t="shared" si="263"/>
        <v/>
      </c>
      <c r="L99" s="343">
        <f t="shared" si="266"/>
        <v>11</v>
      </c>
      <c r="M99" s="343" t="e">
        <f>VLOOKUP($D99&amp;M$5,'②-2勤務時間数入力'!$D$7:$Q$106,$L99,FALSE)</f>
        <v>#N/A</v>
      </c>
      <c r="N99" s="343" t="str">
        <f t="shared" si="255"/>
        <v>×</v>
      </c>
      <c r="O99" s="343" t="e">
        <f>VLOOKUP($D99&amp;O$5,'②-2勤務時間数入力'!$D$7:$Q$106,$L99,FALSE)</f>
        <v>#N/A</v>
      </c>
      <c r="P99" s="343" t="str">
        <f t="shared" si="256"/>
        <v>×</v>
      </c>
      <c r="Q99" s="343" t="e">
        <f>VLOOKUP($D99&amp;Q$5,'②-2勤務時間数入力'!$D$7:$Q$106,$L99,FALSE)</f>
        <v>#N/A</v>
      </c>
      <c r="R99" s="343" t="str">
        <f t="shared" si="257"/>
        <v>×</v>
      </c>
      <c r="S99" s="343" t="e">
        <f>VLOOKUP($D99&amp;S$5,'②-2勤務時間数入力'!$D$7:$Q$106,$L99,FALSE)</f>
        <v>#N/A</v>
      </c>
      <c r="T99" s="343" t="str">
        <f t="shared" si="258"/>
        <v>×</v>
      </c>
      <c r="X99" s="455" t="str">
        <f t="shared" si="183"/>
        <v>〇</v>
      </c>
    </row>
    <row r="100" spans="1:24" ht="13.5" customHeight="1">
      <c r="A100" s="861"/>
      <c r="B100" s="864"/>
      <c r="C100" s="863" t="e">
        <f t="shared" ref="C100" si="276">IF(B94&gt;3,C94,"-")</f>
        <v>#N/A</v>
      </c>
      <c r="D100" s="546" t="str">
        <f t="shared" si="267"/>
        <v/>
      </c>
      <c r="E100" s="486" t="str">
        <f t="shared" ref="E100:E103" si="277">IF(D100="","",IF(N100="○",M$5,IF(P100="○",O$5,IF(R100="○",Q$5,IF(T100="○",S$5,"ERROR")))))</f>
        <v/>
      </c>
      <c r="F100" s="487" t="str">
        <f t="shared" ref="F100:F103" si="278">IF(D100="","",IF(N100="○",M100,IF(P100="○",O100,IF(R100="○",Q100,IF(T100="○",S100,"ERROR")))))</f>
        <v/>
      </c>
      <c r="G100" s="555" t="e">
        <f>IF($B94="-","",IF($E100="正規職員","-",IF(AND(EXACT(B83,B94),EXACT(D89,D100),EXACT(E89,E100)),G89,"賃金単価を記載")))</f>
        <v>#N/A</v>
      </c>
      <c r="H100" s="487" t="str">
        <f t="shared" si="252"/>
        <v/>
      </c>
      <c r="I100" s="487">
        <f t="shared" si="19"/>
        <v>288666.66666667</v>
      </c>
      <c r="J100" s="487">
        <f t="shared" ref="J100" si="279">IFERROR(IF($C100="-","",IF(D100="",0,IF(E100="正規職員",I100,MIN(H100:I100)))),0)</f>
        <v>0</v>
      </c>
      <c r="K100" s="488" t="str">
        <f t="shared" ref="K100:K103" si="280">IF(D100="","",IF(OR(COUNTIFS(D100,"*要配慮*")=1,COUNTIFS(D100,"*医療的ケア*")=1),"○","エラー"))</f>
        <v/>
      </c>
      <c r="L100" s="343">
        <f t="shared" si="266"/>
        <v>11</v>
      </c>
      <c r="M100" s="343" t="e">
        <f>VLOOKUP($D100&amp;M$5,'②-2勤務時間数入力'!$D$7:$Q$106,$L100,FALSE)</f>
        <v>#N/A</v>
      </c>
      <c r="N100" s="343" t="str">
        <f t="shared" si="255"/>
        <v>×</v>
      </c>
      <c r="O100" s="343" t="e">
        <f>VLOOKUP($D100&amp;O$5,'②-2勤務時間数入力'!$D$7:$Q$106,$L100,FALSE)</f>
        <v>#N/A</v>
      </c>
      <c r="P100" s="343" t="str">
        <f t="shared" si="256"/>
        <v>×</v>
      </c>
      <c r="Q100" s="343" t="e">
        <f>VLOOKUP($D100&amp;Q$5,'②-2勤務時間数入力'!$D$7:$Q$106,$L100,FALSE)</f>
        <v>#N/A</v>
      </c>
      <c r="R100" s="343" t="str">
        <f t="shared" si="257"/>
        <v>×</v>
      </c>
      <c r="S100" s="343" t="e">
        <f>VLOOKUP($D100&amp;S$5,'②-2勤務時間数入力'!$D$7:$Q$106,$L100,FALSE)</f>
        <v>#N/A</v>
      </c>
      <c r="T100" s="343" t="str">
        <f t="shared" si="258"/>
        <v>×</v>
      </c>
      <c r="W100" s="455" t="str">
        <f>IFERROR(IF(AND(C100="保育士等",D100="",D101=""),"×","〇"),"〇")</f>
        <v>〇</v>
      </c>
      <c r="X100" s="455" t="str">
        <f t="shared" si="183"/>
        <v>〇</v>
      </c>
    </row>
    <row r="101" spans="1:24" ht="13.5" customHeight="1">
      <c r="A101" s="861"/>
      <c r="B101" s="864"/>
      <c r="C101" s="865"/>
      <c r="D101" s="546" t="str">
        <f>IF(D90="","",D90)</f>
        <v/>
      </c>
      <c r="E101" s="486" t="str">
        <f t="shared" si="277"/>
        <v/>
      </c>
      <c r="F101" s="487" t="str">
        <f t="shared" si="278"/>
        <v/>
      </c>
      <c r="G101" s="555" t="e">
        <f>IF($B94="-","",IF($E101="正規職員","-",IF(AND(EXACT(B83,B94),EXACT(D90,D101),EXACT(E90,E101)),G90,"賃金単価を記載")))</f>
        <v>#N/A</v>
      </c>
      <c r="H101" s="487" t="str">
        <f t="shared" si="252"/>
        <v/>
      </c>
      <c r="I101" s="487">
        <f t="shared" si="19"/>
        <v>288666.66666667</v>
      </c>
      <c r="J101" s="487">
        <f t="shared" ref="J101" si="281">IFERROR(IF($C100="-","",IF(D101="","",IF(E101="正規職員",I101-J100,MIN(MIN(H101:I101),I100-J100)))),0)</f>
        <v>0</v>
      </c>
      <c r="K101" s="488" t="str">
        <f t="shared" si="280"/>
        <v/>
      </c>
      <c r="L101" s="343">
        <f t="shared" si="266"/>
        <v>11</v>
      </c>
      <c r="M101" s="343" t="e">
        <f>VLOOKUP($D101&amp;M$5,'②-2勤務時間数入力'!$D$7:$Q$106,$L101,FALSE)</f>
        <v>#N/A</v>
      </c>
      <c r="N101" s="343" t="str">
        <f t="shared" si="255"/>
        <v>×</v>
      </c>
      <c r="O101" s="343" t="e">
        <f>VLOOKUP($D101&amp;O$5,'②-2勤務時間数入力'!$D$7:$Q$106,$L101,FALSE)</f>
        <v>#N/A</v>
      </c>
      <c r="P101" s="343" t="str">
        <f t="shared" si="256"/>
        <v>×</v>
      </c>
      <c r="Q101" s="343" t="e">
        <f>VLOOKUP($D101&amp;Q$5,'②-2勤務時間数入力'!$D$7:$Q$106,$L101,FALSE)</f>
        <v>#N/A</v>
      </c>
      <c r="R101" s="343" t="str">
        <f t="shared" si="257"/>
        <v>×</v>
      </c>
      <c r="S101" s="343" t="e">
        <f>VLOOKUP($D101&amp;S$5,'②-2勤務時間数入力'!$D$7:$Q$106,$L101,FALSE)</f>
        <v>#N/A</v>
      </c>
      <c r="T101" s="343" t="str">
        <f t="shared" si="258"/>
        <v>×</v>
      </c>
      <c r="X101" s="455" t="str">
        <f t="shared" si="183"/>
        <v>〇</v>
      </c>
    </row>
    <row r="102" spans="1:24" ht="13.5" customHeight="1">
      <c r="A102" s="861"/>
      <c r="B102" s="864"/>
      <c r="C102" s="863" t="e">
        <f t="shared" ref="C102" si="282">IF(B94&gt;4,C94,"-")</f>
        <v>#N/A</v>
      </c>
      <c r="D102" s="546" t="str">
        <f t="shared" si="267"/>
        <v/>
      </c>
      <c r="E102" s="486" t="str">
        <f t="shared" si="277"/>
        <v/>
      </c>
      <c r="F102" s="487" t="str">
        <f t="shared" si="278"/>
        <v/>
      </c>
      <c r="G102" s="555" t="e">
        <f>IF($B94="-","",IF($E102="正規職員","-",IF(AND(EXACT(B83,B94),EXACT(D91,D102),EXACT(E91,E102)),G91,"賃金単価を記載")))</f>
        <v>#N/A</v>
      </c>
      <c r="H102" s="487" t="str">
        <f>IF($D102="","",IF($E102="正規職員","-",F102*G102))</f>
        <v/>
      </c>
      <c r="I102" s="487">
        <f t="shared" si="19"/>
        <v>288666.66666667</v>
      </c>
      <c r="J102" s="487">
        <f t="shared" ref="J102" si="283">IFERROR(IF($C102="-","",IF(D102="",0,IF(E102="正規職員",I102,MIN(H102:I102)))),0)</f>
        <v>0</v>
      </c>
      <c r="K102" s="488" t="str">
        <f t="shared" si="280"/>
        <v/>
      </c>
      <c r="L102" s="343">
        <f t="shared" si="266"/>
        <v>11</v>
      </c>
      <c r="M102" s="343" t="e">
        <f>VLOOKUP($D102&amp;M$5,'②-2勤務時間数入力'!$D$7:$Q$106,$L102,FALSE)</f>
        <v>#N/A</v>
      </c>
      <c r="N102" s="343" t="str">
        <f t="shared" si="255"/>
        <v>×</v>
      </c>
      <c r="O102" s="343" t="e">
        <f>VLOOKUP($D102&amp;O$5,'②-2勤務時間数入力'!$D$7:$Q$106,$L102,FALSE)</f>
        <v>#N/A</v>
      </c>
      <c r="P102" s="343" t="str">
        <f t="shared" si="256"/>
        <v>×</v>
      </c>
      <c r="Q102" s="343" t="e">
        <f>VLOOKUP($D102&amp;Q$5,'②-2勤務時間数入力'!$D$7:$Q$106,$L102,FALSE)</f>
        <v>#N/A</v>
      </c>
      <c r="R102" s="343" t="str">
        <f t="shared" si="257"/>
        <v>×</v>
      </c>
      <c r="S102" s="343" t="e">
        <f>VLOOKUP($D102&amp;S$5,'②-2勤務時間数入力'!$D$7:$Q$106,$L102,FALSE)</f>
        <v>#N/A</v>
      </c>
      <c r="T102" s="343" t="str">
        <f t="shared" si="258"/>
        <v>×</v>
      </c>
      <c r="W102" s="455" t="str">
        <f>IFERROR(IF(AND(C102="保育士等",D102="",D103=""),"×","〇"),"〇")</f>
        <v>〇</v>
      </c>
      <c r="X102" s="455" t="str">
        <f t="shared" si="183"/>
        <v>〇</v>
      </c>
    </row>
    <row r="103" spans="1:24" ht="13.5" customHeight="1">
      <c r="A103" s="880"/>
      <c r="B103" s="864"/>
      <c r="C103" s="865"/>
      <c r="D103" s="546" t="str">
        <f t="shared" si="267"/>
        <v/>
      </c>
      <c r="E103" s="486" t="str">
        <f t="shared" si="277"/>
        <v/>
      </c>
      <c r="F103" s="487" t="str">
        <f t="shared" si="278"/>
        <v/>
      </c>
      <c r="G103" s="555" t="e">
        <f>IF($B94="-","",IF($E103="正規職員","-",IF(AND(EXACT(B83,B94),EXACT(D92,D103),EXACT(E92,E103)),G92,"賃金単価を記載")))</f>
        <v>#N/A</v>
      </c>
      <c r="H103" s="487" t="str">
        <f>IF($D103="","",IF($E103="正規職員","-",F103*G103))</f>
        <v/>
      </c>
      <c r="I103" s="487">
        <f t="shared" si="19"/>
        <v>288666.66666667</v>
      </c>
      <c r="J103" s="487">
        <f t="shared" ref="J103" si="284">IFERROR(IF($C102="-","",IF(D103="","",IF(E103="正規職員",I103-J102,MIN(MIN(H103:I103),I102-J102)))),0)</f>
        <v>0</v>
      </c>
      <c r="K103" s="488" t="str">
        <f t="shared" si="280"/>
        <v/>
      </c>
      <c r="L103" s="343">
        <f>L102</f>
        <v>11</v>
      </c>
      <c r="M103" s="343" t="e">
        <f>VLOOKUP($D103&amp;M$5,'②-2勤務時間数入力'!$D$7:$Q$106,$L103,FALSE)</f>
        <v>#N/A</v>
      </c>
      <c r="N103" s="343" t="str">
        <f t="shared" si="255"/>
        <v>×</v>
      </c>
      <c r="O103" s="343" t="e">
        <f>VLOOKUP($D103&amp;O$5,'②-2勤務時間数入力'!$D$7:$Q$106,$L103,FALSE)</f>
        <v>#N/A</v>
      </c>
      <c r="P103" s="343" t="str">
        <f t="shared" si="256"/>
        <v>×</v>
      </c>
      <c r="Q103" s="343" t="e">
        <f>VLOOKUP($D103&amp;Q$5,'②-2勤務時間数入力'!$D$7:$Q$106,$L103,FALSE)</f>
        <v>#N/A</v>
      </c>
      <c r="R103" s="343" t="str">
        <f t="shared" si="257"/>
        <v>×</v>
      </c>
      <c r="S103" s="343" t="e">
        <f>VLOOKUP($D103&amp;S$5,'②-2勤務時間数入力'!$D$7:$Q$106,$L103,FALSE)</f>
        <v>#N/A</v>
      </c>
      <c r="T103" s="343" t="str">
        <f t="shared" si="258"/>
        <v>×</v>
      </c>
      <c r="X103" s="455" t="str">
        <f t="shared" si="183"/>
        <v>〇</v>
      </c>
    </row>
    <row r="104" spans="1:24" ht="13.5" customHeight="1">
      <c r="A104" s="845"/>
      <c r="B104" s="865"/>
      <c r="C104" s="501"/>
      <c r="D104" s="342" t="s">
        <v>263</v>
      </c>
      <c r="E104" s="486" t="s">
        <v>255</v>
      </c>
      <c r="F104" s="497"/>
      <c r="G104" s="486" t="s">
        <v>255</v>
      </c>
      <c r="H104" s="486" t="s">
        <v>255</v>
      </c>
      <c r="I104" s="486" t="s">
        <v>255</v>
      </c>
      <c r="J104" s="487">
        <f t="shared" ref="J104" si="285">IFERROR(IF(J94="","",MIN(SUM(J94:J103),(B94*I94))),0)</f>
        <v>0</v>
      </c>
      <c r="K104" s="488"/>
      <c r="L104" s="343"/>
      <c r="M104" s="343"/>
      <c r="N104" s="343"/>
      <c r="O104" s="343"/>
      <c r="P104" s="343"/>
      <c r="Q104" s="343"/>
      <c r="R104" s="343"/>
      <c r="S104" s="343"/>
      <c r="T104" s="343"/>
      <c r="X104" s="455" t="str">
        <f t="shared" si="183"/>
        <v>〇</v>
      </c>
    </row>
    <row r="105" spans="1:24" ht="13.5" customHeight="1">
      <c r="A105" s="844">
        <v>1</v>
      </c>
      <c r="B105" s="863" t="e">
        <f>加算判定!M13</f>
        <v>#N/A</v>
      </c>
      <c r="C105" s="863" t="e">
        <f>加算判定!N13</f>
        <v>#N/A</v>
      </c>
      <c r="D105" s="546" t="str">
        <f t="shared" ref="D105" si="286">IF(D94="","",D94)</f>
        <v/>
      </c>
      <c r="E105" s="486" t="str">
        <f>IF(D105="","",IF(N105="○",M$5,IF(P105="○",O$5,IF(R105="○",Q$5,IF(T105="○",S$5,"ERROR")))))</f>
        <v/>
      </c>
      <c r="F105" s="487" t="str">
        <f>IF(D105="","",IF(N105="○",M105,IF(P105="○",O105,IF(R105="○",Q105,IF(T105="○",S105,"ERROR")))))</f>
        <v/>
      </c>
      <c r="G105" s="555" t="e">
        <f>IF($B105="-","",IF($E105="正規職員","-",IF(AND(EXACT(B94,B105),EXACT(D94,D105),EXACT(E94,E105)),G94,"賃金単価を記載")))</f>
        <v>#N/A</v>
      </c>
      <c r="H105" s="487" t="str">
        <f t="shared" ref="H105:H112" si="287">IF($D105="","",IF($E105="正規職員","-",F105*G105))</f>
        <v/>
      </c>
      <c r="I105" s="487">
        <f t="shared" si="19"/>
        <v>288666.66666667</v>
      </c>
      <c r="J105" s="487">
        <f t="shared" ref="J105" si="288">IFERROR(IF($C105="-","",IF(D105="",0,IF(E105="正規職員",I105,MIN(H105:I105)))),0)</f>
        <v>0</v>
      </c>
      <c r="K105" s="488" t="str">
        <f>IF(D105="","",IF(OR(COUNTIFS(D105,"*要配慮*")=1,COUNTIFS(D105,"*医療的ケア*")=1),"○","エラー"))</f>
        <v/>
      </c>
      <c r="L105" s="343">
        <f t="shared" ref="L105" si="289">L94+1</f>
        <v>12</v>
      </c>
      <c r="M105" s="343" t="e">
        <f>VLOOKUP($D105&amp;M$5,'②-2勤務時間数入力'!$D$7:$Q$106,$L105,FALSE)</f>
        <v>#N/A</v>
      </c>
      <c r="N105" s="343" t="str">
        <f t="shared" ref="N105:N114" si="290">IF(ISERROR(M105),"×",IF(M105="-","×","○"))</f>
        <v>×</v>
      </c>
      <c r="O105" s="343" t="e">
        <f>VLOOKUP($D105&amp;O$5,'②-2勤務時間数入力'!$D$7:$Q$106,$L105,FALSE)</f>
        <v>#N/A</v>
      </c>
      <c r="P105" s="343" t="str">
        <f t="shared" ref="P105:P114" si="291">IF(ISERROR(O105),"×",IF(O105="-","×","○"))</f>
        <v>×</v>
      </c>
      <c r="Q105" s="343" t="e">
        <f>VLOOKUP($D105&amp;Q$5,'②-2勤務時間数入力'!$D$7:$Q$106,$L105,FALSE)</f>
        <v>#N/A</v>
      </c>
      <c r="R105" s="343" t="str">
        <f t="shared" ref="R105:R114" si="292">IF(ISERROR(Q105),"×",IF(Q105="-","×","○"))</f>
        <v>×</v>
      </c>
      <c r="S105" s="343" t="e">
        <f>VLOOKUP($D105&amp;S$5,'②-2勤務時間数入力'!$D$7:$Q$106,$L105,FALSE)</f>
        <v>#N/A</v>
      </c>
      <c r="T105" s="343" t="str">
        <f t="shared" ref="T105:T114" si="293">IF(ISERROR(S105),"×",IF(S105="-","×","○"))</f>
        <v>×</v>
      </c>
      <c r="W105" s="455" t="str">
        <f>IFERROR(IF(AND(C105="保育士等",D105="",D106=""),"×","〇"),"〇")</f>
        <v>〇</v>
      </c>
      <c r="X105" s="455" t="str">
        <f t="shared" si="183"/>
        <v>〇</v>
      </c>
    </row>
    <row r="106" spans="1:24" ht="13.5" customHeight="1">
      <c r="A106" s="861"/>
      <c r="B106" s="864"/>
      <c r="C106" s="865"/>
      <c r="D106" s="546" t="str">
        <f>IF(D95="","",D95)</f>
        <v/>
      </c>
      <c r="E106" s="486" t="str">
        <f t="shared" ref="E106:E107" si="294">IF(D106="","",IF(N106="○",M$5,IF(P106="○",O$5,IF(R106="○",Q$5,IF(T106="○",S$5,"ERROR")))))</f>
        <v/>
      </c>
      <c r="F106" s="487" t="str">
        <f t="shared" ref="F106:F107" si="295">IF(D106="","",IF(N106="○",M106,IF(P106="○",O106,IF(R106="○",Q106,IF(T106="○",S106,"ERROR")))))</f>
        <v/>
      </c>
      <c r="G106" s="555" t="e">
        <f>IF($B105="-","",IF($E106="正規職員","-",IF(AND(EXACT(B94,B105),EXACT(D95,D106),EXACT(E95,E106)),G95,"賃金単価を記載")))</f>
        <v>#N/A</v>
      </c>
      <c r="H106" s="487" t="str">
        <f t="shared" si="287"/>
        <v/>
      </c>
      <c r="I106" s="487">
        <f t="shared" si="19"/>
        <v>288666.66666667</v>
      </c>
      <c r="J106" s="487">
        <f t="shared" ref="J106" si="296">IFERROR(IF($C105="-","",IF(D106="","",IF(E106="正規職員",I106-J105,MIN(MIN(H106:I106),I105-J105)))),0)</f>
        <v>0</v>
      </c>
      <c r="K106" s="488" t="str">
        <f t="shared" ref="K106:K107" si="297">IF(D106="","",IF(OR(COUNTIFS(D106,"*要配慮*")=1,COUNTIFS(D106,"*医療的ケア*")=1),"○","エラー"))</f>
        <v/>
      </c>
      <c r="L106" s="343">
        <f>L105</f>
        <v>12</v>
      </c>
      <c r="M106" s="343" t="e">
        <f>VLOOKUP($D106&amp;M$5,'②-2勤務時間数入力'!$D$7:$Q$106,$L106,FALSE)</f>
        <v>#N/A</v>
      </c>
      <c r="N106" s="343" t="str">
        <f t="shared" si="290"/>
        <v>×</v>
      </c>
      <c r="O106" s="343" t="e">
        <f>VLOOKUP($D106&amp;O$5,'②-2勤務時間数入力'!$D$7:$Q$106,$L106,FALSE)</f>
        <v>#N/A</v>
      </c>
      <c r="P106" s="343" t="str">
        <f t="shared" si="291"/>
        <v>×</v>
      </c>
      <c r="Q106" s="343" t="e">
        <f>VLOOKUP($D106&amp;Q$5,'②-2勤務時間数入力'!$D$7:$Q$106,$L106,FALSE)</f>
        <v>#N/A</v>
      </c>
      <c r="R106" s="343" t="str">
        <f t="shared" si="292"/>
        <v>×</v>
      </c>
      <c r="S106" s="343" t="e">
        <f>VLOOKUP($D106&amp;S$5,'②-2勤務時間数入力'!$D$7:$Q$106,$L106,FALSE)</f>
        <v>#N/A</v>
      </c>
      <c r="T106" s="343" t="str">
        <f t="shared" si="293"/>
        <v>×</v>
      </c>
      <c r="X106" s="455" t="str">
        <f t="shared" si="183"/>
        <v>〇</v>
      </c>
    </row>
    <row r="107" spans="1:24" ht="13.5" customHeight="1">
      <c r="A107" s="861"/>
      <c r="B107" s="864"/>
      <c r="C107" s="863" t="e">
        <f t="shared" ref="C107" si="298">IF(B105&gt;1,C105,"-")</f>
        <v>#N/A</v>
      </c>
      <c r="D107" s="546" t="str">
        <f>IF(D96="","",D96)</f>
        <v/>
      </c>
      <c r="E107" s="486" t="str">
        <f t="shared" si="294"/>
        <v/>
      </c>
      <c r="F107" s="487" t="str">
        <f t="shared" si="295"/>
        <v/>
      </c>
      <c r="G107" s="555" t="e">
        <f>IF($B105="-","",IF($E107="正規職員","-",IF(AND(EXACT(B94,B105),EXACT(D96,D107),EXACT(E96,E107)),G96,"賃金単価を記載")))</f>
        <v>#N/A</v>
      </c>
      <c r="H107" s="487" t="str">
        <f t="shared" si="287"/>
        <v/>
      </c>
      <c r="I107" s="487">
        <f t="shared" si="19"/>
        <v>288666.66666667</v>
      </c>
      <c r="J107" s="487">
        <f t="shared" ref="J107" si="299">IFERROR(IF($C107="-","",IF(D107="",0,IF(E107="正規職員",I107,MIN(H107:I107)))),0)</f>
        <v>0</v>
      </c>
      <c r="K107" s="488" t="str">
        <f t="shared" si="297"/>
        <v/>
      </c>
      <c r="L107" s="343">
        <f t="shared" ref="L107:L114" si="300">L106</f>
        <v>12</v>
      </c>
      <c r="M107" s="343" t="e">
        <f>VLOOKUP($D107&amp;M$5,'②-2勤務時間数入力'!$D$7:$Q$106,$L107,FALSE)</f>
        <v>#N/A</v>
      </c>
      <c r="N107" s="343" t="str">
        <f t="shared" si="290"/>
        <v>×</v>
      </c>
      <c r="O107" s="343" t="e">
        <f>VLOOKUP($D107&amp;O$5,'②-2勤務時間数入力'!$D$7:$Q$106,$L107,FALSE)</f>
        <v>#N/A</v>
      </c>
      <c r="P107" s="343" t="str">
        <f t="shared" si="291"/>
        <v>×</v>
      </c>
      <c r="Q107" s="343" t="e">
        <f>VLOOKUP($D107&amp;Q$5,'②-2勤務時間数入力'!$D$7:$Q$106,$L107,FALSE)</f>
        <v>#N/A</v>
      </c>
      <c r="R107" s="343" t="str">
        <f t="shared" si="292"/>
        <v>×</v>
      </c>
      <c r="S107" s="343" t="e">
        <f>VLOOKUP($D107&amp;S$5,'②-2勤務時間数入力'!$D$7:$Q$106,$L107,FALSE)</f>
        <v>#N/A</v>
      </c>
      <c r="T107" s="343" t="str">
        <f t="shared" si="293"/>
        <v>×</v>
      </c>
      <c r="W107" s="455" t="str">
        <f>IFERROR(IF(AND(C107="保育士等",D107="",D108=""),"×","〇"),"〇")</f>
        <v>〇</v>
      </c>
      <c r="X107" s="455" t="str">
        <f t="shared" si="183"/>
        <v>〇</v>
      </c>
    </row>
    <row r="108" spans="1:24" ht="13.5" customHeight="1">
      <c r="A108" s="861"/>
      <c r="B108" s="864"/>
      <c r="C108" s="865"/>
      <c r="D108" s="546" t="str">
        <f t="shared" ref="D108:D114" si="301">IF(D97="","",D97)</f>
        <v/>
      </c>
      <c r="E108" s="486" t="str">
        <f t="shared" ref="E108:E110" si="302">IF(D108="","",IF(N108="○",M$5,IF(P108="○",O$5,IF(R108="○",Q$5,IF(T108="○",S$5,"ERROR")))))</f>
        <v/>
      </c>
      <c r="F108" s="487" t="str">
        <f t="shared" ref="F108:F110" si="303">IF(D108="","",IF(N108="○",M108,IF(P108="○",O108,IF(R108="○",Q108,IF(T108="○",S108,"ERROR")))))</f>
        <v/>
      </c>
      <c r="G108" s="555" t="e">
        <f>IF($B105="-","",IF($E108="正規職員","-",IF(AND(EXACT(B94,B105),EXACT(D97,D108),EXACT(E97,E108)),G97,"賃金単価を記載")))</f>
        <v>#N/A</v>
      </c>
      <c r="H108" s="487" t="str">
        <f t="shared" ref="H108:H109" si="304">IF($D108="","",IF($E108="正規職員","-",F108*G108))</f>
        <v/>
      </c>
      <c r="I108" s="487">
        <f t="shared" si="19"/>
        <v>288666.66666667</v>
      </c>
      <c r="J108" s="487">
        <f t="shared" ref="J108" si="305">IFERROR(IF($C107="-","",IF(D108="","",IF(E108="正規職員",I108-J107,MIN(MIN(H108:I108),I107-J107)))),0)</f>
        <v>0</v>
      </c>
      <c r="K108" s="488" t="str">
        <f t="shared" ref="K108:K110" si="306">IF(D108="","",IF(OR(COUNTIFS(D108,"*要配慮*")=1,COUNTIFS(D108,"*医療的ケア*")=1),"○","エラー"))</f>
        <v/>
      </c>
      <c r="L108" s="343">
        <f t="shared" si="300"/>
        <v>12</v>
      </c>
      <c r="M108" s="343" t="e">
        <f>VLOOKUP($D108&amp;M$5,'②-2勤務時間数入力'!$D$7:$Q$106,$L108,FALSE)</f>
        <v>#N/A</v>
      </c>
      <c r="N108" s="343" t="str">
        <f t="shared" si="290"/>
        <v>×</v>
      </c>
      <c r="O108" s="343" t="e">
        <f>VLOOKUP($D108&amp;O$5,'②-2勤務時間数入力'!$D$7:$Q$106,$L108,FALSE)</f>
        <v>#N/A</v>
      </c>
      <c r="P108" s="343" t="str">
        <f t="shared" si="291"/>
        <v>×</v>
      </c>
      <c r="Q108" s="343" t="e">
        <f>VLOOKUP($D108&amp;Q$5,'②-2勤務時間数入力'!$D$7:$Q$106,$L108,FALSE)</f>
        <v>#N/A</v>
      </c>
      <c r="R108" s="343" t="str">
        <f t="shared" si="292"/>
        <v>×</v>
      </c>
      <c r="S108" s="343" t="e">
        <f>VLOOKUP($D108&amp;S$5,'②-2勤務時間数入力'!$D$7:$Q$106,$L108,FALSE)</f>
        <v>#N/A</v>
      </c>
      <c r="T108" s="343" t="str">
        <f t="shared" si="293"/>
        <v>×</v>
      </c>
      <c r="X108" s="455" t="str">
        <f t="shared" si="183"/>
        <v>〇</v>
      </c>
    </row>
    <row r="109" spans="1:24" ht="13.5" customHeight="1">
      <c r="A109" s="861"/>
      <c r="B109" s="864"/>
      <c r="C109" s="863" t="e">
        <f t="shared" ref="C109" si="307">IF(B105&gt;2,C105,"-")</f>
        <v>#N/A</v>
      </c>
      <c r="D109" s="546" t="str">
        <f t="shared" si="301"/>
        <v/>
      </c>
      <c r="E109" s="486" t="str">
        <f t="shared" si="302"/>
        <v/>
      </c>
      <c r="F109" s="487" t="str">
        <f t="shared" si="303"/>
        <v/>
      </c>
      <c r="G109" s="555" t="e">
        <f>IF($B105="-","",IF($E109="正規職員","-",IF(AND(EXACT(B94,B105),EXACT(D98,D109),EXACT(E98,E109)),G98,"賃金単価を記載")))</f>
        <v>#N/A</v>
      </c>
      <c r="H109" s="487" t="str">
        <f t="shared" si="304"/>
        <v/>
      </c>
      <c r="I109" s="487">
        <f t="shared" si="19"/>
        <v>288666.66666667</v>
      </c>
      <c r="J109" s="487">
        <f t="shared" ref="J109" si="308">IFERROR(IF($C109="-","",IF(D109="",0,IF(E109="正規職員",I109,MIN(H109:I109)))),0)</f>
        <v>0</v>
      </c>
      <c r="K109" s="488" t="str">
        <f t="shared" si="306"/>
        <v/>
      </c>
      <c r="L109" s="343">
        <f t="shared" si="300"/>
        <v>12</v>
      </c>
      <c r="M109" s="343" t="e">
        <f>VLOOKUP($D109&amp;M$5,'②-2勤務時間数入力'!$D$7:$Q$106,$L109,FALSE)</f>
        <v>#N/A</v>
      </c>
      <c r="N109" s="343" t="str">
        <f t="shared" si="290"/>
        <v>×</v>
      </c>
      <c r="O109" s="343" t="e">
        <f>VLOOKUP($D109&amp;O$5,'②-2勤務時間数入力'!$D$7:$Q$106,$L109,FALSE)</f>
        <v>#N/A</v>
      </c>
      <c r="P109" s="343" t="str">
        <f t="shared" si="291"/>
        <v>×</v>
      </c>
      <c r="Q109" s="343" t="e">
        <f>VLOOKUP($D109&amp;Q$5,'②-2勤務時間数入力'!$D$7:$Q$106,$L109,FALSE)</f>
        <v>#N/A</v>
      </c>
      <c r="R109" s="343" t="str">
        <f t="shared" si="292"/>
        <v>×</v>
      </c>
      <c r="S109" s="343" t="e">
        <f>VLOOKUP($D109&amp;S$5,'②-2勤務時間数入力'!$D$7:$Q$106,$L109,FALSE)</f>
        <v>#N/A</v>
      </c>
      <c r="T109" s="343" t="str">
        <f t="shared" si="293"/>
        <v>×</v>
      </c>
      <c r="W109" s="455" t="str">
        <f>IFERROR(IF(AND(C109="保育士等",D109="",D110=""),"×","〇"),"〇")</f>
        <v>〇</v>
      </c>
      <c r="X109" s="455" t="str">
        <f t="shared" si="183"/>
        <v>〇</v>
      </c>
    </row>
    <row r="110" spans="1:24" ht="13.5" customHeight="1">
      <c r="A110" s="861"/>
      <c r="B110" s="864"/>
      <c r="C110" s="865"/>
      <c r="D110" s="546" t="str">
        <f t="shared" si="301"/>
        <v/>
      </c>
      <c r="E110" s="486" t="str">
        <f t="shared" si="302"/>
        <v/>
      </c>
      <c r="F110" s="487" t="str">
        <f t="shared" si="303"/>
        <v/>
      </c>
      <c r="G110" s="555" t="e">
        <f>IF($B105="-","",IF($E110="正規職員","-",IF(AND(EXACT(B94,B105),EXACT(D99,D110),EXACT(E99,E110)),G99,"賃金単価を記載")))</f>
        <v>#N/A</v>
      </c>
      <c r="H110" s="487" t="str">
        <f>IF($D110="","",IF($E110="正規職員","-",F110*G110))</f>
        <v/>
      </c>
      <c r="I110" s="487">
        <f t="shared" si="19"/>
        <v>288666.66666667</v>
      </c>
      <c r="J110" s="487">
        <f t="shared" ref="J110" si="309">IFERROR(IF($C109="-","",IF(D110="","",IF(E110="正規職員",I110-J109,MIN(MIN(H110:I110),I109-J109)))),0)</f>
        <v>0</v>
      </c>
      <c r="K110" s="488" t="str">
        <f t="shared" si="306"/>
        <v/>
      </c>
      <c r="L110" s="343">
        <f t="shared" si="300"/>
        <v>12</v>
      </c>
      <c r="M110" s="343" t="e">
        <f>VLOOKUP($D110&amp;M$5,'②-2勤務時間数入力'!$D$7:$Q$106,$L110,FALSE)</f>
        <v>#N/A</v>
      </c>
      <c r="N110" s="343" t="str">
        <f t="shared" si="290"/>
        <v>×</v>
      </c>
      <c r="O110" s="343" t="e">
        <f>VLOOKUP($D110&amp;O$5,'②-2勤務時間数入力'!$D$7:$Q$106,$L110,FALSE)</f>
        <v>#N/A</v>
      </c>
      <c r="P110" s="343" t="str">
        <f t="shared" si="291"/>
        <v>×</v>
      </c>
      <c r="Q110" s="343" t="e">
        <f>VLOOKUP($D110&amp;Q$5,'②-2勤務時間数入力'!$D$7:$Q$106,$L110,FALSE)</f>
        <v>#N/A</v>
      </c>
      <c r="R110" s="343" t="str">
        <f t="shared" si="292"/>
        <v>×</v>
      </c>
      <c r="S110" s="343" t="e">
        <f>VLOOKUP($D110&amp;S$5,'②-2勤務時間数入力'!$D$7:$Q$106,$L110,FALSE)</f>
        <v>#N/A</v>
      </c>
      <c r="T110" s="343" t="str">
        <f t="shared" si="293"/>
        <v>×</v>
      </c>
      <c r="X110" s="455" t="str">
        <f t="shared" si="183"/>
        <v>〇</v>
      </c>
    </row>
    <row r="111" spans="1:24" ht="13.5" customHeight="1">
      <c r="A111" s="861"/>
      <c r="B111" s="864"/>
      <c r="C111" s="863" t="e">
        <f t="shared" ref="C111" si="310">IF(B105&gt;3,C105,"-")</f>
        <v>#N/A</v>
      </c>
      <c r="D111" s="546" t="str">
        <f t="shared" si="301"/>
        <v/>
      </c>
      <c r="E111" s="486" t="str">
        <f t="shared" ref="E111:E114" si="311">IF(D111="","",IF(N111="○",M$5,IF(P111="○",O$5,IF(R111="○",Q$5,IF(T111="○",S$5,"ERROR")))))</f>
        <v/>
      </c>
      <c r="F111" s="487" t="str">
        <f t="shared" ref="F111:F114" si="312">IF(D111="","",IF(N111="○",M111,IF(P111="○",O111,IF(R111="○",Q111,IF(T111="○",S111,"ERROR")))))</f>
        <v/>
      </c>
      <c r="G111" s="555" t="e">
        <f>IF($B105="-","",IF($E111="正規職員","-",IF(AND(EXACT(B94,B105),EXACT(D100,D111),EXACT(E100,E111)),G100,"賃金単価を記載")))</f>
        <v>#N/A</v>
      </c>
      <c r="H111" s="487" t="str">
        <f t="shared" si="287"/>
        <v/>
      </c>
      <c r="I111" s="487">
        <f t="shared" si="19"/>
        <v>288666.66666667</v>
      </c>
      <c r="J111" s="487">
        <f t="shared" ref="J111" si="313">IFERROR(IF($C111="-","",IF(D111="",0,IF(E111="正規職員",I111,MIN(H111:I111)))),0)</f>
        <v>0</v>
      </c>
      <c r="K111" s="488" t="str">
        <f t="shared" ref="K111:K114" si="314">IF(D111="","",IF(OR(COUNTIFS(D111,"*要配慮*")=1,COUNTIFS(D111,"*医療的ケア*")=1),"○","エラー"))</f>
        <v/>
      </c>
      <c r="L111" s="343">
        <f t="shared" si="300"/>
        <v>12</v>
      </c>
      <c r="M111" s="343" t="e">
        <f>VLOOKUP($D111&amp;M$5,'②-2勤務時間数入力'!$D$7:$Q$106,$L111,FALSE)</f>
        <v>#N/A</v>
      </c>
      <c r="N111" s="343" t="str">
        <f t="shared" si="290"/>
        <v>×</v>
      </c>
      <c r="O111" s="343" t="e">
        <f>VLOOKUP($D111&amp;O$5,'②-2勤務時間数入力'!$D$7:$Q$106,$L111,FALSE)</f>
        <v>#N/A</v>
      </c>
      <c r="P111" s="343" t="str">
        <f t="shared" si="291"/>
        <v>×</v>
      </c>
      <c r="Q111" s="343" t="e">
        <f>VLOOKUP($D111&amp;Q$5,'②-2勤務時間数入力'!$D$7:$Q$106,$L111,FALSE)</f>
        <v>#N/A</v>
      </c>
      <c r="R111" s="343" t="str">
        <f t="shared" si="292"/>
        <v>×</v>
      </c>
      <c r="S111" s="343" t="e">
        <f>VLOOKUP($D111&amp;S$5,'②-2勤務時間数入力'!$D$7:$Q$106,$L111,FALSE)</f>
        <v>#N/A</v>
      </c>
      <c r="T111" s="343" t="str">
        <f t="shared" si="293"/>
        <v>×</v>
      </c>
      <c r="W111" s="455" t="str">
        <f>IFERROR(IF(AND(C111="保育士等",D111="",D112=""),"×","〇"),"〇")</f>
        <v>〇</v>
      </c>
      <c r="X111" s="455" t="str">
        <f t="shared" si="183"/>
        <v>〇</v>
      </c>
    </row>
    <row r="112" spans="1:24" ht="13.5" customHeight="1">
      <c r="A112" s="861"/>
      <c r="B112" s="864"/>
      <c r="C112" s="865"/>
      <c r="D112" s="546" t="str">
        <f>IF(D101="","",D101)</f>
        <v/>
      </c>
      <c r="E112" s="486" t="str">
        <f t="shared" si="311"/>
        <v/>
      </c>
      <c r="F112" s="487" t="str">
        <f t="shared" si="312"/>
        <v/>
      </c>
      <c r="G112" s="555" t="e">
        <f>IF($B105="-","",IF($E112="正規職員","-",IF(AND(EXACT(B94,B105),EXACT(D101,D112),EXACT(E101,E112)),G101,"賃金単価を記載")))</f>
        <v>#N/A</v>
      </c>
      <c r="H112" s="487" t="str">
        <f t="shared" si="287"/>
        <v/>
      </c>
      <c r="I112" s="487">
        <f t="shared" si="19"/>
        <v>288666.66666667</v>
      </c>
      <c r="J112" s="487">
        <f t="shared" ref="J112" si="315">IFERROR(IF($C111="-","",IF(D112="","",IF(E112="正規職員",I112-J111,MIN(MIN(H112:I112),I111-J111)))),0)</f>
        <v>0</v>
      </c>
      <c r="K112" s="488" t="str">
        <f t="shared" si="314"/>
        <v/>
      </c>
      <c r="L112" s="343">
        <f t="shared" si="300"/>
        <v>12</v>
      </c>
      <c r="M112" s="343" t="e">
        <f>VLOOKUP($D112&amp;M$5,'②-2勤務時間数入力'!$D$7:$Q$106,$L112,FALSE)</f>
        <v>#N/A</v>
      </c>
      <c r="N112" s="343" t="str">
        <f t="shared" si="290"/>
        <v>×</v>
      </c>
      <c r="O112" s="343" t="e">
        <f>VLOOKUP($D112&amp;O$5,'②-2勤務時間数入力'!$D$7:$Q$106,$L112,FALSE)</f>
        <v>#N/A</v>
      </c>
      <c r="P112" s="343" t="str">
        <f t="shared" si="291"/>
        <v>×</v>
      </c>
      <c r="Q112" s="343" t="e">
        <f>VLOOKUP($D112&amp;Q$5,'②-2勤務時間数入力'!$D$7:$Q$106,$L112,FALSE)</f>
        <v>#N/A</v>
      </c>
      <c r="R112" s="343" t="str">
        <f t="shared" si="292"/>
        <v>×</v>
      </c>
      <c r="S112" s="343" t="e">
        <f>VLOOKUP($D112&amp;S$5,'②-2勤務時間数入力'!$D$7:$Q$106,$L112,FALSE)</f>
        <v>#N/A</v>
      </c>
      <c r="T112" s="343" t="str">
        <f t="shared" si="293"/>
        <v>×</v>
      </c>
      <c r="X112" s="455" t="str">
        <f t="shared" si="183"/>
        <v>〇</v>
      </c>
    </row>
    <row r="113" spans="1:24" ht="13.5" customHeight="1">
      <c r="A113" s="861"/>
      <c r="B113" s="864"/>
      <c r="C113" s="863" t="e">
        <f t="shared" ref="C113" si="316">IF(B105&gt;4,C105,"-")</f>
        <v>#N/A</v>
      </c>
      <c r="D113" s="546" t="str">
        <f t="shared" si="301"/>
        <v/>
      </c>
      <c r="E113" s="486" t="str">
        <f t="shared" si="311"/>
        <v/>
      </c>
      <c r="F113" s="487" t="str">
        <f t="shared" si="312"/>
        <v/>
      </c>
      <c r="G113" s="555" t="e">
        <f>IF($B105="-","",IF($E113="正規職員","-",IF(AND(EXACT(B94,B105),EXACT(D102,D113),EXACT(E102,E113)),G102,"賃金単価を記載")))</f>
        <v>#N/A</v>
      </c>
      <c r="H113" s="487" t="str">
        <f>IF($D113="","",IF($E113="正規職員","-",F113*G113))</f>
        <v/>
      </c>
      <c r="I113" s="487">
        <f t="shared" si="19"/>
        <v>288666.66666667</v>
      </c>
      <c r="J113" s="487">
        <f t="shared" ref="J113" si="317">IFERROR(IF($C113="-","",IF(D113="",0,IF(E113="正規職員",I113,MIN(H113:I113)))),0)</f>
        <v>0</v>
      </c>
      <c r="K113" s="488" t="str">
        <f t="shared" si="314"/>
        <v/>
      </c>
      <c r="L113" s="343">
        <f t="shared" si="300"/>
        <v>12</v>
      </c>
      <c r="M113" s="343" t="e">
        <f>VLOOKUP($D113&amp;M$5,'②-2勤務時間数入力'!$D$7:$Q$106,$L113,FALSE)</f>
        <v>#N/A</v>
      </c>
      <c r="N113" s="343" t="str">
        <f t="shared" si="290"/>
        <v>×</v>
      </c>
      <c r="O113" s="343" t="e">
        <f>VLOOKUP($D113&amp;O$5,'②-2勤務時間数入力'!$D$7:$Q$106,$L113,FALSE)</f>
        <v>#N/A</v>
      </c>
      <c r="P113" s="343" t="str">
        <f t="shared" si="291"/>
        <v>×</v>
      </c>
      <c r="Q113" s="343" t="e">
        <f>VLOOKUP($D113&amp;Q$5,'②-2勤務時間数入力'!$D$7:$Q$106,$L113,FALSE)</f>
        <v>#N/A</v>
      </c>
      <c r="R113" s="343" t="str">
        <f t="shared" si="292"/>
        <v>×</v>
      </c>
      <c r="S113" s="343" t="e">
        <f>VLOOKUP($D113&amp;S$5,'②-2勤務時間数入力'!$D$7:$Q$106,$L113,FALSE)</f>
        <v>#N/A</v>
      </c>
      <c r="T113" s="343" t="str">
        <f t="shared" si="293"/>
        <v>×</v>
      </c>
      <c r="W113" s="455" t="str">
        <f>IFERROR(IF(AND(C113="保育士等",D113="",D114=""),"×","〇"),"〇")</f>
        <v>〇</v>
      </c>
      <c r="X113" s="455" t="str">
        <f t="shared" si="183"/>
        <v>〇</v>
      </c>
    </row>
    <row r="114" spans="1:24" ht="13.5" customHeight="1">
      <c r="A114" s="880"/>
      <c r="B114" s="864"/>
      <c r="C114" s="865"/>
      <c r="D114" s="546" t="str">
        <f t="shared" si="301"/>
        <v/>
      </c>
      <c r="E114" s="486" t="str">
        <f t="shared" si="311"/>
        <v/>
      </c>
      <c r="F114" s="487" t="str">
        <f t="shared" si="312"/>
        <v/>
      </c>
      <c r="G114" s="555" t="e">
        <f>IF($B105="-","",IF($E114="正規職員","-",IF(AND(EXACT(B94,B105),EXACT(D103,D114),EXACT(E103,E114)),G103,"賃金単価を記載")))</f>
        <v>#N/A</v>
      </c>
      <c r="H114" s="487" t="str">
        <f>IF($D114="","",IF($E114="正規職員","-",F114*G114))</f>
        <v/>
      </c>
      <c r="I114" s="487">
        <f t="shared" si="19"/>
        <v>288666.66666667</v>
      </c>
      <c r="J114" s="487">
        <f t="shared" ref="J114" si="318">IFERROR(IF($C113="-","",IF(D114="","",IF(E114="正規職員",I114-J113,MIN(MIN(H114:I114),I113-J113)))),0)</f>
        <v>0</v>
      </c>
      <c r="K114" s="488" t="str">
        <f t="shared" si="314"/>
        <v/>
      </c>
      <c r="L114" s="343">
        <f t="shared" si="300"/>
        <v>12</v>
      </c>
      <c r="M114" s="343" t="e">
        <f>VLOOKUP($D114&amp;M$5,'②-2勤務時間数入力'!$D$7:$Q$106,$L114,FALSE)</f>
        <v>#N/A</v>
      </c>
      <c r="N114" s="343" t="str">
        <f t="shared" si="290"/>
        <v>×</v>
      </c>
      <c r="O114" s="343" t="e">
        <f>VLOOKUP($D114&amp;O$5,'②-2勤務時間数入力'!$D$7:$Q$106,$L114,FALSE)</f>
        <v>#N/A</v>
      </c>
      <c r="P114" s="343" t="str">
        <f t="shared" si="291"/>
        <v>×</v>
      </c>
      <c r="Q114" s="343" t="e">
        <f>VLOOKUP($D114&amp;Q$5,'②-2勤務時間数入力'!$D$7:$Q$106,$L114,FALSE)</f>
        <v>#N/A</v>
      </c>
      <c r="R114" s="343" t="str">
        <f t="shared" si="292"/>
        <v>×</v>
      </c>
      <c r="S114" s="343" t="e">
        <f>VLOOKUP($D114&amp;S$5,'②-2勤務時間数入力'!$D$7:$Q$106,$L114,FALSE)</f>
        <v>#N/A</v>
      </c>
      <c r="T114" s="343" t="str">
        <f t="shared" si="293"/>
        <v>×</v>
      </c>
      <c r="X114" s="455" t="str">
        <f t="shared" si="183"/>
        <v>〇</v>
      </c>
    </row>
    <row r="115" spans="1:24" ht="13.5" customHeight="1">
      <c r="A115" s="845"/>
      <c r="B115" s="865"/>
      <c r="C115" s="501"/>
      <c r="D115" s="342" t="s">
        <v>264</v>
      </c>
      <c r="E115" s="486" t="s">
        <v>255</v>
      </c>
      <c r="F115" s="497"/>
      <c r="G115" s="486" t="s">
        <v>255</v>
      </c>
      <c r="H115" s="486" t="s">
        <v>255</v>
      </c>
      <c r="I115" s="486" t="s">
        <v>255</v>
      </c>
      <c r="J115" s="487">
        <f t="shared" ref="J115" si="319">IFERROR(IF(J105="","",MIN(SUM(J105:J114),(B105*I105))),0)</f>
        <v>0</v>
      </c>
      <c r="K115" s="488"/>
      <c r="L115" s="343"/>
      <c r="M115" s="343"/>
      <c r="N115" s="343"/>
      <c r="O115" s="343"/>
      <c r="P115" s="343"/>
      <c r="Q115" s="343"/>
      <c r="R115" s="343"/>
      <c r="S115" s="343"/>
      <c r="T115" s="343"/>
      <c r="X115" s="455" t="str">
        <f t="shared" si="183"/>
        <v>〇</v>
      </c>
    </row>
    <row r="116" spans="1:24" ht="13.5" customHeight="1">
      <c r="A116" s="844">
        <v>2</v>
      </c>
      <c r="B116" s="863" t="e">
        <f>加算判定!M14</f>
        <v>#N/A</v>
      </c>
      <c r="C116" s="863" t="e">
        <f>加算判定!N14</f>
        <v>#N/A</v>
      </c>
      <c r="D116" s="546" t="str">
        <f>IF(D105="","",D105)</f>
        <v/>
      </c>
      <c r="E116" s="486" t="str">
        <f>IF(D116="","",IF(N116="○",M$5,IF(P116="○",O$5,IF(R116="○",Q$5,IF(T116="○",S$5,"ERROR")))))</f>
        <v/>
      </c>
      <c r="F116" s="487" t="str">
        <f>IF(D116="","",IF(N116="○",M116,IF(P116="○",O116,IF(R116="○",Q116,IF(T116="○",S116,"ERROR")))))</f>
        <v/>
      </c>
      <c r="G116" s="555" t="e">
        <f>IF($B116="-","",IF($E116="正規職員","-",IF(AND(EXACT(B105,B116),EXACT(D105,D116),EXACT(E105,E116)),G105,"賃金単価を記載")))</f>
        <v>#N/A</v>
      </c>
      <c r="H116" s="487" t="str">
        <f t="shared" ref="H116:H123" si="320">IF($D116="","",IF($E116="正規職員","-",F116*G116))</f>
        <v/>
      </c>
      <c r="I116" s="487">
        <f t="shared" si="19"/>
        <v>288666.66666667</v>
      </c>
      <c r="J116" s="487">
        <f t="shared" ref="J116" si="321">IFERROR(IF($C116="-","",IF(D116="",0,IF(E116="正規職員",I116,MIN(H116:I116)))),0)</f>
        <v>0</v>
      </c>
      <c r="K116" s="488" t="str">
        <f>IF(D116="","",IF(OR(COUNTIFS(D116,"*要配慮*")=1,COUNTIFS(D116,"*医療的ケア*")=1),"○","エラー"))</f>
        <v/>
      </c>
      <c r="L116" s="343">
        <f t="shared" ref="L116" si="322">L105+1</f>
        <v>13</v>
      </c>
      <c r="M116" s="343" t="e">
        <f>VLOOKUP($D116&amp;M$5,'②-2勤務時間数入力'!$D$7:$Q$106,$L116,FALSE)</f>
        <v>#N/A</v>
      </c>
      <c r="N116" s="343" t="str">
        <f t="shared" ref="N116:N125" si="323">IF(ISERROR(M116),"×",IF(M116="-","×","○"))</f>
        <v>×</v>
      </c>
      <c r="O116" s="343" t="e">
        <f>VLOOKUP($D116&amp;O$5,'②-2勤務時間数入力'!$D$7:$Q$106,$L116,FALSE)</f>
        <v>#N/A</v>
      </c>
      <c r="P116" s="343" t="str">
        <f t="shared" ref="P116:P125" si="324">IF(ISERROR(O116),"×",IF(O116="-","×","○"))</f>
        <v>×</v>
      </c>
      <c r="Q116" s="343" t="e">
        <f>VLOOKUP($D116&amp;Q$5,'②-2勤務時間数入力'!$D$7:$Q$106,$L116,FALSE)</f>
        <v>#N/A</v>
      </c>
      <c r="R116" s="343" t="str">
        <f t="shared" ref="R116:R125" si="325">IF(ISERROR(Q116),"×",IF(Q116="-","×","○"))</f>
        <v>×</v>
      </c>
      <c r="S116" s="343" t="e">
        <f>VLOOKUP($D116&amp;S$5,'②-2勤務時間数入力'!$D$7:$Q$106,$L116,FALSE)</f>
        <v>#N/A</v>
      </c>
      <c r="T116" s="343" t="str">
        <f t="shared" ref="T116:T125" si="326">IF(ISERROR(S116),"×",IF(S116="-","×","○"))</f>
        <v>×</v>
      </c>
      <c r="W116" s="455" t="str">
        <f>IFERROR(IF(AND(C116="保育士等",D116="",D117=""),"×","〇"),"〇")</f>
        <v>〇</v>
      </c>
      <c r="X116" s="455" t="str">
        <f t="shared" si="183"/>
        <v>〇</v>
      </c>
    </row>
    <row r="117" spans="1:24" ht="13.5" customHeight="1">
      <c r="A117" s="861"/>
      <c r="B117" s="864"/>
      <c r="C117" s="865"/>
      <c r="D117" s="546" t="str">
        <f>IF(D106="","",D106)</f>
        <v/>
      </c>
      <c r="E117" s="486" t="str">
        <f t="shared" ref="E117:E121" si="327">IF(D117="","",IF(N117="○",M$5,IF(P117="○",O$5,IF(R117="○",Q$5,IF(T117="○",S$5,"ERROR")))))</f>
        <v/>
      </c>
      <c r="F117" s="487" t="str">
        <f t="shared" ref="F117:F121" si="328">IF(D117="","",IF(N117="○",M117,IF(P117="○",O117,IF(R117="○",Q117,IF(T117="○",S117,"ERROR")))))</f>
        <v/>
      </c>
      <c r="G117" s="555" t="e">
        <f>IF($B116="-","",IF($E117="正規職員","-",IF(AND(EXACT(B105,B116),EXACT(D108,D117),EXACT(E108,E117)),G108,"賃金単価を記載")))</f>
        <v>#N/A</v>
      </c>
      <c r="H117" s="487" t="str">
        <f t="shared" ref="H117:H120" si="329">IF($D117="","",IF($E117="正規職員","-",F117*G117))</f>
        <v/>
      </c>
      <c r="I117" s="487">
        <f t="shared" si="19"/>
        <v>288666.66666667</v>
      </c>
      <c r="J117" s="487">
        <f t="shared" ref="J117" si="330">IFERROR(IF($C116="-","",IF(D117="","",IF(E117="正規職員",I117-J116,MIN(MIN(H117:I117),I116-J116)))),0)</f>
        <v>0</v>
      </c>
      <c r="K117" s="488" t="str">
        <f t="shared" ref="K117:K121" si="331">IF(D117="","",IF(OR(COUNTIFS(D117,"*要配慮*")=1,COUNTIFS(D117,"*医療的ケア*")=1),"○","エラー"))</f>
        <v/>
      </c>
      <c r="L117" s="343">
        <f>L116</f>
        <v>13</v>
      </c>
      <c r="M117" s="343" t="e">
        <f>VLOOKUP($D117&amp;M$5,'②-2勤務時間数入力'!$D$7:$Q$106,$L117,FALSE)</f>
        <v>#N/A</v>
      </c>
      <c r="N117" s="343" t="str">
        <f t="shared" si="323"/>
        <v>×</v>
      </c>
      <c r="O117" s="343" t="e">
        <f>VLOOKUP($D117&amp;O$5,'②-2勤務時間数入力'!$D$7:$Q$106,$L117,FALSE)</f>
        <v>#N/A</v>
      </c>
      <c r="P117" s="343" t="str">
        <f t="shared" si="324"/>
        <v>×</v>
      </c>
      <c r="Q117" s="343" t="e">
        <f>VLOOKUP($D117&amp;Q$5,'②-2勤務時間数入力'!$D$7:$Q$106,$L117,FALSE)</f>
        <v>#N/A</v>
      </c>
      <c r="R117" s="343" t="str">
        <f t="shared" si="325"/>
        <v>×</v>
      </c>
      <c r="S117" s="343" t="e">
        <f>VLOOKUP($D117&amp;S$5,'②-2勤務時間数入力'!$D$7:$Q$106,$L117,FALSE)</f>
        <v>#N/A</v>
      </c>
      <c r="T117" s="343" t="str">
        <f t="shared" si="326"/>
        <v>×</v>
      </c>
      <c r="X117" s="455" t="str">
        <f t="shared" si="183"/>
        <v>〇</v>
      </c>
    </row>
    <row r="118" spans="1:24" ht="13.5" customHeight="1">
      <c r="A118" s="861"/>
      <c r="B118" s="864"/>
      <c r="C118" s="863" t="e">
        <f t="shared" ref="C118" si="332">IF(B116&gt;1,C116,"-")</f>
        <v>#N/A</v>
      </c>
      <c r="D118" s="546" t="str">
        <f>IF(D107="","",D107)</f>
        <v/>
      </c>
      <c r="E118" s="486" t="str">
        <f t="shared" ref="E118:E119" si="333">IF(D118="","",IF(N118="○",M$5,IF(P118="○",O$5,IF(R118="○",Q$5,IF(T118="○",S$5,"ERROR")))))</f>
        <v/>
      </c>
      <c r="F118" s="487" t="str">
        <f t="shared" ref="F118:F119" si="334">IF(D118="","",IF(N118="○",M118,IF(P118="○",O118,IF(R118="○",Q118,IF(T118="○",S118,"ERROR")))))</f>
        <v/>
      </c>
      <c r="G118" s="555" t="e">
        <f>IF($B116="-","",IF($E118="正規職員","-",IF(AND(EXACT(B105,B116),EXACT(D107,D118),EXACT(E107,E118)),G107,"賃金単価を記載")))</f>
        <v>#N/A</v>
      </c>
      <c r="H118" s="487" t="str">
        <f t="shared" ref="H118" si="335">IF($D118="","",IF($E118="正規職員","-",F118*G118))</f>
        <v/>
      </c>
      <c r="I118" s="487">
        <f t="shared" si="19"/>
        <v>288666.66666667</v>
      </c>
      <c r="J118" s="487">
        <f t="shared" ref="J118" si="336">IFERROR(IF($C118="-","",IF(D118="",0,IF(E118="正規職員",I118,MIN(H118:I118)))),0)</f>
        <v>0</v>
      </c>
      <c r="K118" s="488" t="str">
        <f t="shared" ref="K118:K119" si="337">IF(D118="","",IF(OR(COUNTIFS(D118,"*要配慮*")=1,COUNTIFS(D118,"*医療的ケア*")=1),"○","エラー"))</f>
        <v/>
      </c>
      <c r="L118" s="343">
        <f t="shared" ref="L118:L125" si="338">L117</f>
        <v>13</v>
      </c>
      <c r="M118" s="343" t="e">
        <f>VLOOKUP($D118&amp;M$5,'②-2勤務時間数入力'!$D$7:$Q$106,$L118,FALSE)</f>
        <v>#N/A</v>
      </c>
      <c r="N118" s="343" t="str">
        <f t="shared" si="323"/>
        <v>×</v>
      </c>
      <c r="O118" s="343" t="e">
        <f>VLOOKUP($D118&amp;O$5,'②-2勤務時間数入力'!$D$7:$Q$106,$L118,FALSE)</f>
        <v>#N/A</v>
      </c>
      <c r="P118" s="343" t="str">
        <f t="shared" si="324"/>
        <v>×</v>
      </c>
      <c r="Q118" s="343" t="e">
        <f>VLOOKUP($D118&amp;Q$5,'②-2勤務時間数入力'!$D$7:$Q$106,$L118,FALSE)</f>
        <v>#N/A</v>
      </c>
      <c r="R118" s="343" t="str">
        <f t="shared" si="325"/>
        <v>×</v>
      </c>
      <c r="S118" s="343" t="e">
        <f>VLOOKUP($D118&amp;S$5,'②-2勤務時間数入力'!$D$7:$Q$106,$L118,FALSE)</f>
        <v>#N/A</v>
      </c>
      <c r="T118" s="343" t="str">
        <f t="shared" si="326"/>
        <v>×</v>
      </c>
      <c r="W118" s="455" t="str">
        <f>IFERROR(IF(AND(C118="保育士等",D118="",D119=""),"×","〇"),"〇")</f>
        <v>〇</v>
      </c>
      <c r="X118" s="455" t="str">
        <f t="shared" si="183"/>
        <v>〇</v>
      </c>
    </row>
    <row r="119" spans="1:24" ht="13.5" customHeight="1">
      <c r="A119" s="861"/>
      <c r="B119" s="864"/>
      <c r="C119" s="865"/>
      <c r="D119" s="546" t="str">
        <f t="shared" ref="D119:D125" si="339">IF(D108="","",D108)</f>
        <v/>
      </c>
      <c r="E119" s="486" t="str">
        <f t="shared" si="333"/>
        <v/>
      </c>
      <c r="F119" s="487" t="str">
        <f t="shared" si="334"/>
        <v/>
      </c>
      <c r="G119" s="555" t="e">
        <f>IF($B116="","",IF($E119="正規職員","-",IF(AND(EXACT(B105,B116),EXACT(D108,D119),EXACT(E108,E119)),G108,"賃金単価を記載")))</f>
        <v>#N/A</v>
      </c>
      <c r="H119" s="487" t="str">
        <f>IF($D119="","",IF($E119="正規職員","-",F119*G119))</f>
        <v/>
      </c>
      <c r="I119" s="487">
        <f t="shared" si="19"/>
        <v>288666.66666667</v>
      </c>
      <c r="J119" s="487">
        <f t="shared" ref="J119" si="340">IFERROR(IF($C118="-","",IF(D119="","",IF(E119="正規職員",I119-J118,MIN(MIN(H119:I119),I118-J118)))),0)</f>
        <v>0</v>
      </c>
      <c r="K119" s="488" t="str">
        <f t="shared" si="337"/>
        <v/>
      </c>
      <c r="L119" s="343">
        <f t="shared" si="338"/>
        <v>13</v>
      </c>
      <c r="M119" s="343" t="e">
        <f>VLOOKUP($D119&amp;M$5,'②-2勤務時間数入力'!$D$7:$Q$106,$L119,FALSE)</f>
        <v>#N/A</v>
      </c>
      <c r="N119" s="343" t="str">
        <f t="shared" si="323"/>
        <v>×</v>
      </c>
      <c r="O119" s="343" t="e">
        <f>VLOOKUP($D119&amp;O$5,'②-2勤務時間数入力'!$D$7:$Q$106,$L119,FALSE)</f>
        <v>#N/A</v>
      </c>
      <c r="P119" s="343" t="str">
        <f t="shared" si="324"/>
        <v>×</v>
      </c>
      <c r="Q119" s="343" t="e">
        <f>VLOOKUP($D119&amp;Q$5,'②-2勤務時間数入力'!$D$7:$Q$106,$L119,FALSE)</f>
        <v>#N/A</v>
      </c>
      <c r="R119" s="343" t="str">
        <f t="shared" si="325"/>
        <v>×</v>
      </c>
      <c r="S119" s="343" t="e">
        <f>VLOOKUP($D119&amp;S$5,'②-2勤務時間数入力'!$D$7:$Q$106,$L119,FALSE)</f>
        <v>#N/A</v>
      </c>
      <c r="T119" s="343" t="str">
        <f t="shared" si="326"/>
        <v>×</v>
      </c>
      <c r="X119" s="455" t="str">
        <f t="shared" si="183"/>
        <v>〇</v>
      </c>
    </row>
    <row r="120" spans="1:24" ht="13.5" customHeight="1">
      <c r="A120" s="861"/>
      <c r="B120" s="864"/>
      <c r="C120" s="863" t="e">
        <f t="shared" ref="C120" si="341">IF(B116&gt;2,C116,"-")</f>
        <v>#N/A</v>
      </c>
      <c r="D120" s="546" t="str">
        <f t="shared" si="339"/>
        <v/>
      </c>
      <c r="E120" s="486" t="str">
        <f t="shared" si="327"/>
        <v/>
      </c>
      <c r="F120" s="487" t="str">
        <f t="shared" si="328"/>
        <v/>
      </c>
      <c r="G120" s="555" t="e">
        <f>IF($B116="-","",IF($E120="正規職員","-",IF(AND(EXACT(B105,B116),EXACT(D109,D120),EXACT(E109,E120)),G109,"賃金単価を記載")))</f>
        <v>#N/A</v>
      </c>
      <c r="H120" s="487" t="str">
        <f t="shared" si="329"/>
        <v/>
      </c>
      <c r="I120" s="487">
        <f t="shared" si="19"/>
        <v>288666.66666667</v>
      </c>
      <c r="J120" s="487">
        <f t="shared" ref="J120" si="342">IFERROR(IF($C120="-","",IF(D120="",0,IF(E120="正規職員",I120,MIN(H120:I120)))),0)</f>
        <v>0</v>
      </c>
      <c r="K120" s="488" t="str">
        <f t="shared" si="331"/>
        <v/>
      </c>
      <c r="L120" s="343">
        <f t="shared" si="338"/>
        <v>13</v>
      </c>
      <c r="M120" s="343" t="e">
        <f>VLOOKUP($D120&amp;M$5,'②-2勤務時間数入力'!$D$7:$Q$106,$L120,FALSE)</f>
        <v>#N/A</v>
      </c>
      <c r="N120" s="343" t="str">
        <f t="shared" si="323"/>
        <v>×</v>
      </c>
      <c r="O120" s="343" t="e">
        <f>VLOOKUP($D120&amp;O$5,'②-2勤務時間数入力'!$D$7:$Q$106,$L120,FALSE)</f>
        <v>#N/A</v>
      </c>
      <c r="P120" s="343" t="str">
        <f t="shared" si="324"/>
        <v>×</v>
      </c>
      <c r="Q120" s="343" t="e">
        <f>VLOOKUP($D120&amp;Q$5,'②-2勤務時間数入力'!$D$7:$Q$106,$L120,FALSE)</f>
        <v>#N/A</v>
      </c>
      <c r="R120" s="343" t="str">
        <f t="shared" si="325"/>
        <v>×</v>
      </c>
      <c r="S120" s="343" t="e">
        <f>VLOOKUP($D120&amp;S$5,'②-2勤務時間数入力'!$D$7:$Q$106,$L120,FALSE)</f>
        <v>#N/A</v>
      </c>
      <c r="T120" s="343" t="str">
        <f t="shared" si="326"/>
        <v>×</v>
      </c>
      <c r="W120" s="455" t="str">
        <f>IFERROR(IF(AND(C120="保育士等",D120="",D121=""),"×","〇"),"〇")</f>
        <v>〇</v>
      </c>
      <c r="X120" s="455" t="str">
        <f t="shared" si="183"/>
        <v>〇</v>
      </c>
    </row>
    <row r="121" spans="1:24" ht="13.5" customHeight="1">
      <c r="A121" s="861"/>
      <c r="B121" s="864"/>
      <c r="C121" s="865"/>
      <c r="D121" s="546" t="str">
        <f t="shared" si="339"/>
        <v/>
      </c>
      <c r="E121" s="486" t="str">
        <f t="shared" si="327"/>
        <v/>
      </c>
      <c r="F121" s="487" t="str">
        <f t="shared" si="328"/>
        <v/>
      </c>
      <c r="G121" s="555" t="e">
        <f>IF($B116="-","",IF($E121="正規職員","-",IF(AND(EXACT(B105,B116),EXACT(D110,D121),EXACT(E110,E121)),G110,"賃金単価を記載")))</f>
        <v>#N/A</v>
      </c>
      <c r="H121" s="487" t="str">
        <f>IF($D121="","",IF($E121="正規職員","-",F121*G121))</f>
        <v/>
      </c>
      <c r="I121" s="487">
        <f t="shared" si="19"/>
        <v>288666.66666667</v>
      </c>
      <c r="J121" s="487">
        <f t="shared" ref="J121" si="343">IFERROR(IF($C120="-","",IF(D121="","",IF(E121="正規職員",I121-J120,MIN(MIN(H121:I121),I120-J120)))),0)</f>
        <v>0</v>
      </c>
      <c r="K121" s="488" t="str">
        <f t="shared" si="331"/>
        <v/>
      </c>
      <c r="L121" s="343">
        <f t="shared" si="338"/>
        <v>13</v>
      </c>
      <c r="M121" s="343" t="e">
        <f>VLOOKUP($D121&amp;M$5,'②-2勤務時間数入力'!$D$7:$Q$106,$L121,FALSE)</f>
        <v>#N/A</v>
      </c>
      <c r="N121" s="343" t="str">
        <f t="shared" si="323"/>
        <v>×</v>
      </c>
      <c r="O121" s="343" t="e">
        <f>VLOOKUP($D121&amp;O$5,'②-2勤務時間数入力'!$D$7:$Q$106,$L121,FALSE)</f>
        <v>#N/A</v>
      </c>
      <c r="P121" s="343" t="str">
        <f t="shared" si="324"/>
        <v>×</v>
      </c>
      <c r="Q121" s="343" t="e">
        <f>VLOOKUP($D121&amp;Q$5,'②-2勤務時間数入力'!$D$7:$Q$106,$L121,FALSE)</f>
        <v>#N/A</v>
      </c>
      <c r="R121" s="343" t="str">
        <f t="shared" si="325"/>
        <v>×</v>
      </c>
      <c r="S121" s="343" t="e">
        <f>VLOOKUP($D121&amp;S$5,'②-2勤務時間数入力'!$D$7:$Q$106,$L121,FALSE)</f>
        <v>#N/A</v>
      </c>
      <c r="T121" s="343" t="str">
        <f t="shared" si="326"/>
        <v>×</v>
      </c>
      <c r="X121" s="455" t="str">
        <f t="shared" si="183"/>
        <v>〇</v>
      </c>
    </row>
    <row r="122" spans="1:24" ht="13.5" customHeight="1">
      <c r="A122" s="861"/>
      <c r="B122" s="864"/>
      <c r="C122" s="863" t="e">
        <f t="shared" ref="C122" si="344">IF(B116&gt;3,C116,"-")</f>
        <v>#N/A</v>
      </c>
      <c r="D122" s="546" t="str">
        <f t="shared" si="339"/>
        <v/>
      </c>
      <c r="E122" s="486" t="str">
        <f t="shared" ref="E122:E125" si="345">IF(D122="","",IF(N122="○",M$5,IF(P122="○",O$5,IF(R122="○",Q$5,IF(T122="○",S$5,"ERROR")))))</f>
        <v/>
      </c>
      <c r="F122" s="487" t="str">
        <f t="shared" ref="F122:F125" si="346">IF(D122="","",IF(N122="○",M122,IF(P122="○",O122,IF(R122="○",Q122,IF(T122="○",S122,"ERROR")))))</f>
        <v/>
      </c>
      <c r="G122" s="555" t="e">
        <f>IF($B116="-","",IF($E122="正規職員","-",IF(AND(EXACT(B105,B116),EXACT(D111,D122),EXACT(E111,E122)),G111,"賃金単価を記載")))</f>
        <v>#N/A</v>
      </c>
      <c r="H122" s="487" t="str">
        <f t="shared" si="320"/>
        <v/>
      </c>
      <c r="I122" s="487">
        <f t="shared" si="19"/>
        <v>288666.66666667</v>
      </c>
      <c r="J122" s="487">
        <f t="shared" ref="J122" si="347">IFERROR(IF($C122="-","",IF(D122="",0,IF(E122="正規職員",I122,MIN(H122:I122)))),0)</f>
        <v>0</v>
      </c>
      <c r="K122" s="488" t="str">
        <f t="shared" ref="K122:K125" si="348">IF(D122="","",IF(OR(COUNTIFS(D122,"*要配慮*")=1,COUNTIFS(D122,"*医療的ケア*")=1),"○","エラー"))</f>
        <v/>
      </c>
      <c r="L122" s="343">
        <f t="shared" si="338"/>
        <v>13</v>
      </c>
      <c r="M122" s="343" t="e">
        <f>VLOOKUP($D122&amp;M$5,'②-2勤務時間数入力'!$D$7:$Q$106,$L122,FALSE)</f>
        <v>#N/A</v>
      </c>
      <c r="N122" s="343" t="str">
        <f t="shared" si="323"/>
        <v>×</v>
      </c>
      <c r="O122" s="343" t="e">
        <f>VLOOKUP($D122&amp;O$5,'②-2勤務時間数入力'!$D$7:$Q$106,$L122,FALSE)</f>
        <v>#N/A</v>
      </c>
      <c r="P122" s="343" t="str">
        <f t="shared" si="324"/>
        <v>×</v>
      </c>
      <c r="Q122" s="343" t="e">
        <f>VLOOKUP($D122&amp;Q$5,'②-2勤務時間数入力'!$D$7:$Q$106,$L122,FALSE)</f>
        <v>#N/A</v>
      </c>
      <c r="R122" s="343" t="str">
        <f t="shared" si="325"/>
        <v>×</v>
      </c>
      <c r="S122" s="343" t="e">
        <f>VLOOKUP($D122&amp;S$5,'②-2勤務時間数入力'!$D$7:$Q$106,$L122,FALSE)</f>
        <v>#N/A</v>
      </c>
      <c r="T122" s="343" t="str">
        <f t="shared" si="326"/>
        <v>×</v>
      </c>
      <c r="W122" s="455" t="str">
        <f>IFERROR(IF(AND(C122="保育士等",D122="",D123=""),"×","〇"),"〇")</f>
        <v>〇</v>
      </c>
      <c r="X122" s="455" t="str">
        <f t="shared" si="183"/>
        <v>〇</v>
      </c>
    </row>
    <row r="123" spans="1:24" ht="13.5" customHeight="1">
      <c r="A123" s="861"/>
      <c r="B123" s="864"/>
      <c r="C123" s="865"/>
      <c r="D123" s="546" t="str">
        <f>IF(D112="","",D112)</f>
        <v/>
      </c>
      <c r="E123" s="486" t="str">
        <f t="shared" si="345"/>
        <v/>
      </c>
      <c r="F123" s="487" t="str">
        <f t="shared" si="346"/>
        <v/>
      </c>
      <c r="G123" s="555" t="e">
        <f>IF($B116="-","",IF($E123="正規職員","-",IF(AND(EXACT(B105,B116),EXACT(D112,D123),EXACT(E112,E123)),G112,"賃金単価を記載")))</f>
        <v>#N/A</v>
      </c>
      <c r="H123" s="487" t="str">
        <f t="shared" si="320"/>
        <v/>
      </c>
      <c r="I123" s="487">
        <f t="shared" si="19"/>
        <v>288666.66666667</v>
      </c>
      <c r="J123" s="487">
        <f t="shared" ref="J123" si="349">IFERROR(IF($C122="-","",IF(D123="","",IF(E123="正規職員",I123-J122,MIN(MIN(H123:I123),I122-J122)))),0)</f>
        <v>0</v>
      </c>
      <c r="K123" s="488" t="str">
        <f t="shared" si="348"/>
        <v/>
      </c>
      <c r="L123" s="343">
        <f t="shared" si="338"/>
        <v>13</v>
      </c>
      <c r="M123" s="343" t="e">
        <f>VLOOKUP($D123&amp;M$5,'②-2勤務時間数入力'!$D$7:$Q$106,$L123,FALSE)</f>
        <v>#N/A</v>
      </c>
      <c r="N123" s="343" t="str">
        <f t="shared" si="323"/>
        <v>×</v>
      </c>
      <c r="O123" s="343" t="e">
        <f>VLOOKUP($D123&amp;O$5,'②-2勤務時間数入力'!$D$7:$Q$106,$L123,FALSE)</f>
        <v>#N/A</v>
      </c>
      <c r="P123" s="343" t="str">
        <f t="shared" si="324"/>
        <v>×</v>
      </c>
      <c r="Q123" s="343" t="e">
        <f>VLOOKUP($D123&amp;Q$5,'②-2勤務時間数入力'!$D$7:$Q$106,$L123,FALSE)</f>
        <v>#N/A</v>
      </c>
      <c r="R123" s="343" t="str">
        <f t="shared" si="325"/>
        <v>×</v>
      </c>
      <c r="S123" s="343" t="e">
        <f>VLOOKUP($D123&amp;S$5,'②-2勤務時間数入力'!$D$7:$Q$106,$L123,FALSE)</f>
        <v>#N/A</v>
      </c>
      <c r="T123" s="343" t="str">
        <f t="shared" si="326"/>
        <v>×</v>
      </c>
      <c r="X123" s="455" t="str">
        <f t="shared" si="183"/>
        <v>〇</v>
      </c>
    </row>
    <row r="124" spans="1:24" ht="13.5" customHeight="1">
      <c r="A124" s="861"/>
      <c r="B124" s="864"/>
      <c r="C124" s="863" t="e">
        <f t="shared" ref="C124" si="350">IF(B116&gt;4,C116,"-")</f>
        <v>#N/A</v>
      </c>
      <c r="D124" s="546" t="str">
        <f t="shared" si="339"/>
        <v/>
      </c>
      <c r="E124" s="486" t="str">
        <f t="shared" si="345"/>
        <v/>
      </c>
      <c r="F124" s="487" t="str">
        <f t="shared" si="346"/>
        <v/>
      </c>
      <c r="G124" s="555" t="e">
        <f>IF($B116="-","",IF($E124="正規職員","-",IF(AND(EXACT(B105,B116),EXACT(D113,D124),EXACT(E113,E124)),G113,"賃金単価を記載")))</f>
        <v>#N/A</v>
      </c>
      <c r="H124" s="487" t="str">
        <f>IF($D124="","",IF($E124="正規職員","-",F124*G124))</f>
        <v/>
      </c>
      <c r="I124" s="487">
        <f t="shared" si="19"/>
        <v>288666.66666667</v>
      </c>
      <c r="J124" s="487">
        <f t="shared" ref="J124" si="351">IFERROR(IF($C124="-","",IF(D124="",0,IF(E124="正規職員",I124,MIN(H124:I124)))),0)</f>
        <v>0</v>
      </c>
      <c r="K124" s="488" t="str">
        <f t="shared" si="348"/>
        <v/>
      </c>
      <c r="L124" s="343">
        <f t="shared" si="338"/>
        <v>13</v>
      </c>
      <c r="M124" s="343" t="e">
        <f>VLOOKUP($D124&amp;M$5,'②-2勤務時間数入力'!$D$7:$Q$106,$L124,FALSE)</f>
        <v>#N/A</v>
      </c>
      <c r="N124" s="343" t="str">
        <f t="shared" si="323"/>
        <v>×</v>
      </c>
      <c r="O124" s="343" t="e">
        <f>VLOOKUP($D124&amp;O$5,'②-2勤務時間数入力'!$D$7:$Q$106,$L124,FALSE)</f>
        <v>#N/A</v>
      </c>
      <c r="P124" s="343" t="str">
        <f t="shared" si="324"/>
        <v>×</v>
      </c>
      <c r="Q124" s="343" t="e">
        <f>VLOOKUP($D124&amp;Q$5,'②-2勤務時間数入力'!$D$7:$Q$106,$L124,FALSE)</f>
        <v>#N/A</v>
      </c>
      <c r="R124" s="343" t="str">
        <f t="shared" si="325"/>
        <v>×</v>
      </c>
      <c r="S124" s="343" t="e">
        <f>VLOOKUP($D124&amp;S$5,'②-2勤務時間数入力'!$D$7:$Q$106,$L124,FALSE)</f>
        <v>#N/A</v>
      </c>
      <c r="T124" s="343" t="str">
        <f t="shared" si="326"/>
        <v>×</v>
      </c>
      <c r="W124" s="455" t="str">
        <f>IFERROR(IF(AND(C124="保育士等",D124="",D125=""),"×","〇"),"〇")</f>
        <v>〇</v>
      </c>
      <c r="X124" s="455" t="str">
        <f t="shared" si="183"/>
        <v>〇</v>
      </c>
    </row>
    <row r="125" spans="1:24" ht="13.5" customHeight="1">
      <c r="A125" s="880"/>
      <c r="B125" s="864"/>
      <c r="C125" s="865"/>
      <c r="D125" s="546" t="str">
        <f t="shared" si="339"/>
        <v/>
      </c>
      <c r="E125" s="486" t="str">
        <f t="shared" si="345"/>
        <v/>
      </c>
      <c r="F125" s="487" t="str">
        <f t="shared" si="346"/>
        <v/>
      </c>
      <c r="G125" s="555" t="e">
        <f>IF($B116="-","",IF($E125="正規職員","-",IF(AND(EXACT(B105,B116),EXACT(D114,D125),EXACT(E114,E125)),G114,"賃金単価を記載")))</f>
        <v>#N/A</v>
      </c>
      <c r="H125" s="487" t="str">
        <f>IF($D125="","",IF($E125="正規職員","-",F125*G125))</f>
        <v/>
      </c>
      <c r="I125" s="487">
        <f t="shared" si="19"/>
        <v>288666.66666667</v>
      </c>
      <c r="J125" s="487">
        <f t="shared" ref="J125" si="352">IFERROR(IF($C124="-","",IF(D125="","",IF(E125="正規職員",I125-J124,MIN(MIN(H125:I125),I124-J124)))),0)</f>
        <v>0</v>
      </c>
      <c r="K125" s="488" t="str">
        <f t="shared" si="348"/>
        <v/>
      </c>
      <c r="L125" s="343">
        <f t="shared" si="338"/>
        <v>13</v>
      </c>
      <c r="M125" s="343" t="e">
        <f>VLOOKUP($D125&amp;M$5,'②-2勤務時間数入力'!$D$7:$Q$106,$L125,FALSE)</f>
        <v>#N/A</v>
      </c>
      <c r="N125" s="343" t="str">
        <f t="shared" si="323"/>
        <v>×</v>
      </c>
      <c r="O125" s="343" t="e">
        <f>VLOOKUP($D125&amp;O$5,'②-2勤務時間数入力'!$D$7:$Q$106,$L125,FALSE)</f>
        <v>#N/A</v>
      </c>
      <c r="P125" s="343" t="str">
        <f t="shared" si="324"/>
        <v>×</v>
      </c>
      <c r="Q125" s="343" t="e">
        <f>VLOOKUP($D125&amp;Q$5,'②-2勤務時間数入力'!$D$7:$Q$106,$L125,FALSE)</f>
        <v>#N/A</v>
      </c>
      <c r="R125" s="343" t="str">
        <f t="shared" si="325"/>
        <v>×</v>
      </c>
      <c r="S125" s="343" t="e">
        <f>VLOOKUP($D125&amp;S$5,'②-2勤務時間数入力'!$D$7:$Q$106,$L125,FALSE)</f>
        <v>#N/A</v>
      </c>
      <c r="T125" s="343" t="str">
        <f t="shared" si="326"/>
        <v>×</v>
      </c>
      <c r="X125" s="455" t="str">
        <f t="shared" si="183"/>
        <v>〇</v>
      </c>
    </row>
    <row r="126" spans="1:24" ht="13.5" customHeight="1">
      <c r="A126" s="845"/>
      <c r="B126" s="865"/>
      <c r="C126" s="501"/>
      <c r="D126" s="342" t="s">
        <v>265</v>
      </c>
      <c r="E126" s="486" t="s">
        <v>255</v>
      </c>
      <c r="F126" s="497"/>
      <c r="G126" s="486" t="s">
        <v>255</v>
      </c>
      <c r="H126" s="486" t="s">
        <v>255</v>
      </c>
      <c r="I126" s="486" t="s">
        <v>255</v>
      </c>
      <c r="J126" s="487">
        <f t="shared" ref="J126" si="353">IFERROR(IF(J116="","",MIN(SUM(J116:J125),(B116*I116))),0)</f>
        <v>0</v>
      </c>
      <c r="K126" s="488"/>
      <c r="L126" s="343"/>
      <c r="M126" s="343"/>
      <c r="N126" s="343"/>
      <c r="O126" s="343"/>
      <c r="P126" s="343"/>
      <c r="Q126" s="343"/>
      <c r="R126" s="343"/>
      <c r="S126" s="343"/>
      <c r="T126" s="343"/>
      <c r="X126" s="455" t="str">
        <f t="shared" si="183"/>
        <v>〇</v>
      </c>
    </row>
    <row r="127" spans="1:24" ht="13.5" customHeight="1">
      <c r="A127" s="844">
        <v>3</v>
      </c>
      <c r="B127" s="863" t="e">
        <f>加算判定!M15</f>
        <v>#N/A</v>
      </c>
      <c r="C127" s="863" t="e">
        <f>加算判定!N15</f>
        <v>#N/A</v>
      </c>
      <c r="D127" s="546" t="str">
        <f t="shared" ref="D127" si="354">IF(D116="","",D116)</f>
        <v/>
      </c>
      <c r="E127" s="486" t="str">
        <f>IF(D127="","",IF(N127="○",M$5,IF(P127="○",O$5,IF(R127="○",Q$5,IF(T127="○",S$5,"ERROR")))))</f>
        <v/>
      </c>
      <c r="F127" s="487" t="str">
        <f t="shared" ref="F127:F136" si="355">IF(D127="","",IF(N127="○",M127,IF(P127="○",O127,IF(R127="○",Q127,IF(T127="○",S127,"ERROR")))))</f>
        <v/>
      </c>
      <c r="G127" s="555" t="e">
        <f>IF($B127="-","",IF($E127="正規職員","-",IF(AND(EXACT(B116,B127),EXACT(D116,D127),EXACT(E116,E127)),G116,"賃金単価を記載")))</f>
        <v>#N/A</v>
      </c>
      <c r="H127" s="487" t="str">
        <f t="shared" ref="H127:H134" si="356">IF($D127="","",IF($E127="正規職員","-",F127*G127))</f>
        <v/>
      </c>
      <c r="I127" s="487">
        <f t="shared" si="19"/>
        <v>288666.66666667</v>
      </c>
      <c r="J127" s="487">
        <f t="shared" ref="J127" si="357">IFERROR(IF($C127="-","",IF(D127="",0,IF(E127="正規職員",I127,MIN(H127:I127)))),0)</f>
        <v>0</v>
      </c>
      <c r="K127" s="488" t="str">
        <f>IF(D127="","",IF(OR(COUNTIFS(D127,"*要配慮*")=1,COUNTIFS(D127,"*医療的ケア*")=1),"○","エラー"))</f>
        <v/>
      </c>
      <c r="L127" s="343">
        <f t="shared" ref="L127" si="358">L116+1</f>
        <v>14</v>
      </c>
      <c r="M127" s="343" t="e">
        <f>VLOOKUP($D127&amp;M$5,'②-2勤務時間数入力'!$D$7:$Q$106,$L127,FALSE)</f>
        <v>#N/A</v>
      </c>
      <c r="N127" s="343" t="str">
        <f t="shared" ref="N127:N136" si="359">IF(ISERROR(M127),"×",IF(M127="-","×","○"))</f>
        <v>×</v>
      </c>
      <c r="O127" s="343" t="e">
        <f>VLOOKUP($D127&amp;O$5,'②-2勤務時間数入力'!$D$7:$Q$106,$L127,FALSE)</f>
        <v>#N/A</v>
      </c>
      <c r="P127" s="343" t="str">
        <f t="shared" ref="P127:P136" si="360">IF(ISERROR(O127),"×",IF(O127="-","×","○"))</f>
        <v>×</v>
      </c>
      <c r="Q127" s="343" t="e">
        <f>VLOOKUP($D127&amp;Q$5,'②-2勤務時間数入力'!$D$7:$Q$106,$L127,FALSE)</f>
        <v>#N/A</v>
      </c>
      <c r="R127" s="343" t="str">
        <f t="shared" ref="R127:R136" si="361">IF(ISERROR(Q127),"×",IF(Q127="-","×","○"))</f>
        <v>×</v>
      </c>
      <c r="S127" s="343" t="e">
        <f>VLOOKUP($D127&amp;S$5,'②-2勤務時間数入力'!$D$7:$Q$106,$L127,FALSE)</f>
        <v>#N/A</v>
      </c>
      <c r="T127" s="343" t="str">
        <f t="shared" ref="T127:T136" si="362">IF(ISERROR(S127),"×",IF(S127="-","×","○"))</f>
        <v>×</v>
      </c>
      <c r="W127" s="455" t="str">
        <f>IFERROR(IF(AND(C127="保育士等",D127="",D128=""),"×","〇"),"〇")</f>
        <v>〇</v>
      </c>
      <c r="X127" s="455" t="str">
        <f t="shared" si="183"/>
        <v>〇</v>
      </c>
    </row>
    <row r="128" spans="1:24" ht="13.5" customHeight="1">
      <c r="A128" s="861"/>
      <c r="B128" s="864"/>
      <c r="C128" s="865"/>
      <c r="D128" s="546" t="str">
        <f>IF(D117="","",D117)</f>
        <v/>
      </c>
      <c r="E128" s="486" t="str">
        <f t="shared" ref="E128:E129" si="363">IF(D128="","",IF(N128="○",M$5,IF(P128="○",O$5,IF(R128="○",Q$5,IF(T128="○",S$5,"ERROR")))))</f>
        <v/>
      </c>
      <c r="F128" s="487" t="str">
        <f t="shared" si="355"/>
        <v/>
      </c>
      <c r="G128" s="555" t="e">
        <f>IF($B127="-","",IF($E128="正規職員","-",IF(AND(EXACT(B116,B127),EXACT(D117,D128),EXACT(E117,E128)),G117,"賃金単価を記載")))</f>
        <v>#N/A</v>
      </c>
      <c r="H128" s="487" t="str">
        <f t="shared" si="356"/>
        <v/>
      </c>
      <c r="I128" s="487">
        <f t="shared" si="19"/>
        <v>288666.66666667</v>
      </c>
      <c r="J128" s="487">
        <f t="shared" ref="J128" si="364">IFERROR(IF($C127="-","",IF(D128="","",IF(E128="正規職員",I128-J127,MIN(MIN(H128:I128),I127-J127)))),0)</f>
        <v>0</v>
      </c>
      <c r="K128" s="488" t="str">
        <f t="shared" ref="K128:K129" si="365">IF(D128="","",IF(OR(COUNTIFS(D128,"*要配慮*")=1,COUNTIFS(D128,"*医療的ケア*")=1),"○","エラー"))</f>
        <v/>
      </c>
      <c r="L128" s="343">
        <f>L127</f>
        <v>14</v>
      </c>
      <c r="M128" s="343" t="e">
        <f>VLOOKUP($D128&amp;M$5,'②-2勤務時間数入力'!$D$7:$Q$106,$L128,FALSE)</f>
        <v>#N/A</v>
      </c>
      <c r="N128" s="343" t="str">
        <f t="shared" si="359"/>
        <v>×</v>
      </c>
      <c r="O128" s="343" t="e">
        <f>VLOOKUP($D128&amp;O$5,'②-2勤務時間数入力'!$D$7:$Q$106,$L128,FALSE)</f>
        <v>#N/A</v>
      </c>
      <c r="P128" s="343" t="str">
        <f t="shared" si="360"/>
        <v>×</v>
      </c>
      <c r="Q128" s="343" t="e">
        <f>VLOOKUP($D128&amp;Q$5,'②-2勤務時間数入力'!$D$7:$Q$106,$L128,FALSE)</f>
        <v>#N/A</v>
      </c>
      <c r="R128" s="343" t="str">
        <f t="shared" si="361"/>
        <v>×</v>
      </c>
      <c r="S128" s="343" t="e">
        <f>VLOOKUP($D128&amp;S$5,'②-2勤務時間数入力'!$D$7:$Q$106,$L128,FALSE)</f>
        <v>#N/A</v>
      </c>
      <c r="T128" s="343" t="str">
        <f t="shared" si="362"/>
        <v>×</v>
      </c>
      <c r="X128" s="455" t="str">
        <f t="shared" si="183"/>
        <v>〇</v>
      </c>
    </row>
    <row r="129" spans="1:24" ht="13.5" customHeight="1">
      <c r="A129" s="861"/>
      <c r="B129" s="864"/>
      <c r="C129" s="863" t="e">
        <f t="shared" ref="C129" si="366">IF(B127&gt;1,C127,"-")</f>
        <v>#N/A</v>
      </c>
      <c r="D129" s="546" t="str">
        <f>IF(D118="","",D118)</f>
        <v/>
      </c>
      <c r="E129" s="486" t="str">
        <f t="shared" si="363"/>
        <v/>
      </c>
      <c r="F129" s="487" t="str">
        <f t="shared" si="355"/>
        <v/>
      </c>
      <c r="G129" s="555" t="e">
        <f>IF($B127="-","",IF($E129="正規職員","-",IF(AND(EXACT(B116,B127),EXACT(D118,D129),EXACT(E118,E129)),G118,"賃金単価を記載")))</f>
        <v>#N/A</v>
      </c>
      <c r="H129" s="487" t="str">
        <f t="shared" si="356"/>
        <v/>
      </c>
      <c r="I129" s="487">
        <f t="shared" si="19"/>
        <v>288666.66666667</v>
      </c>
      <c r="J129" s="487">
        <f t="shared" ref="J129" si="367">IFERROR(IF($C129="-","",IF(D129="",0,IF(E129="正規職員",I129,MIN(H129:I129)))),0)</f>
        <v>0</v>
      </c>
      <c r="K129" s="488" t="str">
        <f t="shared" si="365"/>
        <v/>
      </c>
      <c r="L129" s="343">
        <f t="shared" ref="L129:L136" si="368">L128</f>
        <v>14</v>
      </c>
      <c r="M129" s="343" t="e">
        <f>VLOOKUP($D129&amp;M$5,'②-2勤務時間数入力'!$D$7:$Q$106,$L129,FALSE)</f>
        <v>#N/A</v>
      </c>
      <c r="N129" s="343" t="str">
        <f t="shared" si="359"/>
        <v>×</v>
      </c>
      <c r="O129" s="343" t="e">
        <f>VLOOKUP($D129&amp;O$5,'②-2勤務時間数入力'!$D$7:$Q$106,$L129,FALSE)</f>
        <v>#N/A</v>
      </c>
      <c r="P129" s="343" t="str">
        <f t="shared" si="360"/>
        <v>×</v>
      </c>
      <c r="Q129" s="343" t="e">
        <f>VLOOKUP($D129&amp;Q$5,'②-2勤務時間数入力'!$D$7:$Q$106,$L129,FALSE)</f>
        <v>#N/A</v>
      </c>
      <c r="R129" s="343" t="str">
        <f t="shared" si="361"/>
        <v>×</v>
      </c>
      <c r="S129" s="343" t="e">
        <f>VLOOKUP($D129&amp;S$5,'②-2勤務時間数入力'!$D$7:$Q$106,$L129,FALSE)</f>
        <v>#N/A</v>
      </c>
      <c r="T129" s="343" t="str">
        <f t="shared" si="362"/>
        <v>×</v>
      </c>
      <c r="W129" s="455" t="str">
        <f>IFERROR(IF(AND(C129="保育士等",D129="",D130=""),"×","〇"),"〇")</f>
        <v>〇</v>
      </c>
      <c r="X129" s="455" t="str">
        <f t="shared" si="183"/>
        <v>〇</v>
      </c>
    </row>
    <row r="130" spans="1:24" ht="13.5" customHeight="1">
      <c r="A130" s="861"/>
      <c r="B130" s="864"/>
      <c r="C130" s="865"/>
      <c r="D130" s="546" t="str">
        <f t="shared" ref="D130:D136" si="369">IF(D119="","",D119)</f>
        <v/>
      </c>
      <c r="E130" s="486" t="str">
        <f t="shared" ref="E130:E132" si="370">IF(D130="","",IF(N130="○",M$5,IF(P130="○",O$5,IF(R130="○",Q$5,IF(T130="○",S$5,"ERROR")))))</f>
        <v/>
      </c>
      <c r="F130" s="487" t="str">
        <f t="shared" ref="F130:F132" si="371">IF(D130="","",IF(N130="○",M130,IF(P130="○",O130,IF(R130="○",Q130,IF(T130="○",S130,"ERROR")))))</f>
        <v/>
      </c>
      <c r="G130" s="555" t="e">
        <f>IF($B127="-","",IF($E130="正規職員","-",IF(AND(EXACT(B116,B127),EXACT(D119,D130),EXACT(E119,E130)),G119,"賃金単価を記載")))</f>
        <v>#N/A</v>
      </c>
      <c r="H130" s="487" t="str">
        <f t="shared" ref="H130:H131" si="372">IF($D130="","",IF($E130="正規職員","-",F130*G130))</f>
        <v/>
      </c>
      <c r="I130" s="487">
        <f t="shared" si="19"/>
        <v>288666.66666667</v>
      </c>
      <c r="J130" s="487">
        <f t="shared" ref="J130" si="373">IFERROR(IF($C129="-","",IF(D130="","",IF(E130="正規職員",I130-J129,MIN(MIN(H130:I130),I129-J129)))),0)</f>
        <v>0</v>
      </c>
      <c r="K130" s="488" t="str">
        <f t="shared" ref="K130:K132" si="374">IF(D130="","",IF(OR(COUNTIFS(D130,"*要配慮*")=1,COUNTIFS(D130,"*医療的ケア*")=1),"○","エラー"))</f>
        <v/>
      </c>
      <c r="L130" s="343">
        <f t="shared" si="368"/>
        <v>14</v>
      </c>
      <c r="M130" s="343" t="e">
        <f>VLOOKUP($D130&amp;M$5,'②-2勤務時間数入力'!$D$7:$Q$106,$L130,FALSE)</f>
        <v>#N/A</v>
      </c>
      <c r="N130" s="343" t="str">
        <f t="shared" si="359"/>
        <v>×</v>
      </c>
      <c r="O130" s="343" t="e">
        <f>VLOOKUP($D130&amp;O$5,'②-2勤務時間数入力'!$D$7:$Q$106,$L130,FALSE)</f>
        <v>#N/A</v>
      </c>
      <c r="P130" s="343" t="str">
        <f t="shared" si="360"/>
        <v>×</v>
      </c>
      <c r="Q130" s="343" t="e">
        <f>VLOOKUP($D130&amp;Q$5,'②-2勤務時間数入力'!$D$7:$Q$106,$L130,FALSE)</f>
        <v>#N/A</v>
      </c>
      <c r="R130" s="343" t="str">
        <f t="shared" si="361"/>
        <v>×</v>
      </c>
      <c r="S130" s="343" t="e">
        <f>VLOOKUP($D130&amp;S$5,'②-2勤務時間数入力'!$D$7:$Q$106,$L130,FALSE)</f>
        <v>#N/A</v>
      </c>
      <c r="T130" s="343" t="str">
        <f t="shared" si="362"/>
        <v>×</v>
      </c>
      <c r="X130" s="455" t="str">
        <f t="shared" si="183"/>
        <v>〇</v>
      </c>
    </row>
    <row r="131" spans="1:24" ht="13.5" customHeight="1">
      <c r="A131" s="861"/>
      <c r="B131" s="864"/>
      <c r="C131" s="863" t="e">
        <f t="shared" ref="C131" si="375">IF(B127&gt;2,C127,"-")</f>
        <v>#N/A</v>
      </c>
      <c r="D131" s="546" t="str">
        <f t="shared" si="369"/>
        <v/>
      </c>
      <c r="E131" s="486" t="str">
        <f t="shared" si="370"/>
        <v/>
      </c>
      <c r="F131" s="487" t="str">
        <f t="shared" si="371"/>
        <v/>
      </c>
      <c r="G131" s="555" t="e">
        <f>IF($B127="-","",IF($E131="正規職員","-",IF(AND(EXACT(B116,B127),EXACT(D120,D131),EXACT(E120,E131)),G120,"賃金単価を記載")))</f>
        <v>#N/A</v>
      </c>
      <c r="H131" s="487" t="str">
        <f t="shared" si="372"/>
        <v/>
      </c>
      <c r="I131" s="487">
        <f t="shared" si="19"/>
        <v>288666.66666667</v>
      </c>
      <c r="J131" s="487">
        <f t="shared" ref="J131" si="376">IFERROR(IF($C131="-","",IF(D131="",0,IF(E131="正規職員",I131,MIN(H131:I131)))),0)</f>
        <v>0</v>
      </c>
      <c r="K131" s="488" t="str">
        <f t="shared" si="374"/>
        <v/>
      </c>
      <c r="L131" s="343">
        <f t="shared" si="368"/>
        <v>14</v>
      </c>
      <c r="M131" s="343" t="e">
        <f>VLOOKUP($D131&amp;M$5,'②-2勤務時間数入力'!$D$7:$Q$106,$L131,FALSE)</f>
        <v>#N/A</v>
      </c>
      <c r="N131" s="343" t="str">
        <f t="shared" si="359"/>
        <v>×</v>
      </c>
      <c r="O131" s="343" t="e">
        <f>VLOOKUP($D131&amp;O$5,'②-2勤務時間数入力'!$D$7:$Q$106,$L131,FALSE)</f>
        <v>#N/A</v>
      </c>
      <c r="P131" s="343" t="str">
        <f t="shared" si="360"/>
        <v>×</v>
      </c>
      <c r="Q131" s="343" t="e">
        <f>VLOOKUP($D131&amp;Q$5,'②-2勤務時間数入力'!$D$7:$Q$106,$L131,FALSE)</f>
        <v>#N/A</v>
      </c>
      <c r="R131" s="343" t="str">
        <f t="shared" si="361"/>
        <v>×</v>
      </c>
      <c r="S131" s="343" t="e">
        <f>VLOOKUP($D131&amp;S$5,'②-2勤務時間数入力'!$D$7:$Q$106,$L131,FALSE)</f>
        <v>#N/A</v>
      </c>
      <c r="T131" s="343" t="str">
        <f t="shared" si="362"/>
        <v>×</v>
      </c>
      <c r="W131" s="455" t="str">
        <f>IFERROR(IF(AND(C131="保育士等",D131="",D132=""),"×","〇"),"〇")</f>
        <v>〇</v>
      </c>
      <c r="X131" s="455" t="str">
        <f t="shared" si="183"/>
        <v>〇</v>
      </c>
    </row>
    <row r="132" spans="1:24" ht="13.5" customHeight="1">
      <c r="A132" s="861"/>
      <c r="B132" s="864"/>
      <c r="C132" s="865"/>
      <c r="D132" s="546" t="str">
        <f t="shared" si="369"/>
        <v/>
      </c>
      <c r="E132" s="486" t="str">
        <f t="shared" si="370"/>
        <v/>
      </c>
      <c r="F132" s="487" t="str">
        <f t="shared" si="371"/>
        <v/>
      </c>
      <c r="G132" s="555" t="e">
        <f>IF($B127="-","",IF($E132="正規職員","-",IF(AND(EXACT(B116,B127),EXACT(D121,D132),EXACT(E121,E132)),G121,"賃金単価を記載")))</f>
        <v>#N/A</v>
      </c>
      <c r="H132" s="487" t="str">
        <f>IF($D132="","",IF($E132="正規職員","-",F132*G132))</f>
        <v/>
      </c>
      <c r="I132" s="487">
        <f t="shared" si="19"/>
        <v>288666.66666667</v>
      </c>
      <c r="J132" s="487">
        <f t="shared" ref="J132" si="377">IFERROR(IF($C131="-","",IF(D132="","",IF(E132="正規職員",I132-J131,MIN(MIN(H132:I132),I131-J131)))),0)</f>
        <v>0</v>
      </c>
      <c r="K132" s="488" t="str">
        <f t="shared" si="374"/>
        <v/>
      </c>
      <c r="L132" s="343">
        <f t="shared" si="368"/>
        <v>14</v>
      </c>
      <c r="M132" s="343" t="e">
        <f>VLOOKUP($D132&amp;M$5,'②-2勤務時間数入力'!$D$7:$Q$106,$L132,FALSE)</f>
        <v>#N/A</v>
      </c>
      <c r="N132" s="343" t="str">
        <f t="shared" si="359"/>
        <v>×</v>
      </c>
      <c r="O132" s="343" t="e">
        <f>VLOOKUP($D132&amp;O$5,'②-2勤務時間数入力'!$D$7:$Q$106,$L132,FALSE)</f>
        <v>#N/A</v>
      </c>
      <c r="P132" s="343" t="str">
        <f t="shared" si="360"/>
        <v>×</v>
      </c>
      <c r="Q132" s="343" t="e">
        <f>VLOOKUP($D132&amp;Q$5,'②-2勤務時間数入力'!$D$7:$Q$106,$L132,FALSE)</f>
        <v>#N/A</v>
      </c>
      <c r="R132" s="343" t="str">
        <f t="shared" si="361"/>
        <v>×</v>
      </c>
      <c r="S132" s="343" t="e">
        <f>VLOOKUP($D132&amp;S$5,'②-2勤務時間数入力'!$D$7:$Q$106,$L132,FALSE)</f>
        <v>#N/A</v>
      </c>
      <c r="T132" s="343" t="str">
        <f t="shared" si="362"/>
        <v>×</v>
      </c>
      <c r="X132" s="455" t="str">
        <f t="shared" si="183"/>
        <v>〇</v>
      </c>
    </row>
    <row r="133" spans="1:24" ht="13.5" customHeight="1">
      <c r="A133" s="861"/>
      <c r="B133" s="864"/>
      <c r="C133" s="863" t="e">
        <f t="shared" ref="C133" si="378">IF(B127&gt;3,C127,"-")</f>
        <v>#N/A</v>
      </c>
      <c r="D133" s="546" t="str">
        <f t="shared" si="369"/>
        <v/>
      </c>
      <c r="E133" s="486" t="str">
        <f t="shared" ref="E133:E136" si="379">IF(D133="","",IF(N133="○",M$5,IF(P133="○",O$5,IF(R133="○",Q$5,IF(T133="○",S$5,"ERROR")))))</f>
        <v/>
      </c>
      <c r="F133" s="487" t="str">
        <f t="shared" si="355"/>
        <v/>
      </c>
      <c r="G133" s="555" t="e">
        <f>IF($B127="-","",IF($E133="正規職員","-",IF(AND(EXACT(B116,B127),EXACT(D122,D133),EXACT(E122,E133)),G122,"賃金単価を記載")))</f>
        <v>#N/A</v>
      </c>
      <c r="H133" s="487" t="str">
        <f t="shared" si="356"/>
        <v/>
      </c>
      <c r="I133" s="487">
        <f t="shared" si="19"/>
        <v>288666.66666667</v>
      </c>
      <c r="J133" s="487">
        <f t="shared" ref="J133" si="380">IFERROR(IF($C133="-","",IF(D133="",0,IF(E133="正規職員",I133,MIN(H133:I133)))),0)</f>
        <v>0</v>
      </c>
      <c r="K133" s="488" t="str">
        <f t="shared" ref="K133:K136" si="381">IF(D133="","",IF(OR(COUNTIFS(D133,"*要配慮*")=1,COUNTIFS(D133,"*医療的ケア*")=1),"○","エラー"))</f>
        <v/>
      </c>
      <c r="L133" s="343">
        <f t="shared" si="368"/>
        <v>14</v>
      </c>
      <c r="M133" s="343" t="e">
        <f>VLOOKUP($D133&amp;M$5,'②-2勤務時間数入力'!$D$7:$Q$106,$L133,FALSE)</f>
        <v>#N/A</v>
      </c>
      <c r="N133" s="343" t="str">
        <f t="shared" si="359"/>
        <v>×</v>
      </c>
      <c r="O133" s="343" t="e">
        <f>VLOOKUP($D133&amp;O$5,'②-2勤務時間数入力'!$D$7:$Q$106,$L133,FALSE)</f>
        <v>#N/A</v>
      </c>
      <c r="P133" s="343" t="str">
        <f t="shared" si="360"/>
        <v>×</v>
      </c>
      <c r="Q133" s="343" t="e">
        <f>VLOOKUP($D133&amp;Q$5,'②-2勤務時間数入力'!$D$7:$Q$106,$L133,FALSE)</f>
        <v>#N/A</v>
      </c>
      <c r="R133" s="343" t="str">
        <f t="shared" si="361"/>
        <v>×</v>
      </c>
      <c r="S133" s="343" t="e">
        <f>VLOOKUP($D133&amp;S$5,'②-2勤務時間数入力'!$D$7:$Q$106,$L133,FALSE)</f>
        <v>#N/A</v>
      </c>
      <c r="T133" s="343" t="str">
        <f t="shared" si="362"/>
        <v>×</v>
      </c>
      <c r="W133" s="455" t="str">
        <f>IFERROR(IF(AND(C133="保育士等",D133="",D134=""),"×","〇"),"〇")</f>
        <v>〇</v>
      </c>
      <c r="X133" s="455" t="str">
        <f t="shared" si="183"/>
        <v>〇</v>
      </c>
    </row>
    <row r="134" spans="1:24" ht="13.5" customHeight="1">
      <c r="A134" s="861"/>
      <c r="B134" s="864"/>
      <c r="C134" s="865"/>
      <c r="D134" s="546" t="str">
        <f>IF(D123="","",D123)</f>
        <v/>
      </c>
      <c r="E134" s="486" t="str">
        <f t="shared" si="379"/>
        <v/>
      </c>
      <c r="F134" s="487" t="str">
        <f t="shared" si="355"/>
        <v/>
      </c>
      <c r="G134" s="555" t="e">
        <f>IF($B127="-","",IF($E134="正規職員","-",IF(AND(EXACT(B116,B127),EXACT(D123,D134),EXACT(E123,E134)),G123,"賃金単価を記載")))</f>
        <v>#N/A</v>
      </c>
      <c r="H134" s="487" t="str">
        <f t="shared" si="356"/>
        <v/>
      </c>
      <c r="I134" s="487">
        <f t="shared" si="19"/>
        <v>288666.66666667</v>
      </c>
      <c r="J134" s="487">
        <f t="shared" ref="J134" si="382">IFERROR(IF($C133="-","",IF(D134="","",IF(E134="正規職員",I134-J133,MIN(MIN(H134:I134),I133-J133)))),0)</f>
        <v>0</v>
      </c>
      <c r="K134" s="488" t="str">
        <f t="shared" si="381"/>
        <v/>
      </c>
      <c r="L134" s="343">
        <f t="shared" si="368"/>
        <v>14</v>
      </c>
      <c r="M134" s="343" t="e">
        <f>VLOOKUP($D134&amp;M$5,'②-2勤務時間数入力'!$D$7:$Q$106,$L134,FALSE)</f>
        <v>#N/A</v>
      </c>
      <c r="N134" s="343" t="str">
        <f t="shared" si="359"/>
        <v>×</v>
      </c>
      <c r="O134" s="343" t="e">
        <f>VLOOKUP($D134&amp;O$5,'②-2勤務時間数入力'!$D$7:$Q$106,$L134,FALSE)</f>
        <v>#N/A</v>
      </c>
      <c r="P134" s="343" t="str">
        <f t="shared" si="360"/>
        <v>×</v>
      </c>
      <c r="Q134" s="343" t="e">
        <f>VLOOKUP($D134&amp;Q$5,'②-2勤務時間数入力'!$D$7:$Q$106,$L134,FALSE)</f>
        <v>#N/A</v>
      </c>
      <c r="R134" s="343" t="str">
        <f t="shared" si="361"/>
        <v>×</v>
      </c>
      <c r="S134" s="343" t="e">
        <f>VLOOKUP($D134&amp;S$5,'②-2勤務時間数入力'!$D$7:$Q$106,$L134,FALSE)</f>
        <v>#N/A</v>
      </c>
      <c r="T134" s="343" t="str">
        <f t="shared" si="362"/>
        <v>×</v>
      </c>
      <c r="X134" s="455" t="str">
        <f t="shared" si="183"/>
        <v>〇</v>
      </c>
    </row>
    <row r="135" spans="1:24" ht="13.5" customHeight="1">
      <c r="A135" s="861"/>
      <c r="B135" s="864"/>
      <c r="C135" s="863" t="e">
        <f t="shared" ref="C135" si="383">IF(B127&gt;4,C127,"-")</f>
        <v>#N/A</v>
      </c>
      <c r="D135" s="546" t="str">
        <f t="shared" si="369"/>
        <v/>
      </c>
      <c r="E135" s="486" t="str">
        <f t="shared" si="379"/>
        <v/>
      </c>
      <c r="F135" s="487" t="str">
        <f t="shared" si="355"/>
        <v/>
      </c>
      <c r="G135" s="555" t="e">
        <f>IF($B127="-","",IF($E135="正規職員","-",IF(AND(EXACT(B116,B127),EXACT(D124,D135),EXACT(E124,E135)),G124,"賃金単価を記載")))</f>
        <v>#N/A</v>
      </c>
      <c r="H135" s="487" t="str">
        <f>IF($D135="","",IF($E135="正規職員","-",F135*G135))</f>
        <v/>
      </c>
      <c r="I135" s="487">
        <f t="shared" si="19"/>
        <v>288666.66666667</v>
      </c>
      <c r="J135" s="487">
        <f t="shared" ref="J135" si="384">IFERROR(IF($C135="-","",IF(D135="",0,IF(E135="正規職員",I135,MIN(H135:I135)))),0)</f>
        <v>0</v>
      </c>
      <c r="K135" s="488" t="str">
        <f t="shared" si="381"/>
        <v/>
      </c>
      <c r="L135" s="343">
        <f t="shared" si="368"/>
        <v>14</v>
      </c>
      <c r="M135" s="343" t="e">
        <f>VLOOKUP($D135&amp;M$5,'②-2勤務時間数入力'!$D$7:$Q$106,$L135,FALSE)</f>
        <v>#N/A</v>
      </c>
      <c r="N135" s="343" t="str">
        <f t="shared" si="359"/>
        <v>×</v>
      </c>
      <c r="O135" s="343" t="e">
        <f>VLOOKUP($D135&amp;O$5,'②-2勤務時間数入力'!$D$7:$Q$106,$L135,FALSE)</f>
        <v>#N/A</v>
      </c>
      <c r="P135" s="343" t="str">
        <f t="shared" si="360"/>
        <v>×</v>
      </c>
      <c r="Q135" s="343" t="e">
        <f>VLOOKUP($D135&amp;Q$5,'②-2勤務時間数入力'!$D$7:$Q$106,$L135,FALSE)</f>
        <v>#N/A</v>
      </c>
      <c r="R135" s="343" t="str">
        <f t="shared" si="361"/>
        <v>×</v>
      </c>
      <c r="S135" s="343" t="e">
        <f>VLOOKUP($D135&amp;S$5,'②-2勤務時間数入力'!$D$7:$Q$106,$L135,FALSE)</f>
        <v>#N/A</v>
      </c>
      <c r="T135" s="343" t="str">
        <f t="shared" si="362"/>
        <v>×</v>
      </c>
      <c r="W135" s="455" t="str">
        <f>IFERROR(IF(AND(C135="保育士等",D135="",D136=""),"×","〇"),"〇")</f>
        <v>〇</v>
      </c>
      <c r="X135" s="455" t="str">
        <f t="shared" ref="X135:X136" si="385">IFERROR(IF(G135="賃金単価を記載","×","〇"),"〇")</f>
        <v>〇</v>
      </c>
    </row>
    <row r="136" spans="1:24" ht="13.5" customHeight="1">
      <c r="A136" s="880"/>
      <c r="B136" s="864"/>
      <c r="C136" s="865"/>
      <c r="D136" s="546" t="str">
        <f t="shared" si="369"/>
        <v/>
      </c>
      <c r="E136" s="486" t="str">
        <f t="shared" si="379"/>
        <v/>
      </c>
      <c r="F136" s="487" t="str">
        <f t="shared" si="355"/>
        <v/>
      </c>
      <c r="G136" s="555" t="e">
        <f>IF($B127="-","",IF($E136="正規職員","-",IF(AND(EXACT(B116,B127),EXACT(D125,D136),EXACT(E125,E136)),G125,"賃金単価を記載")))</f>
        <v>#N/A</v>
      </c>
      <c r="H136" s="487" t="str">
        <f>IF($D136="","",IF($E136="正規職員","-",F136*G136))</f>
        <v/>
      </c>
      <c r="I136" s="487">
        <f t="shared" ref="I136" si="386">$I$6</f>
        <v>288666.66666667</v>
      </c>
      <c r="J136" s="487">
        <f t="shared" ref="J136" si="387">IFERROR(IF($C135="-","",IF(D136="","",IF(E136="正規職員",I136-J135,MIN(MIN(H136:I136),I135-J135)))),0)</f>
        <v>0</v>
      </c>
      <c r="K136" s="488" t="str">
        <f t="shared" si="381"/>
        <v/>
      </c>
      <c r="L136" s="343">
        <f t="shared" si="368"/>
        <v>14</v>
      </c>
      <c r="M136" s="343" t="e">
        <f>VLOOKUP($D136&amp;M$5,'②-2勤務時間数入力'!$D$7:$Q$106,$L136,FALSE)</f>
        <v>#N/A</v>
      </c>
      <c r="N136" s="343" t="str">
        <f t="shared" si="359"/>
        <v>×</v>
      </c>
      <c r="O136" s="343" t="e">
        <f>VLOOKUP($D136&amp;O$5,'②-2勤務時間数入力'!$D$7:$Q$106,$L136,FALSE)</f>
        <v>#N/A</v>
      </c>
      <c r="P136" s="343" t="str">
        <f t="shared" si="360"/>
        <v>×</v>
      </c>
      <c r="Q136" s="343" t="e">
        <f>VLOOKUP($D136&amp;Q$5,'②-2勤務時間数入力'!$D$7:$Q$106,$L136,FALSE)</f>
        <v>#N/A</v>
      </c>
      <c r="R136" s="343" t="str">
        <f t="shared" si="361"/>
        <v>×</v>
      </c>
      <c r="S136" s="343" t="e">
        <f>VLOOKUP($D136&amp;S$5,'②-2勤務時間数入力'!$D$7:$Q$106,$L136,FALSE)</f>
        <v>#N/A</v>
      </c>
      <c r="T136" s="343" t="str">
        <f t="shared" si="362"/>
        <v>×</v>
      </c>
      <c r="X136" s="455" t="str">
        <f t="shared" si="385"/>
        <v>〇</v>
      </c>
    </row>
    <row r="137" spans="1:24" ht="13.5" customHeight="1">
      <c r="A137" s="845"/>
      <c r="B137" s="865"/>
      <c r="C137" s="501"/>
      <c r="D137" s="342" t="s">
        <v>266</v>
      </c>
      <c r="E137" s="486" t="s">
        <v>255</v>
      </c>
      <c r="F137" s="497"/>
      <c r="G137" s="486" t="s">
        <v>255</v>
      </c>
      <c r="H137" s="486" t="s">
        <v>255</v>
      </c>
      <c r="I137" s="486" t="s">
        <v>255</v>
      </c>
      <c r="J137" s="487">
        <f t="shared" ref="J137" si="388">IFERROR(IF(J127="","",MIN(SUM(J127:J136),(B127*I127))),0)</f>
        <v>0</v>
      </c>
      <c r="K137" s="488"/>
    </row>
    <row r="138" spans="1:24" ht="13.5" customHeight="1">
      <c r="A138" s="489" t="s">
        <v>246</v>
      </c>
      <c r="B138" s="502"/>
      <c r="C138" s="489"/>
      <c r="D138" s="342"/>
      <c r="E138" s="487"/>
      <c r="F138" s="487"/>
      <c r="G138" s="487"/>
      <c r="H138" s="487"/>
      <c r="I138" s="487"/>
      <c r="J138" s="553">
        <f>ROUNDDOWN(SUM(J16,J27,J38,J49,J60,J71,J82,J93,J104,J115,J126,J137),-3)</f>
        <v>0</v>
      </c>
    </row>
    <row r="139" spans="1:24" ht="15" customHeight="1">
      <c r="D139" s="488"/>
      <c r="E139" s="488"/>
      <c r="F139" s="488"/>
      <c r="G139" s="488"/>
      <c r="H139" s="488"/>
      <c r="I139" s="488"/>
    </row>
    <row r="141" spans="1:24" hidden="1">
      <c r="C141" s="337" t="s">
        <v>325</v>
      </c>
      <c r="D141" s="337"/>
      <c r="E141" s="337"/>
      <c r="F141" s="337"/>
    </row>
    <row r="142" spans="1:24" hidden="1">
      <c r="C142" s="337" t="s">
        <v>328</v>
      </c>
      <c r="D142" s="337"/>
      <c r="E142" s="337"/>
      <c r="F142" s="337"/>
    </row>
    <row r="143" spans="1:24" hidden="1">
      <c r="C143" s="337" t="s">
        <v>343</v>
      </c>
      <c r="D143" s="337"/>
      <c r="E143" s="337"/>
      <c r="F143" s="337"/>
    </row>
    <row r="144" spans="1:24" ht="158.25" hidden="1" customHeight="1">
      <c r="C144" s="339" t="s">
        <v>298</v>
      </c>
      <c r="D144" s="877" t="s">
        <v>796</v>
      </c>
      <c r="E144" s="878"/>
      <c r="F144" s="879"/>
    </row>
    <row r="145" spans="3:7" ht="57" hidden="1" customHeight="1">
      <c r="C145" s="339" t="s">
        <v>303</v>
      </c>
      <c r="D145" s="877" t="s">
        <v>327</v>
      </c>
      <c r="E145" s="878"/>
      <c r="F145" s="879"/>
    </row>
    <row r="146" spans="3:7" ht="57" hidden="1" customHeight="1"/>
    <row r="147" spans="3:7" hidden="1"/>
    <row r="148" spans="3:7" hidden="1"/>
    <row r="149" spans="3:7" hidden="1"/>
    <row r="150" spans="3:7" hidden="1"/>
    <row r="151" spans="3:7" hidden="1"/>
    <row r="152" spans="3:7" hidden="1"/>
    <row r="153" spans="3:7" hidden="1">
      <c r="G153" s="336" t="s">
        <v>551</v>
      </c>
    </row>
    <row r="154" spans="3:7" hidden="1">
      <c r="F154" s="336" t="s">
        <v>547</v>
      </c>
      <c r="G154" s="336" t="str">
        <f>'②-1職員名簿'!C144</f>
        <v>保育教諭等</v>
      </c>
    </row>
    <row r="155" spans="3:7" hidden="1">
      <c r="F155" s="336" t="s">
        <v>548</v>
      </c>
      <c r="G155" s="336" t="str">
        <f>'②-1職員名簿'!C145</f>
        <v>要件緩和</v>
      </c>
    </row>
    <row r="156" spans="3:7" hidden="1">
      <c r="F156" s="336" t="s">
        <v>549</v>
      </c>
      <c r="G156" s="336" t="str">
        <f>'②-1職員名簿'!C146</f>
        <v>看護師等</v>
      </c>
    </row>
    <row r="157" spans="3:7" hidden="1">
      <c r="F157" s="336" t="s">
        <v>550</v>
      </c>
      <c r="G157" s="336" t="str">
        <f>'②-1職員名簿'!C147</f>
        <v>栄養士</v>
      </c>
    </row>
    <row r="158" spans="3:7" hidden="1">
      <c r="F158" s="336" t="s">
        <v>554</v>
      </c>
      <c r="G158" s="336" t="str">
        <f>'②-1職員名簿'!C148</f>
        <v>調理師等</v>
      </c>
    </row>
    <row r="159" spans="3:7" hidden="1">
      <c r="F159" s="336" t="s">
        <v>555</v>
      </c>
      <c r="G159" s="336" t="str">
        <f>'②-1職員名簿'!C149</f>
        <v>教育・保育支援者</v>
      </c>
    </row>
  </sheetData>
  <sheetProtection algorithmName="SHA-512" hashValue="J7MGU+4QE9x844hMQGD03D7IJU4DvO6dX5gQ7tOmIaDbuh7f1RPDZu6ZZUBgN6wU2Q4M7IptDQE3GfdWoukeIw==" saltValue="v6yg/3UJ7tdfYFWC+qOGTg==" spinCount="100000" sheet="1" selectLockedCells="1"/>
  <mergeCells count="93">
    <mergeCell ref="C131:C132"/>
    <mergeCell ref="C129:C130"/>
    <mergeCell ref="C127:C128"/>
    <mergeCell ref="C135:C136"/>
    <mergeCell ref="C133:C134"/>
    <mergeCell ref="C124:C125"/>
    <mergeCell ref="C122:C123"/>
    <mergeCell ref="C120:C121"/>
    <mergeCell ref="C118:C119"/>
    <mergeCell ref="C116:C117"/>
    <mergeCell ref="C113:C114"/>
    <mergeCell ref="C111:C112"/>
    <mergeCell ref="C109:C110"/>
    <mergeCell ref="C107:C108"/>
    <mergeCell ref="C105:C106"/>
    <mergeCell ref="C102:C103"/>
    <mergeCell ref="C100:C101"/>
    <mergeCell ref="C98:C99"/>
    <mergeCell ref="C96:C97"/>
    <mergeCell ref="C94:C95"/>
    <mergeCell ref="C91:C92"/>
    <mergeCell ref="C89:C90"/>
    <mergeCell ref="C87:C88"/>
    <mergeCell ref="C85:C86"/>
    <mergeCell ref="C83:C84"/>
    <mergeCell ref="C80:C81"/>
    <mergeCell ref="C78:C79"/>
    <mergeCell ref="C76:C77"/>
    <mergeCell ref="C74:C75"/>
    <mergeCell ref="C72:C73"/>
    <mergeCell ref="C50:C51"/>
    <mergeCell ref="C69:C70"/>
    <mergeCell ref="C67:C68"/>
    <mergeCell ref="C65:C66"/>
    <mergeCell ref="C63:C64"/>
    <mergeCell ref="C61:C62"/>
    <mergeCell ref="A28:A38"/>
    <mergeCell ref="B28:B38"/>
    <mergeCell ref="A1:J1"/>
    <mergeCell ref="E2:F2"/>
    <mergeCell ref="G2:J2"/>
    <mergeCell ref="C25:C26"/>
    <mergeCell ref="C23:C24"/>
    <mergeCell ref="C21:C22"/>
    <mergeCell ref="C19:C20"/>
    <mergeCell ref="C17:C18"/>
    <mergeCell ref="C36:C37"/>
    <mergeCell ref="C34:C35"/>
    <mergeCell ref="C32:C33"/>
    <mergeCell ref="C30:C31"/>
    <mergeCell ref="C28:C29"/>
    <mergeCell ref="S5:T5"/>
    <mergeCell ref="A6:A16"/>
    <mergeCell ref="B6:B16"/>
    <mergeCell ref="A17:A27"/>
    <mergeCell ref="B17:B27"/>
    <mergeCell ref="M5:N5"/>
    <mergeCell ref="O5:P5"/>
    <mergeCell ref="Q5:R5"/>
    <mergeCell ref="A39:A49"/>
    <mergeCell ref="B39:B49"/>
    <mergeCell ref="A50:A60"/>
    <mergeCell ref="B50:B60"/>
    <mergeCell ref="A61:A71"/>
    <mergeCell ref="B61:B71"/>
    <mergeCell ref="A72:A82"/>
    <mergeCell ref="B72:B82"/>
    <mergeCell ref="A83:A93"/>
    <mergeCell ref="B83:B93"/>
    <mergeCell ref="A94:A104"/>
    <mergeCell ref="B94:B104"/>
    <mergeCell ref="A105:A115"/>
    <mergeCell ref="B105:B115"/>
    <mergeCell ref="A116:A126"/>
    <mergeCell ref="B116:B126"/>
    <mergeCell ref="A127:A137"/>
    <mergeCell ref="B127:B137"/>
    <mergeCell ref="D145:F145"/>
    <mergeCell ref="C6:C7"/>
    <mergeCell ref="C8:C9"/>
    <mergeCell ref="C10:C11"/>
    <mergeCell ref="C12:C13"/>
    <mergeCell ref="C14:C15"/>
    <mergeCell ref="D144:F144"/>
    <mergeCell ref="C47:C48"/>
    <mergeCell ref="C45:C46"/>
    <mergeCell ref="C43:C44"/>
    <mergeCell ref="C41:C42"/>
    <mergeCell ref="C39:C40"/>
    <mergeCell ref="C58:C59"/>
    <mergeCell ref="C56:C57"/>
    <mergeCell ref="C54:C55"/>
    <mergeCell ref="C52:C53"/>
  </mergeCells>
  <phoneticPr fontId="1"/>
  <conditionalFormatting sqref="D6:D15">
    <cfRule type="containsBlanks" dxfId="25" priority="81">
      <formula>LEN(TRIM(D6))=0</formula>
    </cfRule>
  </conditionalFormatting>
  <conditionalFormatting sqref="D17:D26">
    <cfRule type="containsBlanks" dxfId="24" priority="77">
      <formula>LEN(TRIM(D17))=0</formula>
    </cfRule>
  </conditionalFormatting>
  <conditionalFormatting sqref="D28:D37">
    <cfRule type="containsBlanks" dxfId="23" priority="28">
      <formula>LEN(TRIM(D28))=0</formula>
    </cfRule>
  </conditionalFormatting>
  <conditionalFormatting sqref="D39:D48">
    <cfRule type="containsBlanks" dxfId="22" priority="25">
      <formula>LEN(TRIM(D39))=0</formula>
    </cfRule>
  </conditionalFormatting>
  <conditionalFormatting sqref="D50:D59">
    <cfRule type="containsBlanks" dxfId="21" priority="22">
      <formula>LEN(TRIM(D50))=0</formula>
    </cfRule>
  </conditionalFormatting>
  <conditionalFormatting sqref="D61:D70">
    <cfRule type="containsBlanks" dxfId="20" priority="19">
      <formula>LEN(TRIM(D61))=0</formula>
    </cfRule>
  </conditionalFormatting>
  <conditionalFormatting sqref="D72:D81">
    <cfRule type="containsBlanks" dxfId="19" priority="16">
      <formula>LEN(TRIM(D72))=0</formula>
    </cfRule>
  </conditionalFormatting>
  <conditionalFormatting sqref="D83:D92">
    <cfRule type="containsBlanks" dxfId="18" priority="13">
      <formula>LEN(TRIM(D83))=0</formula>
    </cfRule>
  </conditionalFormatting>
  <conditionalFormatting sqref="D94:D103">
    <cfRule type="containsBlanks" dxfId="17" priority="10">
      <formula>LEN(TRIM(D94))=0</formula>
    </cfRule>
  </conditionalFormatting>
  <conditionalFormatting sqref="D105:D114">
    <cfRule type="containsBlanks" dxfId="16" priority="7">
      <formula>LEN(TRIM(D105))=0</formula>
    </cfRule>
  </conditionalFormatting>
  <conditionalFormatting sqref="D116:D125">
    <cfRule type="containsBlanks" dxfId="15" priority="4">
      <formula>LEN(TRIM(D116))=0</formula>
    </cfRule>
  </conditionalFormatting>
  <conditionalFormatting sqref="D127:D136">
    <cfRule type="containsBlanks" dxfId="14" priority="1">
      <formula>LEN(TRIM(D127))=0</formula>
    </cfRule>
  </conditionalFormatting>
  <conditionalFormatting sqref="G6:G136">
    <cfRule type="containsText" dxfId="13" priority="32" operator="containsText" text="賃金単価を記載">
      <formula>NOT(ISERROR(SEARCH("賃金単価を記載",G6)))</formula>
    </cfRule>
  </conditionalFormatting>
  <dataValidations count="1">
    <dataValidation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sqref="D16" xr:uid="{60871252-3A46-4ADE-954D-9286C785C601}"/>
  </dataValidations>
  <printOptions horizontalCentered="1"/>
  <pageMargins left="0.70866141732283472" right="0.70866141732283472" top="0.74803149606299213" bottom="0.74803149606299213" header="0.31496062992125984" footer="0.31496062992125984"/>
  <pageSetup paperSize="9" scale="37"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75322AE8-B2C8-470C-861C-9F3ADEAEDD72}">
          <x14:formula1>
            <xm:f>'②-1職員名簿'!Y$7:Y$107</xm:f>
          </x14:formula1>
          <xm:sqref>D27 D60 D49 D71 D82 D93 D104 D115 D126 D137</xm:sqref>
        </x14:dataValidation>
        <x14:dataValidation type="list" allowBlank="1" showInputMessage="1" showErrorMessage="1" xr:uid="{9174E777-157A-4DB7-BB9E-7A9EFF8237D9}">
          <x14:formula1>
            <xm:f>'②-1職員名簿'!Y$7:Y$107</xm:f>
          </x14:formula1>
          <xm:sqref>D127:D136 D116:D125 D105:D114 D94:D103 D83:D92 D72:D81 D61:D70 D50:D59 D28:D48 D17:D26 D6:D15</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F57AF-59C1-4393-8BEF-42115184F884}">
  <sheetPr>
    <tabColor rgb="FF00B050"/>
  </sheetPr>
  <dimension ref="A1:X87"/>
  <sheetViews>
    <sheetView showGridLines="0" view="pageBreakPreview" zoomScale="85" zoomScaleNormal="100" zoomScaleSheetLayoutView="85" workbookViewId="0">
      <selection activeCell="D6" sqref="D6"/>
    </sheetView>
  </sheetViews>
  <sheetFormatPr defaultRowHeight="15"/>
  <cols>
    <col min="1" max="1" width="8.6640625" style="336"/>
    <col min="2" max="2" width="4.75" style="336" customWidth="1"/>
    <col min="3" max="3" width="13" style="336" customWidth="1"/>
    <col min="4" max="4" width="28.33203125" style="336" customWidth="1"/>
    <col min="5" max="9" width="11.25" style="336" customWidth="1"/>
    <col min="10" max="10" width="15" style="336" customWidth="1"/>
    <col min="11" max="20" width="0" style="336" hidden="1" customWidth="1"/>
    <col min="21" max="16384" width="8.6640625" style="336"/>
  </cols>
  <sheetData>
    <row r="1" spans="1:24" s="481" customFormat="1" ht="22">
      <c r="A1" s="852" t="s">
        <v>640</v>
      </c>
      <c r="B1" s="852"/>
      <c r="C1" s="852"/>
      <c r="D1" s="852"/>
      <c r="E1" s="852"/>
      <c r="F1" s="852"/>
      <c r="G1" s="852"/>
      <c r="H1" s="852"/>
      <c r="I1" s="852"/>
      <c r="J1" s="852"/>
      <c r="K1" s="480"/>
      <c r="L1" s="480"/>
      <c r="M1" s="480"/>
      <c r="N1" s="480"/>
      <c r="O1" s="480"/>
    </row>
    <row r="2" spans="1:24" s="481" customFormat="1" ht="17.5" customHeight="1">
      <c r="E2" s="869" t="s">
        <v>91</v>
      </c>
      <c r="F2" s="869"/>
      <c r="G2" s="870">
        <f>①基本情報!D6</f>
        <v>0</v>
      </c>
      <c r="H2" s="870"/>
      <c r="I2" s="870"/>
      <c r="J2" s="870"/>
      <c r="L2" s="481" t="s">
        <v>118</v>
      </c>
      <c r="W2" s="477" t="s">
        <v>1510</v>
      </c>
    </row>
    <row r="3" spans="1:24" s="481" customFormat="1" ht="2.25" customHeight="1">
      <c r="E3" s="490"/>
      <c r="F3" s="490"/>
      <c r="G3" s="491"/>
      <c r="H3" s="491"/>
      <c r="I3" s="491"/>
      <c r="J3" s="491"/>
      <c r="W3" s="336"/>
      <c r="X3" s="336"/>
    </row>
    <row r="4" spans="1:24" ht="15" customHeight="1">
      <c r="A4" s="482" t="s">
        <v>639</v>
      </c>
      <c r="B4" s="336" t="s">
        <v>730</v>
      </c>
      <c r="W4" s="455" t="str">
        <f>IF(COUNTIF(W6:W61,"×")&gt;0,"×","〇")</f>
        <v>〇</v>
      </c>
      <c r="X4" s="455" t="str">
        <f>IF(COUNTIF(X6:X64,"×")&gt;0,"×","〇")</f>
        <v>〇</v>
      </c>
    </row>
    <row r="5" spans="1:24" ht="30">
      <c r="B5" s="499" t="s">
        <v>558</v>
      </c>
      <c r="C5" s="483" t="s">
        <v>581</v>
      </c>
      <c r="D5" s="454" t="s">
        <v>236</v>
      </c>
      <c r="E5" s="454" t="s">
        <v>237</v>
      </c>
      <c r="F5" s="454" t="s">
        <v>238</v>
      </c>
      <c r="G5" s="454" t="s">
        <v>239</v>
      </c>
      <c r="H5" s="454" t="s">
        <v>240</v>
      </c>
      <c r="I5" s="454" t="s">
        <v>241</v>
      </c>
      <c r="J5" s="454" t="s">
        <v>242</v>
      </c>
      <c r="L5" s="341" t="s">
        <v>243</v>
      </c>
      <c r="M5" s="850" t="s">
        <v>186</v>
      </c>
      <c r="N5" s="851"/>
      <c r="O5" s="850" t="s">
        <v>187</v>
      </c>
      <c r="P5" s="851"/>
      <c r="Q5" s="850" t="s">
        <v>244</v>
      </c>
      <c r="R5" s="851"/>
      <c r="S5" s="850" t="s">
        <v>245</v>
      </c>
      <c r="T5" s="851"/>
      <c r="W5" s="336" t="s">
        <v>236</v>
      </c>
      <c r="X5" s="455" t="s">
        <v>1511</v>
      </c>
    </row>
    <row r="6" spans="1:24" ht="13.5" customHeight="1">
      <c r="A6" s="844">
        <v>4</v>
      </c>
      <c r="B6" s="863" t="e">
        <f>加算判定!O4</f>
        <v>#N/A</v>
      </c>
      <c r="C6" s="863" t="e">
        <f>加算判定!P4</f>
        <v>#N/A</v>
      </c>
      <c r="D6" s="484"/>
      <c r="E6" s="486" t="str">
        <f>IF(D6="","",IF(N6="○",M$5,IF(P6="○",O$5,IF(R6="○",Q$5,IF(T6="○",S$5,"ERROR")))))</f>
        <v/>
      </c>
      <c r="F6" s="487" t="str">
        <f>IF(D6="","",IF(N6="○",M6,IF(P6="○",O6,IF(R6="○",Q6,IF(T6="○",S6,"ERROR")))))</f>
        <v/>
      </c>
      <c r="G6" s="545" t="str">
        <f>IF($D6="","",IF($E6="正規職員","-","賃金単価を記載"))</f>
        <v/>
      </c>
      <c r="H6" s="487" t="str">
        <f t="shared" ref="H6:H7" si="0">IF($D6="","",IF($E6="正規職員","-",F6*G6))</f>
        <v/>
      </c>
      <c r="I6" s="496">
        <f>⑩特定加算１!I6</f>
        <v>288666.66666667</v>
      </c>
      <c r="J6" s="487">
        <f>IFERROR(IF($C6="-","",IF(D6="",0,IF(E6="正規職員",I6,MIN(H6:I6)))),0)</f>
        <v>0</v>
      </c>
      <c r="K6" s="488" t="str">
        <f>IF(D6="","",IF(OR(COUNTIFS(D6,"*要配慮*")=1,COUNTIFS(D6,"*医療的ケア*")=1),"○","エラー"))</f>
        <v/>
      </c>
      <c r="L6" s="343">
        <v>3</v>
      </c>
      <c r="M6" s="343" t="e">
        <f>VLOOKUP($D6&amp;M$5,'②-2勤務時間数入力'!$D$7:$Q$106,$L6,FALSE)</f>
        <v>#N/A</v>
      </c>
      <c r="N6" s="343" t="str">
        <f>IF(ISERROR(M6),"×",IF(M6="-","×","○"))</f>
        <v>×</v>
      </c>
      <c r="O6" s="343" t="e">
        <f>VLOOKUP($D6&amp;O$5,'②-2勤務時間数入力'!$D$7:$Q$106,$L6,FALSE)</f>
        <v>#N/A</v>
      </c>
      <c r="P6" s="343" t="str">
        <f>IF(ISERROR(O6),"×",IF(O6="-","×","○"))</f>
        <v>×</v>
      </c>
      <c r="Q6" s="343" t="e">
        <f>VLOOKUP($D6&amp;Q$5,'②-2勤務時間数入力'!$D$7:$Q$106,$L6,FALSE)</f>
        <v>#N/A</v>
      </c>
      <c r="R6" s="343" t="str">
        <f>IF(ISERROR(Q6),"×",IF(Q6="-","×","○"))</f>
        <v>×</v>
      </c>
      <c r="S6" s="343" t="e">
        <f>VLOOKUP($D6&amp;S$5,'②-2勤務時間数入力'!$D$7:$Q$106,$L6,FALSE)</f>
        <v>#N/A</v>
      </c>
      <c r="T6" s="343" t="str">
        <f>IF(ISERROR(S6),"×",IF(S6="-","×","○"))</f>
        <v>×</v>
      </c>
      <c r="W6" s="455" t="str">
        <f>IFERROR(IF(AND(C6="保育士等",D6="",D7=""),"×","〇"),"〇")</f>
        <v>〇</v>
      </c>
      <c r="X6" s="455" t="str">
        <f>IFERROR(IF(G6="賃金単価を記載","×","〇"),"〇")</f>
        <v>〇</v>
      </c>
    </row>
    <row r="7" spans="1:24" ht="13.5" customHeight="1">
      <c r="A7" s="861"/>
      <c r="B7" s="864"/>
      <c r="C7" s="867"/>
      <c r="D7" s="484"/>
      <c r="E7" s="486" t="str">
        <f>IF(D7="","",IF(N7="○",M$5,IF(P7="○",O$5,IF(R7="○",Q$5,IF(T7="○",S$5,"ERROR")))))</f>
        <v/>
      </c>
      <c r="F7" s="487" t="str">
        <f>IF(D7="","",IF(N7="○",M7,IF(P7="○",O7,IF(R7="○",Q7,IF(T7="○",S7,"ERROR")))))</f>
        <v/>
      </c>
      <c r="G7" s="545" t="str">
        <f t="shared" ref="G7:G9" si="1">IF($D7="","",IF($E7="正規職員","-","賃金単価を記載"))</f>
        <v/>
      </c>
      <c r="H7" s="487" t="str">
        <f t="shared" si="0"/>
        <v/>
      </c>
      <c r="I7" s="487">
        <f t="shared" ref="I7:I9" si="2">$I$6</f>
        <v>288666.66666667</v>
      </c>
      <c r="J7" s="487">
        <f>IFERROR(IF($C6="-","",IF(D7="","",IF(E7="正規職員",I7-J6,MIN(MIN(H7:I7),I6-J6)))),0)</f>
        <v>0</v>
      </c>
      <c r="K7" s="488" t="str">
        <f t="shared" ref="K7:K8" si="3">IF(D7="","",IF(OR(COUNTIFS(D7,"*要配慮*")=1,COUNTIFS(D7,"*医療的ケア*")=1),"○","エラー"))</f>
        <v/>
      </c>
      <c r="L7" s="343">
        <f>L6</f>
        <v>3</v>
      </c>
      <c r="M7" s="343" t="e">
        <f>VLOOKUP($D7&amp;M$5,'②-2勤務時間数入力'!$D$7:$Q$106,$L7,FALSE)</f>
        <v>#N/A</v>
      </c>
      <c r="N7" s="343" t="str">
        <f>IF(ISERROR(M7),"×",IF(M7="-","×","○"))</f>
        <v>×</v>
      </c>
      <c r="O7" s="343" t="e">
        <f>VLOOKUP($D7&amp;O$5,'②-2勤務時間数入力'!$D$7:$Q$106,$L7,FALSE)</f>
        <v>#N/A</v>
      </c>
      <c r="P7" s="343" t="str">
        <f>IF(ISERROR(O7),"×",IF(O7="-","×","○"))</f>
        <v>×</v>
      </c>
      <c r="Q7" s="343" t="e">
        <f>VLOOKUP($D7&amp;Q$5,'②-2勤務時間数入力'!$D$7:$Q$106,$L7,FALSE)</f>
        <v>#N/A</v>
      </c>
      <c r="R7" s="343" t="str">
        <f>IF(ISERROR(Q7),"×",IF(Q7="-","×","○"))</f>
        <v>×</v>
      </c>
      <c r="S7" s="343" t="e">
        <f>VLOOKUP($D7&amp;S$5,'②-2勤務時間数入力'!$D$7:$Q$106,$L7,FALSE)</f>
        <v>#N/A</v>
      </c>
      <c r="T7" s="343" t="str">
        <f>IF(ISERROR(S7),"×",IF(S7="-","×","○"))</f>
        <v>×</v>
      </c>
      <c r="X7" s="455" t="str">
        <f t="shared" ref="X7:X64" si="4">IFERROR(IF(G7="賃金単価を記載","×","〇"),"〇")</f>
        <v>〇</v>
      </c>
    </row>
    <row r="8" spans="1:24" ht="13.5" customHeight="1">
      <c r="A8" s="861"/>
      <c r="B8" s="864"/>
      <c r="C8" s="881" t="s">
        <v>255</v>
      </c>
      <c r="D8" s="484"/>
      <c r="E8" s="486" t="str">
        <f>IF(D8="","",IF(N8="○",M$5,IF(P8="○",O$5,IF(R8="○",Q$5,IF(T8="○",S$5,"ERROR")))))</f>
        <v/>
      </c>
      <c r="F8" s="487" t="str">
        <f t="shared" ref="F8:F9" si="5">IF(D8="","",IF(N8="○",M8,IF(P8="○",O8,IF(R8="○",Q8,IF(T8="○",S8,"ERROR")))))</f>
        <v/>
      </c>
      <c r="G8" s="545" t="str">
        <f t="shared" si="1"/>
        <v/>
      </c>
      <c r="H8" s="487" t="str">
        <f>IF($D8="","",IF($E8="正規職員","-",F8*G8))</f>
        <v/>
      </c>
      <c r="I8" s="487">
        <f t="shared" si="2"/>
        <v>288666.66666667</v>
      </c>
      <c r="J8" s="487" t="str">
        <f>IFERROR(IF($C8="-","",IF(D8="",0,IF(E8="正規職員",I8,MIN(H8:I8)))),0)</f>
        <v/>
      </c>
      <c r="K8" s="488" t="str">
        <f t="shared" si="3"/>
        <v/>
      </c>
      <c r="L8" s="343">
        <f t="shared" ref="L8:L9" si="6">L7</f>
        <v>3</v>
      </c>
      <c r="M8" s="343" t="e">
        <f>VLOOKUP($D8&amp;M$5,'②-2勤務時間数入力'!$D$7:$Q$106,$L8,FALSE)</f>
        <v>#N/A</v>
      </c>
      <c r="N8" s="343" t="str">
        <f>IF(ISERROR(M8),"×",IF(M8="-","×","○"))</f>
        <v>×</v>
      </c>
      <c r="O8" s="343" t="e">
        <f>VLOOKUP($D8&amp;O$5,'②-2勤務時間数入力'!$D$7:$Q$106,$L8,FALSE)</f>
        <v>#N/A</v>
      </c>
      <c r="P8" s="343" t="str">
        <f>IF(ISERROR(O8),"×",IF(O8="-","×","○"))</f>
        <v>×</v>
      </c>
      <c r="Q8" s="343" t="e">
        <f>VLOOKUP($D8&amp;Q$5,'②-2勤務時間数入力'!$D$7:$Q$106,$L8,FALSE)</f>
        <v>#N/A</v>
      </c>
      <c r="R8" s="343" t="str">
        <f>IF(ISERROR(Q8),"×",IF(Q8="-","×","○"))</f>
        <v>×</v>
      </c>
      <c r="S8" s="343" t="e">
        <f>VLOOKUP($D8&amp;S$5,'②-2勤務時間数入力'!$D$7:$Q$106,$L8,FALSE)</f>
        <v>#N/A</v>
      </c>
      <c r="T8" s="343" t="str">
        <f>IF(ISERROR(S8),"×",IF(S8="-","×","○"))</f>
        <v>×</v>
      </c>
      <c r="W8" s="455"/>
      <c r="X8" s="455" t="str">
        <f t="shared" si="4"/>
        <v>〇</v>
      </c>
    </row>
    <row r="9" spans="1:24" ht="13.5" customHeight="1">
      <c r="A9" s="880"/>
      <c r="B9" s="864"/>
      <c r="C9" s="743"/>
      <c r="D9" s="484"/>
      <c r="E9" s="486" t="str">
        <f t="shared" ref="E9" si="7">IF(D9="","",IF(N9="○",M$5,IF(P9="○",O$5,IF(R9="○",Q$5,IF(T9="○",S$5,"ERROR")))))</f>
        <v/>
      </c>
      <c r="F9" s="487" t="str">
        <f t="shared" si="5"/>
        <v/>
      </c>
      <c r="G9" s="545" t="str">
        <f t="shared" si="1"/>
        <v/>
      </c>
      <c r="H9" s="487" t="str">
        <f>IF($D9="","",IF($E9="正規職員","-",F9*G9))</f>
        <v/>
      </c>
      <c r="I9" s="487">
        <f t="shared" si="2"/>
        <v>288666.66666667</v>
      </c>
      <c r="J9" s="487" t="str">
        <f>IFERROR(IF($C8="-","",IF(D9="","",IF(E9="正規職員",I9-J8,MIN(MIN(H9:I9),I8-J8)))),0)</f>
        <v/>
      </c>
      <c r="K9" s="488" t="str">
        <f>IF(D9="","",IF(OR(COUNTIFS(D9,"*要配慮*")=1,COUNTIFS(D9,"*医療的ケア*")=1),"○","エラー"))</f>
        <v/>
      </c>
      <c r="L9" s="343">
        <f t="shared" si="6"/>
        <v>3</v>
      </c>
      <c r="M9" s="343" t="e">
        <f>VLOOKUP($D9&amp;M$5,'②-2勤務時間数入力'!$D$7:$Q$106,$L9,FALSE)</f>
        <v>#N/A</v>
      </c>
      <c r="N9" s="343" t="str">
        <f>IF(ISERROR(M9),"×",IF(M9="-","×","○"))</f>
        <v>×</v>
      </c>
      <c r="O9" s="343" t="e">
        <f>VLOOKUP($D9&amp;O$5,'②-2勤務時間数入力'!$D$7:$Q$106,$L9,FALSE)</f>
        <v>#N/A</v>
      </c>
      <c r="P9" s="343" t="str">
        <f>IF(ISERROR(O9),"×",IF(O9="-","×","○"))</f>
        <v>×</v>
      </c>
      <c r="Q9" s="343" t="e">
        <f>VLOOKUP($D9&amp;Q$5,'②-2勤務時間数入力'!$D$7:$Q$106,$L9,FALSE)</f>
        <v>#N/A</v>
      </c>
      <c r="R9" s="343" t="str">
        <f>IF(ISERROR(Q9),"×",IF(Q9="-","×","○"))</f>
        <v>×</v>
      </c>
      <c r="S9" s="343" t="e">
        <f>VLOOKUP($D9&amp;S$5,'②-2勤務時間数入力'!$D$7:$Q$106,$L9,FALSE)</f>
        <v>#N/A</v>
      </c>
      <c r="T9" s="343" t="str">
        <f>IF(ISERROR(S9),"×",IF(S9="-","×","○"))</f>
        <v>×</v>
      </c>
      <c r="X9" s="455" t="str">
        <f t="shared" si="4"/>
        <v>〇</v>
      </c>
    </row>
    <row r="10" spans="1:24" ht="13.5" customHeight="1">
      <c r="A10" s="845"/>
      <c r="B10" s="864"/>
      <c r="C10" s="501"/>
      <c r="D10" s="342" t="s">
        <v>254</v>
      </c>
      <c r="E10" s="486" t="s">
        <v>255</v>
      </c>
      <c r="F10" s="497"/>
      <c r="G10" s="486" t="s">
        <v>255</v>
      </c>
      <c r="H10" s="486" t="s">
        <v>255</v>
      </c>
      <c r="I10" s="486" t="s">
        <v>255</v>
      </c>
      <c r="J10" s="487">
        <f>IFERROR(IF(J6="","",MIN(SUM(J6:J9),(B6*I6))),0)</f>
        <v>0</v>
      </c>
      <c r="K10" s="488"/>
      <c r="L10" s="343"/>
      <c r="M10" s="343"/>
      <c r="N10" s="343"/>
      <c r="O10" s="343"/>
      <c r="P10" s="343"/>
      <c r="Q10" s="343"/>
      <c r="R10" s="343"/>
      <c r="S10" s="343"/>
      <c r="T10" s="343"/>
      <c r="W10" s="455"/>
      <c r="X10" s="455" t="str">
        <f t="shared" si="4"/>
        <v>〇</v>
      </c>
    </row>
    <row r="11" spans="1:24" ht="13.5" customHeight="1">
      <c r="A11" s="844">
        <v>5</v>
      </c>
      <c r="B11" s="863" t="e">
        <f>加算判定!O5</f>
        <v>#N/A</v>
      </c>
      <c r="C11" s="863" t="e">
        <f>加算判定!P5</f>
        <v>#N/A</v>
      </c>
      <c r="D11" s="546" t="str">
        <f>IF(D6="","",D6)</f>
        <v/>
      </c>
      <c r="E11" s="486" t="str">
        <f>IF(D11="","",IF(N11="○",M$5,IF(P11="○",O$5,IF(R11="○",Q$5,IF(T11="○",S$5,"ERROR")))))</f>
        <v/>
      </c>
      <c r="F11" s="487" t="str">
        <f>IF(D11="","",IF(N11="○",M11,IF(P11="○",O11,IF(R11="○",Q11,IF(T11="○",S11,"ERROR")))))</f>
        <v/>
      </c>
      <c r="G11" s="545" t="e">
        <f>IF($B11="-","",IF($E11="正規職員","-",IF(AND(EXACT(B6,B11),EXACT(D6,D11),EXACT(E6,E11)),G6,"賃金単価を記載")))</f>
        <v>#N/A</v>
      </c>
      <c r="H11" s="487" t="str">
        <f t="shared" ref="H11:H12" si="8">IF($D11="","",IF($E11="正規職員","-",F11*G11))</f>
        <v/>
      </c>
      <c r="I11" s="487">
        <f t="shared" ref="I11:I63" si="9">$I$6</f>
        <v>288666.66666667</v>
      </c>
      <c r="J11" s="487" t="str">
        <f>IF($D11="","",IF(E11="正規職員",I11,MIN(H11:I11)))</f>
        <v/>
      </c>
      <c r="K11" s="488" t="str">
        <f>IF(D11="","",IF(OR(COUNTIFS(D11,"*要配慮*")=1,COUNTIFS(D11,"*医療的ケア*")=1),"○","エラー"))</f>
        <v/>
      </c>
      <c r="L11" s="343">
        <f>L6+1</f>
        <v>4</v>
      </c>
      <c r="M11" s="343" t="e">
        <f>VLOOKUP($D11&amp;M$5,'②-2勤務時間数入力'!$D$7:$Q$106,$L11,FALSE)</f>
        <v>#N/A</v>
      </c>
      <c r="N11" s="343" t="str">
        <f>IF(ISERROR(M11),"×",IF(M11="-","×","○"))</f>
        <v>×</v>
      </c>
      <c r="O11" s="343" t="e">
        <f>VLOOKUP($D11&amp;O$5,'②-2勤務時間数入力'!$D$7:$Q$106,$L11,FALSE)</f>
        <v>#N/A</v>
      </c>
      <c r="P11" s="343" t="str">
        <f>IF(ISERROR(O11),"×",IF(O11="-","×","○"))</f>
        <v>×</v>
      </c>
      <c r="Q11" s="343" t="e">
        <f>VLOOKUP($D11&amp;Q$5,'②-2勤務時間数入力'!$D$7:$Q$106,$L11,FALSE)</f>
        <v>#N/A</v>
      </c>
      <c r="R11" s="343" t="str">
        <f>IF(ISERROR(Q11),"×",IF(Q11="-","×","○"))</f>
        <v>×</v>
      </c>
      <c r="S11" s="343" t="e">
        <f>VLOOKUP($D11&amp;S$5,'②-2勤務時間数入力'!$D$7:$Q$106,$L11,FALSE)</f>
        <v>#N/A</v>
      </c>
      <c r="T11" s="343" t="str">
        <f>IF(ISERROR(S11),"×",IF(S11="-","×","○"))</f>
        <v>×</v>
      </c>
      <c r="W11" s="455" t="str">
        <f>IFERROR(IF(AND(C11="保育士等",D11="",D12=""),"×","〇"),"〇")</f>
        <v>〇</v>
      </c>
      <c r="X11" s="455" t="str">
        <f t="shared" si="4"/>
        <v>〇</v>
      </c>
    </row>
    <row r="12" spans="1:24" ht="13.5" customHeight="1">
      <c r="A12" s="861"/>
      <c r="B12" s="864"/>
      <c r="C12" s="867"/>
      <c r="D12" s="546" t="str">
        <f>IF(D7="","",D7)</f>
        <v/>
      </c>
      <c r="E12" s="486" t="str">
        <f t="shared" ref="E12:E14" si="10">IF(D12="","",IF(N12="○",M$5,IF(P12="○",O$5,IF(R12="○",Q$5,IF(T12="○",S$5,"ERROR")))))</f>
        <v/>
      </c>
      <c r="F12" s="487" t="str">
        <f t="shared" ref="F12:F14" si="11">IF(D12="","",IF(N12="○",M12,IF(P12="○",O12,IF(R12="○",Q12,IF(T12="○",S12,"ERROR")))))</f>
        <v/>
      </c>
      <c r="G12" s="545" t="e">
        <f>IF($B11="-","",IF($E12="正規職員","-",IF(AND(EXACT(B6,B11),EXACT(D7,D12),EXACT(E7,E12)),G7,"賃金単価を記載")))</f>
        <v>#N/A</v>
      </c>
      <c r="H12" s="487" t="str">
        <f t="shared" si="8"/>
        <v/>
      </c>
      <c r="I12" s="487">
        <f t="shared" si="9"/>
        <v>288666.66666667</v>
      </c>
      <c r="J12" s="487" t="str">
        <f t="shared" ref="J12:J14" si="12">IF($D12="","",IF(E12="正規職員",I12,MIN(H12:I12)))</f>
        <v/>
      </c>
      <c r="K12" s="488" t="str">
        <f t="shared" ref="K12:K14" si="13">IF(D12="","",IF(OR(COUNTIFS(D12,"*要配慮*")=1,COUNTIFS(D12,"*医療的ケア*")=1),"○","エラー"))</f>
        <v/>
      </c>
      <c r="L12" s="343">
        <f>L11</f>
        <v>4</v>
      </c>
      <c r="M12" s="343" t="e">
        <f>VLOOKUP($D12&amp;M$5,'②-2勤務時間数入力'!$D$7:$Q$106,$L12,FALSE)</f>
        <v>#N/A</v>
      </c>
      <c r="N12" s="343" t="str">
        <f>IF(ISERROR(M12),"×",IF(M12="-","×","○"))</f>
        <v>×</v>
      </c>
      <c r="O12" s="343" t="e">
        <f>VLOOKUP($D12&amp;O$5,'②-2勤務時間数入力'!$D$7:$Q$106,$L12,FALSE)</f>
        <v>#N/A</v>
      </c>
      <c r="P12" s="343" t="str">
        <f>IF(ISERROR(O12),"×",IF(O12="-","×","○"))</f>
        <v>×</v>
      </c>
      <c r="Q12" s="343" t="e">
        <f>VLOOKUP($D12&amp;Q$5,'②-2勤務時間数入力'!$D$7:$Q$106,$L12,FALSE)</f>
        <v>#N/A</v>
      </c>
      <c r="R12" s="343" t="str">
        <f>IF(ISERROR(Q12),"×",IF(Q12="-","×","○"))</f>
        <v>×</v>
      </c>
      <c r="S12" s="343" t="e">
        <f>VLOOKUP($D12&amp;S$5,'②-2勤務時間数入力'!$D$7:$Q$106,$L12,FALSE)</f>
        <v>#N/A</v>
      </c>
      <c r="T12" s="343" t="str">
        <f>IF(ISERROR(S12),"×",IF(S12="-","×","○"))</f>
        <v>×</v>
      </c>
      <c r="W12" s="455"/>
      <c r="X12" s="455" t="str">
        <f t="shared" si="4"/>
        <v>〇</v>
      </c>
    </row>
    <row r="13" spans="1:24" ht="13.5" customHeight="1">
      <c r="A13" s="861"/>
      <c r="B13" s="864"/>
      <c r="C13" s="881" t="s">
        <v>255</v>
      </c>
      <c r="D13" s="546" t="str">
        <f>IF(D8="","",D8)</f>
        <v/>
      </c>
      <c r="E13" s="486" t="str">
        <f t="shared" si="10"/>
        <v/>
      </c>
      <c r="F13" s="487" t="str">
        <f t="shared" si="11"/>
        <v/>
      </c>
      <c r="G13" s="545" t="e">
        <f>IF($B11="-","",IF($E13="正規職員","-",IF(AND(EXACT(B6,B11),EXACT(D8,D13),EXACT(E8,E13)),G8,"賃金単価を記載")))</f>
        <v>#N/A</v>
      </c>
      <c r="H13" s="487" t="str">
        <f>IF($D13="","",IF($E13="正規職員","-",F13*G13))</f>
        <v/>
      </c>
      <c r="I13" s="487">
        <f t="shared" si="9"/>
        <v>288666.66666667</v>
      </c>
      <c r="J13" s="487" t="str">
        <f t="shared" si="12"/>
        <v/>
      </c>
      <c r="K13" s="488" t="str">
        <f t="shared" si="13"/>
        <v/>
      </c>
      <c r="L13" s="343">
        <f t="shared" ref="L13:L14" si="14">L12</f>
        <v>4</v>
      </c>
      <c r="M13" s="343" t="e">
        <f>VLOOKUP($D13&amp;M$5,'②-2勤務時間数入力'!$D$7:$Q$106,$L13,FALSE)</f>
        <v>#N/A</v>
      </c>
      <c r="N13" s="343" t="str">
        <f>IF(ISERROR(M13),"×",IF(M13="-","×","○"))</f>
        <v>×</v>
      </c>
      <c r="O13" s="343" t="e">
        <f>VLOOKUP($D13&amp;O$5,'②-2勤務時間数入力'!$D$7:$Q$106,$L13,FALSE)</f>
        <v>#N/A</v>
      </c>
      <c r="P13" s="343" t="str">
        <f>IF(ISERROR(O13),"×",IF(O13="-","×","○"))</f>
        <v>×</v>
      </c>
      <c r="Q13" s="343" t="e">
        <f>VLOOKUP($D13&amp;Q$5,'②-2勤務時間数入力'!$D$7:$Q$106,$L13,FALSE)</f>
        <v>#N/A</v>
      </c>
      <c r="R13" s="343" t="str">
        <f>IF(ISERROR(Q13),"×",IF(Q13="-","×","○"))</f>
        <v>×</v>
      </c>
      <c r="S13" s="343" t="e">
        <f>VLOOKUP($D13&amp;S$5,'②-2勤務時間数入力'!$D$7:$Q$106,$L13,FALSE)</f>
        <v>#N/A</v>
      </c>
      <c r="T13" s="343" t="str">
        <f>IF(ISERROR(S13),"×",IF(S13="-","×","○"))</f>
        <v>×</v>
      </c>
      <c r="X13" s="455" t="str">
        <f t="shared" si="4"/>
        <v>〇</v>
      </c>
    </row>
    <row r="14" spans="1:24" ht="13.5" customHeight="1">
      <c r="A14" s="880"/>
      <c r="B14" s="864"/>
      <c r="C14" s="743"/>
      <c r="D14" s="546" t="str">
        <f>IF(D9="","",D9)</f>
        <v/>
      </c>
      <c r="E14" s="486" t="str">
        <f t="shared" si="10"/>
        <v/>
      </c>
      <c r="F14" s="487" t="str">
        <f t="shared" si="11"/>
        <v/>
      </c>
      <c r="G14" s="545" t="e">
        <f>IF($B11="-","",IF($E14="正規職員","-",IF(AND(EXACT(B6,B11),EXACT(D9,D14),EXACT(E9,E14)),G9,"賃金単価を記載")))</f>
        <v>#N/A</v>
      </c>
      <c r="H14" s="487" t="str">
        <f>IF($D14="","",IF($E14="正規職員","-",F14*G14))</f>
        <v/>
      </c>
      <c r="I14" s="487">
        <f t="shared" si="9"/>
        <v>288666.66666667</v>
      </c>
      <c r="J14" s="487" t="str">
        <f t="shared" si="12"/>
        <v/>
      </c>
      <c r="K14" s="488" t="str">
        <f t="shared" si="13"/>
        <v/>
      </c>
      <c r="L14" s="343">
        <f t="shared" si="14"/>
        <v>4</v>
      </c>
      <c r="M14" s="343" t="e">
        <f>VLOOKUP($D14&amp;M$5,'②-2勤務時間数入力'!$D$7:$Q$106,$L14,FALSE)</f>
        <v>#N/A</v>
      </c>
      <c r="N14" s="343" t="str">
        <f>IF(ISERROR(M14),"×",IF(M14="-","×","○"))</f>
        <v>×</v>
      </c>
      <c r="O14" s="343" t="e">
        <f>VLOOKUP($D14&amp;O$5,'②-2勤務時間数入力'!$D$7:$Q$106,$L14,FALSE)</f>
        <v>#N/A</v>
      </c>
      <c r="P14" s="343" t="str">
        <f>IF(ISERROR(O14),"×",IF(O14="-","×","○"))</f>
        <v>×</v>
      </c>
      <c r="Q14" s="343" t="e">
        <f>VLOOKUP($D14&amp;Q$5,'②-2勤務時間数入力'!$D$7:$Q$106,$L14,FALSE)</f>
        <v>#N/A</v>
      </c>
      <c r="R14" s="343" t="str">
        <f>IF(ISERROR(Q14),"×",IF(Q14="-","×","○"))</f>
        <v>×</v>
      </c>
      <c r="S14" s="343" t="e">
        <f>VLOOKUP($D14&amp;S$5,'②-2勤務時間数入力'!$D$7:$Q$106,$L14,FALSE)</f>
        <v>#N/A</v>
      </c>
      <c r="T14" s="343" t="str">
        <f>IF(ISERROR(S14),"×",IF(S14="-","×","○"))</f>
        <v>×</v>
      </c>
      <c r="W14" s="455"/>
      <c r="X14" s="455" t="str">
        <f t="shared" si="4"/>
        <v>〇</v>
      </c>
    </row>
    <row r="15" spans="1:24" ht="13.5" customHeight="1">
      <c r="A15" s="845"/>
      <c r="B15" s="864"/>
      <c r="C15" s="501"/>
      <c r="D15" s="342" t="s">
        <v>256</v>
      </c>
      <c r="E15" s="486" t="s">
        <v>255</v>
      </c>
      <c r="F15" s="497"/>
      <c r="G15" s="486" t="s">
        <v>255</v>
      </c>
      <c r="H15" s="486" t="s">
        <v>255</v>
      </c>
      <c r="I15" s="486" t="s">
        <v>255</v>
      </c>
      <c r="J15" s="487" t="str">
        <f>IFERROR(IF(J11="","",MIN(SUM(J11:J14),(B11*I11))),0)</f>
        <v/>
      </c>
      <c r="K15" s="488"/>
      <c r="L15" s="343"/>
      <c r="M15" s="343"/>
      <c r="N15" s="343"/>
      <c r="O15" s="343"/>
      <c r="P15" s="343"/>
      <c r="Q15" s="343"/>
      <c r="R15" s="343"/>
      <c r="S15" s="343"/>
      <c r="T15" s="343"/>
      <c r="X15" s="455" t="str">
        <f t="shared" si="4"/>
        <v>〇</v>
      </c>
    </row>
    <row r="16" spans="1:24" ht="13.5" customHeight="1">
      <c r="A16" s="844">
        <v>6</v>
      </c>
      <c r="B16" s="863" t="e">
        <f>加算判定!O6</f>
        <v>#N/A</v>
      </c>
      <c r="C16" s="863" t="e">
        <f>加算判定!P6</f>
        <v>#N/A</v>
      </c>
      <c r="D16" s="546" t="str">
        <f>IF(D11="","",D11)</f>
        <v/>
      </c>
      <c r="E16" s="486" t="str">
        <f>IF(D16="","",IF(N16="○",M$5,IF(P16="○",O$5,IF(R16="○",Q$5,IF(T16="○",S$5,"ERROR")))))</f>
        <v/>
      </c>
      <c r="F16" s="487" t="str">
        <f>IF(D16="","",IF(N16="○",M16,IF(P16="○",O16,IF(R16="○",Q16,IF(T16="○",S16,"ERROR")))))</f>
        <v/>
      </c>
      <c r="G16" s="545" t="e">
        <f>IF($B16="-","",IF($E16="正規職員","-",IF(AND(EXACT(B11,B16),EXACT(D11,D16),EXACT(E11,E16)),G11,"賃金単価を記載")))</f>
        <v>#N/A</v>
      </c>
      <c r="H16" s="487" t="str">
        <f t="shared" ref="H16:H17" si="15">IF($D16="","",IF($E16="正規職員","-",F16*G16))</f>
        <v/>
      </c>
      <c r="I16" s="487">
        <f t="shared" si="9"/>
        <v>288666.66666667</v>
      </c>
      <c r="J16" s="487" t="str">
        <f>IF($D16="","",IF(E16="正規職員",I16,MIN(H16:I16)))</f>
        <v/>
      </c>
      <c r="K16" s="488" t="str">
        <f>IF(D16="","",IF(OR(COUNTIFS(D16,"*要配慮*")=1,COUNTIFS(D16,"*医療的ケア*")=1),"○","エラー"))</f>
        <v/>
      </c>
      <c r="L16" s="343">
        <f>L11+1</f>
        <v>5</v>
      </c>
      <c r="M16" s="343" t="e">
        <f>VLOOKUP($D16&amp;M$5,'②-2勤務時間数入力'!$D$7:$Q$106,$L16,FALSE)</f>
        <v>#N/A</v>
      </c>
      <c r="N16" s="343" t="str">
        <f>IF(ISERROR(M16),"×",IF(M16="-","×","○"))</f>
        <v>×</v>
      </c>
      <c r="O16" s="343" t="e">
        <f>VLOOKUP($D16&amp;O$5,'②-2勤務時間数入力'!$D$7:$Q$106,$L16,FALSE)</f>
        <v>#N/A</v>
      </c>
      <c r="P16" s="343" t="str">
        <f>IF(ISERROR(O16),"×",IF(O16="-","×","○"))</f>
        <v>×</v>
      </c>
      <c r="Q16" s="343" t="e">
        <f>VLOOKUP($D16&amp;Q$5,'②-2勤務時間数入力'!$D$7:$Q$106,$L16,FALSE)</f>
        <v>#N/A</v>
      </c>
      <c r="R16" s="343" t="str">
        <f>IF(ISERROR(Q16),"×",IF(Q16="-","×","○"))</f>
        <v>×</v>
      </c>
      <c r="S16" s="343" t="e">
        <f>VLOOKUP($D16&amp;S$5,'②-2勤務時間数入力'!$D$7:$Q$106,$L16,FALSE)</f>
        <v>#N/A</v>
      </c>
      <c r="T16" s="343" t="str">
        <f>IF(ISERROR(S16),"×",IF(S16="-","×","○"))</f>
        <v>×</v>
      </c>
      <c r="W16" s="455" t="str">
        <f>IFERROR(IF(AND(C16="保育士等",D16="",D17=""),"×","〇"),"〇")</f>
        <v>〇</v>
      </c>
      <c r="X16" s="455" t="str">
        <f t="shared" si="4"/>
        <v>〇</v>
      </c>
    </row>
    <row r="17" spans="1:24" ht="13.5" customHeight="1">
      <c r="A17" s="861"/>
      <c r="B17" s="864"/>
      <c r="C17" s="867"/>
      <c r="D17" s="546" t="str">
        <f>IF(D12="","",D12)</f>
        <v/>
      </c>
      <c r="E17" s="486" t="str">
        <f t="shared" ref="E17:E19" si="16">IF(D17="","",IF(N17="○",M$5,IF(P17="○",O$5,IF(R17="○",Q$5,IF(T17="○",S$5,"ERROR")))))</f>
        <v/>
      </c>
      <c r="F17" s="487" t="str">
        <f t="shared" ref="F17:F19" si="17">IF(D17="","",IF(N17="○",M17,IF(P17="○",O17,IF(R17="○",Q17,IF(T17="○",S17,"ERROR")))))</f>
        <v/>
      </c>
      <c r="G17" s="545" t="e">
        <f>IF($B16="-","",IF($E17="正規職員","-",IF(AND(EXACT(B11,B16),EXACT(D12,D17),EXACT(E12,E17)),G12,"賃金単価を記載")))</f>
        <v>#N/A</v>
      </c>
      <c r="H17" s="487" t="str">
        <f t="shared" si="15"/>
        <v/>
      </c>
      <c r="I17" s="487">
        <f t="shared" si="9"/>
        <v>288666.66666667</v>
      </c>
      <c r="J17" s="487" t="str">
        <f t="shared" ref="J17:J19" si="18">IF($D17="","",IF(E17="正規職員",I17,MIN(H17:I17)))</f>
        <v/>
      </c>
      <c r="K17" s="488" t="str">
        <f t="shared" ref="K17:K19" si="19">IF(D17="","",IF(OR(COUNTIFS(D17,"*要配慮*")=1,COUNTIFS(D17,"*医療的ケア*")=1),"○","エラー"))</f>
        <v/>
      </c>
      <c r="L17" s="343">
        <f t="shared" ref="L17:L19" si="20">L16</f>
        <v>5</v>
      </c>
      <c r="M17" s="343" t="e">
        <f>VLOOKUP($D17&amp;M$5,'②-2勤務時間数入力'!$D$7:$Q$106,$L17,FALSE)</f>
        <v>#N/A</v>
      </c>
      <c r="N17" s="343" t="str">
        <f>IF(ISERROR(M17),"×",IF(M17="-","×","○"))</f>
        <v>×</v>
      </c>
      <c r="O17" s="343" t="e">
        <f>VLOOKUP($D17&amp;O$5,'②-2勤務時間数入力'!$D$7:$Q$106,$L17,FALSE)</f>
        <v>#N/A</v>
      </c>
      <c r="P17" s="343" t="str">
        <f>IF(ISERROR(O17),"×",IF(O17="-","×","○"))</f>
        <v>×</v>
      </c>
      <c r="Q17" s="343" t="e">
        <f>VLOOKUP($D17&amp;Q$5,'②-2勤務時間数入力'!$D$7:$Q$106,$L17,FALSE)</f>
        <v>#N/A</v>
      </c>
      <c r="R17" s="343" t="str">
        <f>IF(ISERROR(Q17),"×",IF(Q17="-","×","○"))</f>
        <v>×</v>
      </c>
      <c r="S17" s="343" t="e">
        <f>VLOOKUP($D17&amp;S$5,'②-2勤務時間数入力'!$D$7:$Q$106,$L17,FALSE)</f>
        <v>#N/A</v>
      </c>
      <c r="T17" s="343" t="str">
        <f>IF(ISERROR(S17),"×",IF(S17="-","×","○"))</f>
        <v>×</v>
      </c>
      <c r="W17" s="455"/>
      <c r="X17" s="455" t="str">
        <f t="shared" si="4"/>
        <v>〇</v>
      </c>
    </row>
    <row r="18" spans="1:24" ht="13.5" customHeight="1">
      <c r="A18" s="861"/>
      <c r="B18" s="864"/>
      <c r="C18" s="881" t="s">
        <v>255</v>
      </c>
      <c r="D18" s="546" t="str">
        <f>IF(D13="","",D13)</f>
        <v/>
      </c>
      <c r="E18" s="486" t="str">
        <f t="shared" si="16"/>
        <v/>
      </c>
      <c r="F18" s="487" t="str">
        <f t="shared" si="17"/>
        <v/>
      </c>
      <c r="G18" s="545" t="e">
        <f>IF($B16="-","",IF($E18="正規職員","-",IF(AND(EXACT(B11,B16),EXACT(D13,D18),EXACT(E13,E18)),G13,"賃金単価を記載")))</f>
        <v>#N/A</v>
      </c>
      <c r="H18" s="487" t="str">
        <f>IF($D18="","",IF($E18="正規職員","-",F18*G18))</f>
        <v/>
      </c>
      <c r="I18" s="487">
        <f t="shared" si="9"/>
        <v>288666.66666667</v>
      </c>
      <c r="J18" s="487" t="str">
        <f t="shared" si="18"/>
        <v/>
      </c>
      <c r="K18" s="488" t="str">
        <f t="shared" si="19"/>
        <v/>
      </c>
      <c r="L18" s="343">
        <f t="shared" si="20"/>
        <v>5</v>
      </c>
      <c r="M18" s="343" t="e">
        <f>VLOOKUP($D18&amp;M$5,'②-2勤務時間数入力'!$D$7:$Q$106,$L18,FALSE)</f>
        <v>#N/A</v>
      </c>
      <c r="N18" s="343" t="str">
        <f>IF(ISERROR(M18),"×",IF(M18="-","×","○"))</f>
        <v>×</v>
      </c>
      <c r="O18" s="343" t="e">
        <f>VLOOKUP($D18&amp;O$5,'②-2勤務時間数入力'!$D$7:$Q$106,$L18,FALSE)</f>
        <v>#N/A</v>
      </c>
      <c r="P18" s="343" t="str">
        <f>IF(ISERROR(O18),"×",IF(O18="-","×","○"))</f>
        <v>×</v>
      </c>
      <c r="Q18" s="343" t="e">
        <f>VLOOKUP($D18&amp;Q$5,'②-2勤務時間数入力'!$D$7:$Q$106,$L18,FALSE)</f>
        <v>#N/A</v>
      </c>
      <c r="R18" s="343" t="str">
        <f>IF(ISERROR(Q18),"×",IF(Q18="-","×","○"))</f>
        <v>×</v>
      </c>
      <c r="S18" s="343" t="e">
        <f>VLOOKUP($D18&amp;S$5,'②-2勤務時間数入力'!$D$7:$Q$106,$L18,FALSE)</f>
        <v>#N/A</v>
      </c>
      <c r="T18" s="343" t="str">
        <f>IF(ISERROR(S18),"×",IF(S18="-","×","○"))</f>
        <v>×</v>
      </c>
      <c r="X18" s="455" t="str">
        <f t="shared" si="4"/>
        <v>〇</v>
      </c>
    </row>
    <row r="19" spans="1:24" ht="13.5" customHeight="1">
      <c r="A19" s="880"/>
      <c r="B19" s="864"/>
      <c r="C19" s="743"/>
      <c r="D19" s="546" t="str">
        <f>IF(D14="","",D14)</f>
        <v/>
      </c>
      <c r="E19" s="486" t="str">
        <f t="shared" si="16"/>
        <v/>
      </c>
      <c r="F19" s="487" t="str">
        <f t="shared" si="17"/>
        <v/>
      </c>
      <c r="G19" s="545" t="e">
        <f>IF($B16="-","",IF($E19="正規職員","-",IF(AND(EXACT(B11,B16),EXACT(D14,D19),EXACT(E14,E19)),G14,"賃金単価を記載")))</f>
        <v>#N/A</v>
      </c>
      <c r="H19" s="487" t="str">
        <f>IF($D19="","",IF($E19="正規職員","-",F19*G19))</f>
        <v/>
      </c>
      <c r="I19" s="487">
        <f t="shared" si="9"/>
        <v>288666.66666667</v>
      </c>
      <c r="J19" s="487" t="str">
        <f t="shared" si="18"/>
        <v/>
      </c>
      <c r="K19" s="488" t="str">
        <f t="shared" si="19"/>
        <v/>
      </c>
      <c r="L19" s="343">
        <f t="shared" si="20"/>
        <v>5</v>
      </c>
      <c r="M19" s="343" t="e">
        <f>VLOOKUP($D19&amp;M$5,'②-2勤務時間数入力'!$D$7:$Q$106,$L19,FALSE)</f>
        <v>#N/A</v>
      </c>
      <c r="N19" s="343" t="str">
        <f>IF(ISERROR(M19),"×",IF(M19="-","×","○"))</f>
        <v>×</v>
      </c>
      <c r="O19" s="343" t="e">
        <f>VLOOKUP($D19&amp;O$5,'②-2勤務時間数入力'!$D$7:$Q$106,$L19,FALSE)</f>
        <v>#N/A</v>
      </c>
      <c r="P19" s="343" t="str">
        <f>IF(ISERROR(O19),"×",IF(O19="-","×","○"))</f>
        <v>×</v>
      </c>
      <c r="Q19" s="343" t="e">
        <f>VLOOKUP($D19&amp;Q$5,'②-2勤務時間数入力'!$D$7:$Q$106,$L19,FALSE)</f>
        <v>#N/A</v>
      </c>
      <c r="R19" s="343" t="str">
        <f>IF(ISERROR(Q19),"×",IF(Q19="-","×","○"))</f>
        <v>×</v>
      </c>
      <c r="S19" s="343" t="e">
        <f>VLOOKUP($D19&amp;S$5,'②-2勤務時間数入力'!$D$7:$Q$106,$L19,FALSE)</f>
        <v>#N/A</v>
      </c>
      <c r="T19" s="343" t="str">
        <f>IF(ISERROR(S19),"×",IF(S19="-","×","○"))</f>
        <v>×</v>
      </c>
      <c r="W19" s="455"/>
      <c r="X19" s="455" t="str">
        <f t="shared" si="4"/>
        <v>〇</v>
      </c>
    </row>
    <row r="20" spans="1:24" ht="13.5" customHeight="1">
      <c r="A20" s="845"/>
      <c r="B20" s="864"/>
      <c r="C20" s="501"/>
      <c r="D20" s="342" t="s">
        <v>257</v>
      </c>
      <c r="E20" s="486" t="s">
        <v>255</v>
      </c>
      <c r="F20" s="497"/>
      <c r="G20" s="486" t="s">
        <v>255</v>
      </c>
      <c r="H20" s="486" t="s">
        <v>255</v>
      </c>
      <c r="I20" s="486" t="s">
        <v>255</v>
      </c>
      <c r="J20" s="487" t="str">
        <f>IFERROR(IF(J16="","",MIN(SUM(J16:J19),(B16*I16))),0)</f>
        <v/>
      </c>
      <c r="K20" s="488"/>
      <c r="L20" s="343"/>
      <c r="M20" s="343"/>
      <c r="N20" s="343"/>
      <c r="O20" s="343"/>
      <c r="P20" s="343"/>
      <c r="Q20" s="343"/>
      <c r="R20" s="343"/>
      <c r="S20" s="343"/>
      <c r="T20" s="343"/>
      <c r="X20" s="455" t="str">
        <f t="shared" si="4"/>
        <v>〇</v>
      </c>
    </row>
    <row r="21" spans="1:24" ht="13.5" customHeight="1">
      <c r="A21" s="844">
        <v>7</v>
      </c>
      <c r="B21" s="863" t="e">
        <f>加算判定!O7</f>
        <v>#N/A</v>
      </c>
      <c r="C21" s="863" t="e">
        <f>加算判定!P7</f>
        <v>#N/A</v>
      </c>
      <c r="D21" s="546" t="str">
        <f>IF(D16="","",D16)</f>
        <v/>
      </c>
      <c r="E21" s="486" t="str">
        <f>IF(D21="","",IF(N21="○",M$5,IF(P21="○",O$5,IF(R21="○",Q$5,IF(T21="○",S$5,"ERROR")))))</f>
        <v/>
      </c>
      <c r="F21" s="487" t="str">
        <f>IF(D21="","",IF(N21="○",M21,IF(P21="○",O21,IF(R21="○",Q21,IF(T21="○",S21,"ERROR")))))</f>
        <v/>
      </c>
      <c r="G21" s="545" t="e">
        <f>IF($B21="-","",IF($E21="正規職員","-",IF(AND(EXACT(B16,B21),EXACT(D16,D21),EXACT(E16,E21)),G16,"賃金単価を記載")))</f>
        <v>#N/A</v>
      </c>
      <c r="H21" s="487" t="str">
        <f t="shared" ref="H21:H22" si="21">IF($D21="","",IF($E21="正規職員","-",F21*G21))</f>
        <v/>
      </c>
      <c r="I21" s="487">
        <f t="shared" si="9"/>
        <v>288666.66666667</v>
      </c>
      <c r="J21" s="487" t="str">
        <f>IF($D21="","",IF(E21="正規職員",I21,MIN(H21:I21)))</f>
        <v/>
      </c>
      <c r="K21" s="488" t="str">
        <f>IF(D21="","",IF(OR(COUNTIFS(D21,"*要配慮*")=1,COUNTIFS(D21,"*医療的ケア*")=1),"○","エラー"))</f>
        <v/>
      </c>
      <c r="L21" s="343">
        <f>L16+1</f>
        <v>6</v>
      </c>
      <c r="M21" s="343" t="e">
        <f>VLOOKUP($D21&amp;M$5,'②-2勤務時間数入力'!$D$7:$Q$106,$L21,FALSE)</f>
        <v>#N/A</v>
      </c>
      <c r="N21" s="343" t="str">
        <f>IF(ISERROR(M21),"×",IF(M21="-","×","○"))</f>
        <v>×</v>
      </c>
      <c r="O21" s="343" t="e">
        <f>VLOOKUP($D21&amp;O$5,'②-2勤務時間数入力'!$D$7:$Q$106,$L21,FALSE)</f>
        <v>#N/A</v>
      </c>
      <c r="P21" s="343" t="str">
        <f>IF(ISERROR(O21),"×",IF(O21="-","×","○"))</f>
        <v>×</v>
      </c>
      <c r="Q21" s="343" t="e">
        <f>VLOOKUP($D21&amp;Q$5,'②-2勤務時間数入力'!$D$7:$Q$106,$L21,FALSE)</f>
        <v>#N/A</v>
      </c>
      <c r="R21" s="343" t="str">
        <f>IF(ISERROR(Q21),"×",IF(Q21="-","×","○"))</f>
        <v>×</v>
      </c>
      <c r="S21" s="343" t="e">
        <f>VLOOKUP($D21&amp;S$5,'②-2勤務時間数入力'!$D$7:$Q$106,$L21,FALSE)</f>
        <v>#N/A</v>
      </c>
      <c r="T21" s="343" t="str">
        <f>IF(ISERROR(S21),"×",IF(S21="-","×","○"))</f>
        <v>×</v>
      </c>
      <c r="W21" s="455" t="str">
        <f>IFERROR(IF(AND(C21="保育士等",D21="",D22=""),"×","〇"),"〇")</f>
        <v>〇</v>
      </c>
      <c r="X21" s="455" t="str">
        <f t="shared" si="4"/>
        <v>〇</v>
      </c>
    </row>
    <row r="22" spans="1:24" ht="13.5" customHeight="1">
      <c r="A22" s="861"/>
      <c r="B22" s="864"/>
      <c r="C22" s="867"/>
      <c r="D22" s="546" t="str">
        <f>IF(D17="","",D17)</f>
        <v/>
      </c>
      <c r="E22" s="486" t="str">
        <f t="shared" ref="E22:E24" si="22">IF(D22="","",IF(N22="○",M$5,IF(P22="○",O$5,IF(R22="○",Q$5,IF(T22="○",S$5,"ERROR")))))</f>
        <v/>
      </c>
      <c r="F22" s="487" t="str">
        <f t="shared" ref="F22:F24" si="23">IF(D22="","",IF(N22="○",M22,IF(P22="○",O22,IF(R22="○",Q22,IF(T22="○",S22,"ERROR")))))</f>
        <v/>
      </c>
      <c r="G22" s="545" t="e">
        <f>IF($B21="-","",IF($E22="正規職員","-",IF(AND(EXACT(B16,B21),EXACT(D17,D22),EXACT(E17,E22)),G17,"賃金単価を記載")))</f>
        <v>#N/A</v>
      </c>
      <c r="H22" s="487" t="str">
        <f t="shared" si="21"/>
        <v/>
      </c>
      <c r="I22" s="487">
        <f t="shared" si="9"/>
        <v>288666.66666667</v>
      </c>
      <c r="J22" s="487" t="str">
        <f t="shared" ref="J22:J24" si="24">IF($D22="","",IF(E22="正規職員",I22,MIN(H22:I22)))</f>
        <v/>
      </c>
      <c r="K22" s="488" t="str">
        <f t="shared" ref="K22:K24" si="25">IF(D22="","",IF(OR(COUNTIFS(D22,"*要配慮*")=1,COUNTIFS(D22,"*医療的ケア*")=1),"○","エラー"))</f>
        <v/>
      </c>
      <c r="L22" s="343">
        <f t="shared" ref="L22:L24" si="26">L21</f>
        <v>6</v>
      </c>
      <c r="M22" s="343" t="e">
        <f>VLOOKUP($D22&amp;M$5,'②-2勤務時間数入力'!$D$7:$Q$106,$L22,FALSE)</f>
        <v>#N/A</v>
      </c>
      <c r="N22" s="343" t="str">
        <f>IF(ISERROR(M22),"×",IF(M22="-","×","○"))</f>
        <v>×</v>
      </c>
      <c r="O22" s="343" t="e">
        <f>VLOOKUP($D22&amp;O$5,'②-2勤務時間数入力'!$D$7:$Q$106,$L22,FALSE)</f>
        <v>#N/A</v>
      </c>
      <c r="P22" s="343" t="str">
        <f>IF(ISERROR(O22),"×",IF(O22="-","×","○"))</f>
        <v>×</v>
      </c>
      <c r="Q22" s="343" t="e">
        <f>VLOOKUP($D22&amp;Q$5,'②-2勤務時間数入力'!$D$7:$Q$106,$L22,FALSE)</f>
        <v>#N/A</v>
      </c>
      <c r="R22" s="343" t="str">
        <f>IF(ISERROR(Q22),"×",IF(Q22="-","×","○"))</f>
        <v>×</v>
      </c>
      <c r="S22" s="343" t="e">
        <f>VLOOKUP($D22&amp;S$5,'②-2勤務時間数入力'!$D$7:$Q$106,$L22,FALSE)</f>
        <v>#N/A</v>
      </c>
      <c r="T22" s="343" t="str">
        <f>IF(ISERROR(S22),"×",IF(S22="-","×","○"))</f>
        <v>×</v>
      </c>
      <c r="X22" s="455" t="str">
        <f t="shared" si="4"/>
        <v>〇</v>
      </c>
    </row>
    <row r="23" spans="1:24" ht="13.5" customHeight="1">
      <c r="A23" s="861"/>
      <c r="B23" s="864"/>
      <c r="C23" s="881" t="s">
        <v>255</v>
      </c>
      <c r="D23" s="546" t="str">
        <f>IF(D18="","",D18)</f>
        <v/>
      </c>
      <c r="E23" s="486" t="str">
        <f t="shared" si="22"/>
        <v/>
      </c>
      <c r="F23" s="487" t="str">
        <f t="shared" si="23"/>
        <v/>
      </c>
      <c r="G23" s="545" t="e">
        <f>IF($B21="-","",IF($E23="正規職員","-",IF(AND(EXACT(B16,B21),EXACT(D18,D23),EXACT(E18,E23)),G18,"賃金単価を記載")))</f>
        <v>#N/A</v>
      </c>
      <c r="H23" s="487" t="str">
        <f>IF($D23="","",IF($E23="正規職員","-",F23*G23))</f>
        <v/>
      </c>
      <c r="I23" s="487">
        <f t="shared" si="9"/>
        <v>288666.66666667</v>
      </c>
      <c r="J23" s="487" t="str">
        <f t="shared" si="24"/>
        <v/>
      </c>
      <c r="K23" s="488" t="str">
        <f t="shared" si="25"/>
        <v/>
      </c>
      <c r="L23" s="343">
        <f t="shared" si="26"/>
        <v>6</v>
      </c>
      <c r="M23" s="343" t="e">
        <f>VLOOKUP($D23&amp;M$5,'②-2勤務時間数入力'!$D$7:$Q$106,$L23,FALSE)</f>
        <v>#N/A</v>
      </c>
      <c r="N23" s="343" t="str">
        <f>IF(ISERROR(M23),"×",IF(M23="-","×","○"))</f>
        <v>×</v>
      </c>
      <c r="O23" s="343" t="e">
        <f>VLOOKUP($D23&amp;O$5,'②-2勤務時間数入力'!$D$7:$Q$106,$L23,FALSE)</f>
        <v>#N/A</v>
      </c>
      <c r="P23" s="343" t="str">
        <f>IF(ISERROR(O23),"×",IF(O23="-","×","○"))</f>
        <v>×</v>
      </c>
      <c r="Q23" s="343" t="e">
        <f>VLOOKUP($D23&amp;Q$5,'②-2勤務時間数入力'!$D$7:$Q$106,$L23,FALSE)</f>
        <v>#N/A</v>
      </c>
      <c r="R23" s="343" t="str">
        <f>IF(ISERROR(Q23),"×",IF(Q23="-","×","○"))</f>
        <v>×</v>
      </c>
      <c r="S23" s="343" t="e">
        <f>VLOOKUP($D23&amp;S$5,'②-2勤務時間数入力'!$D$7:$Q$106,$L23,FALSE)</f>
        <v>#N/A</v>
      </c>
      <c r="T23" s="343" t="str">
        <f>IF(ISERROR(S23),"×",IF(S23="-","×","○"))</f>
        <v>×</v>
      </c>
      <c r="W23" s="455"/>
      <c r="X23" s="455" t="str">
        <f t="shared" si="4"/>
        <v>〇</v>
      </c>
    </row>
    <row r="24" spans="1:24" ht="13.5" customHeight="1">
      <c r="A24" s="880"/>
      <c r="B24" s="864"/>
      <c r="C24" s="743"/>
      <c r="D24" s="546" t="str">
        <f>IF(D19="","",D19)</f>
        <v/>
      </c>
      <c r="E24" s="486" t="str">
        <f t="shared" si="22"/>
        <v/>
      </c>
      <c r="F24" s="487" t="str">
        <f t="shared" si="23"/>
        <v/>
      </c>
      <c r="G24" s="545" t="e">
        <f>IF($B21="-","",IF($E24="正規職員","-",IF(AND(EXACT(B16,B21),EXACT(D19,D24),EXACT(E19,E24)),G19,"賃金単価を記載")))</f>
        <v>#N/A</v>
      </c>
      <c r="H24" s="487" t="str">
        <f>IF($D24="","",IF($E24="正規職員","-",F24*G24))</f>
        <v/>
      </c>
      <c r="I24" s="487">
        <f t="shared" si="9"/>
        <v>288666.66666667</v>
      </c>
      <c r="J24" s="487" t="str">
        <f t="shared" si="24"/>
        <v/>
      </c>
      <c r="K24" s="488" t="str">
        <f t="shared" si="25"/>
        <v/>
      </c>
      <c r="L24" s="343">
        <f t="shared" si="26"/>
        <v>6</v>
      </c>
      <c r="M24" s="343" t="e">
        <f>VLOOKUP($D24&amp;M$5,'②-2勤務時間数入力'!$D$7:$Q$106,$L24,FALSE)</f>
        <v>#N/A</v>
      </c>
      <c r="N24" s="343" t="str">
        <f>IF(ISERROR(M24),"×",IF(M24="-","×","○"))</f>
        <v>×</v>
      </c>
      <c r="O24" s="343" t="e">
        <f>VLOOKUP($D24&amp;O$5,'②-2勤務時間数入力'!$D$7:$Q$106,$L24,FALSE)</f>
        <v>#N/A</v>
      </c>
      <c r="P24" s="343" t="str">
        <f>IF(ISERROR(O24),"×",IF(O24="-","×","○"))</f>
        <v>×</v>
      </c>
      <c r="Q24" s="343" t="e">
        <f>VLOOKUP($D24&amp;Q$5,'②-2勤務時間数入力'!$D$7:$Q$106,$L24,FALSE)</f>
        <v>#N/A</v>
      </c>
      <c r="R24" s="343" t="str">
        <f>IF(ISERROR(Q24),"×",IF(Q24="-","×","○"))</f>
        <v>×</v>
      </c>
      <c r="S24" s="343" t="e">
        <f>VLOOKUP($D24&amp;S$5,'②-2勤務時間数入力'!$D$7:$Q$106,$L24,FALSE)</f>
        <v>#N/A</v>
      </c>
      <c r="T24" s="343" t="str">
        <f>IF(ISERROR(S24),"×",IF(S24="-","×","○"))</f>
        <v>×</v>
      </c>
      <c r="X24" s="455" t="str">
        <f t="shared" si="4"/>
        <v>〇</v>
      </c>
    </row>
    <row r="25" spans="1:24" ht="13.5" customHeight="1">
      <c r="A25" s="845"/>
      <c r="B25" s="864"/>
      <c r="C25" s="501"/>
      <c r="D25" s="342" t="s">
        <v>258</v>
      </c>
      <c r="E25" s="486" t="s">
        <v>255</v>
      </c>
      <c r="F25" s="497"/>
      <c r="G25" s="486" t="s">
        <v>255</v>
      </c>
      <c r="H25" s="486" t="s">
        <v>255</v>
      </c>
      <c r="I25" s="486" t="s">
        <v>255</v>
      </c>
      <c r="J25" s="487" t="str">
        <f>IFERROR(IF(J21="","",MIN(SUM(J21:J24),(B21*I21))),0)</f>
        <v/>
      </c>
      <c r="K25" s="488"/>
      <c r="L25" s="343"/>
      <c r="M25" s="343"/>
      <c r="N25" s="343"/>
      <c r="O25" s="343"/>
      <c r="P25" s="343"/>
      <c r="Q25" s="343"/>
      <c r="R25" s="343"/>
      <c r="S25" s="343"/>
      <c r="T25" s="343"/>
      <c r="W25" s="455"/>
      <c r="X25" s="455" t="str">
        <f t="shared" si="4"/>
        <v>〇</v>
      </c>
    </row>
    <row r="26" spans="1:24" ht="13.5" customHeight="1">
      <c r="A26" s="844">
        <v>8</v>
      </c>
      <c r="B26" s="863" t="e">
        <f>加算判定!O8</f>
        <v>#N/A</v>
      </c>
      <c r="C26" s="863" t="e">
        <f>加算判定!P8</f>
        <v>#N/A</v>
      </c>
      <c r="D26" s="546" t="str">
        <f>IF(D21="","",D21)</f>
        <v/>
      </c>
      <c r="E26" s="486" t="str">
        <f>IF(D26="","",IF(N26="○",M$5,IF(P26="○",O$5,IF(R26="○",Q$5,IF(T26="○",S$5,"ERROR")))))</f>
        <v/>
      </c>
      <c r="F26" s="487" t="str">
        <f>IF(D26="","",IF(N26="○",M26,IF(P26="○",O26,IF(R26="○",Q26,IF(T26="○",S26,"ERROR")))))</f>
        <v/>
      </c>
      <c r="G26" s="545" t="e">
        <f>IF($B26="-","",IF($E26="正規職員","-",IF(AND(EXACT(B21,B26),EXACT(D21,D26),EXACT(E21,E26)),G21,"賃金単価を記載")))</f>
        <v>#N/A</v>
      </c>
      <c r="H26" s="487" t="str">
        <f t="shared" ref="H26:H27" si="27">IF($D26="","",IF($E26="正規職員","-",F26*G26))</f>
        <v/>
      </c>
      <c r="I26" s="487">
        <f t="shared" si="9"/>
        <v>288666.66666667</v>
      </c>
      <c r="J26" s="487" t="str">
        <f>IF($D26="","",IF(E26="正規職員",I26,MIN(H26:I26)))</f>
        <v/>
      </c>
      <c r="K26" s="488" t="str">
        <f>IF(D26="","",IF(OR(COUNTIFS(D26,"*要配慮*")=1,COUNTIFS(D26,"*医療的ケア*")=1),"○","エラー"))</f>
        <v/>
      </c>
      <c r="L26" s="343">
        <f>L21+1</f>
        <v>7</v>
      </c>
      <c r="M26" s="343" t="e">
        <f>VLOOKUP($D26&amp;M$5,'②-2勤務時間数入力'!$D$7:$Q$106,$L26,FALSE)</f>
        <v>#N/A</v>
      </c>
      <c r="N26" s="343" t="str">
        <f>IF(ISERROR(M26),"×",IF(M26="-","×","○"))</f>
        <v>×</v>
      </c>
      <c r="O26" s="343" t="e">
        <f>VLOOKUP($D26&amp;O$5,'②-2勤務時間数入力'!$D$7:$Q$106,$L26,FALSE)</f>
        <v>#N/A</v>
      </c>
      <c r="P26" s="343" t="str">
        <f>IF(ISERROR(O26),"×",IF(O26="-","×","○"))</f>
        <v>×</v>
      </c>
      <c r="Q26" s="343" t="e">
        <f>VLOOKUP($D26&amp;Q$5,'②-2勤務時間数入力'!$D$7:$Q$106,$L26,FALSE)</f>
        <v>#N/A</v>
      </c>
      <c r="R26" s="343" t="str">
        <f>IF(ISERROR(Q26),"×",IF(Q26="-","×","○"))</f>
        <v>×</v>
      </c>
      <c r="S26" s="343" t="e">
        <f>VLOOKUP($D26&amp;S$5,'②-2勤務時間数入力'!$D$7:$Q$106,$L26,FALSE)</f>
        <v>#N/A</v>
      </c>
      <c r="T26" s="343" t="str">
        <f>IF(ISERROR(S26),"×",IF(S26="-","×","○"))</f>
        <v>×</v>
      </c>
      <c r="W26" s="455" t="str">
        <f>IFERROR(IF(AND(C26="保育士等",D26="",D27=""),"×","〇"),"〇")</f>
        <v>〇</v>
      </c>
      <c r="X26" s="455" t="str">
        <f t="shared" si="4"/>
        <v>〇</v>
      </c>
    </row>
    <row r="27" spans="1:24" ht="13.5" customHeight="1">
      <c r="A27" s="861"/>
      <c r="B27" s="864"/>
      <c r="C27" s="867"/>
      <c r="D27" s="546" t="str">
        <f>IF(D22="","",D22)</f>
        <v/>
      </c>
      <c r="E27" s="486" t="str">
        <f t="shared" ref="E27:E29" si="28">IF(D27="","",IF(N27="○",M$5,IF(P27="○",O$5,IF(R27="○",Q$5,IF(T27="○",S$5,"ERROR")))))</f>
        <v/>
      </c>
      <c r="F27" s="487" t="str">
        <f t="shared" ref="F27:F29" si="29">IF(D27="","",IF(N27="○",M27,IF(P27="○",O27,IF(R27="○",Q27,IF(T27="○",S27,"ERROR")))))</f>
        <v/>
      </c>
      <c r="G27" s="545" t="e">
        <f>IF($B26="-","",IF($E27="正規職員","-",IF(AND(EXACT(B21,B26),EXACT(D22,D27),EXACT(E22,E27)),G22,"賃金単価を記載")))</f>
        <v>#N/A</v>
      </c>
      <c r="H27" s="487" t="str">
        <f t="shared" si="27"/>
        <v/>
      </c>
      <c r="I27" s="487">
        <f t="shared" si="9"/>
        <v>288666.66666667</v>
      </c>
      <c r="J27" s="487" t="str">
        <f t="shared" ref="J27:J29" si="30">IF($D27="","",IF(E27="正規職員",I27,MIN(H27:I27)))</f>
        <v/>
      </c>
      <c r="K27" s="488" t="str">
        <f t="shared" ref="K27:K29" si="31">IF(D27="","",IF(OR(COUNTIFS(D27,"*要配慮*")=1,COUNTIFS(D27,"*医療的ケア*")=1),"○","エラー"))</f>
        <v/>
      </c>
      <c r="L27" s="343">
        <f t="shared" ref="L27:L29" si="32">L26</f>
        <v>7</v>
      </c>
      <c r="M27" s="343" t="e">
        <f>VLOOKUP($D27&amp;M$5,'②-2勤務時間数入力'!$D$7:$Q$106,$L27,FALSE)</f>
        <v>#N/A</v>
      </c>
      <c r="N27" s="343" t="str">
        <f>IF(ISERROR(M27),"×",IF(M27="-","×","○"))</f>
        <v>×</v>
      </c>
      <c r="O27" s="343" t="e">
        <f>VLOOKUP($D27&amp;O$5,'②-2勤務時間数入力'!$D$7:$Q$106,$L27,FALSE)</f>
        <v>#N/A</v>
      </c>
      <c r="P27" s="343" t="str">
        <f>IF(ISERROR(O27),"×",IF(O27="-","×","○"))</f>
        <v>×</v>
      </c>
      <c r="Q27" s="343" t="e">
        <f>VLOOKUP($D27&amp;Q$5,'②-2勤務時間数入力'!$D$7:$Q$106,$L27,FALSE)</f>
        <v>#N/A</v>
      </c>
      <c r="R27" s="343" t="str">
        <f>IF(ISERROR(Q27),"×",IF(Q27="-","×","○"))</f>
        <v>×</v>
      </c>
      <c r="S27" s="343" t="e">
        <f>VLOOKUP($D27&amp;S$5,'②-2勤務時間数入力'!$D$7:$Q$106,$L27,FALSE)</f>
        <v>#N/A</v>
      </c>
      <c r="T27" s="343" t="str">
        <f>IF(ISERROR(S27),"×",IF(S27="-","×","○"))</f>
        <v>×</v>
      </c>
      <c r="X27" s="455" t="str">
        <f t="shared" si="4"/>
        <v>〇</v>
      </c>
    </row>
    <row r="28" spans="1:24" ht="13.5" customHeight="1">
      <c r="A28" s="861"/>
      <c r="B28" s="864"/>
      <c r="C28" s="881" t="s">
        <v>255</v>
      </c>
      <c r="D28" s="546" t="str">
        <f>IF(D23="","",D23)</f>
        <v/>
      </c>
      <c r="E28" s="486" t="str">
        <f t="shared" si="28"/>
        <v/>
      </c>
      <c r="F28" s="487" t="str">
        <f t="shared" si="29"/>
        <v/>
      </c>
      <c r="G28" s="545" t="e">
        <f>IF($B26="-","",IF($E28="正規職員","-",IF(AND(EXACT(B21,B26),EXACT(D23,D28),EXACT(E23,E28)),G23,"賃金単価を記載")))</f>
        <v>#N/A</v>
      </c>
      <c r="H28" s="487" t="str">
        <f>IF($D28="","",IF($E28="正規職員","-",F28*G28))</f>
        <v/>
      </c>
      <c r="I28" s="487">
        <f t="shared" si="9"/>
        <v>288666.66666667</v>
      </c>
      <c r="J28" s="487" t="str">
        <f t="shared" si="30"/>
        <v/>
      </c>
      <c r="K28" s="488" t="str">
        <f t="shared" si="31"/>
        <v/>
      </c>
      <c r="L28" s="343">
        <f t="shared" si="32"/>
        <v>7</v>
      </c>
      <c r="M28" s="343" t="e">
        <f>VLOOKUP($D28&amp;M$5,'②-2勤務時間数入力'!$D$7:$Q$106,$L28,FALSE)</f>
        <v>#N/A</v>
      </c>
      <c r="N28" s="343" t="str">
        <f>IF(ISERROR(M28),"×",IF(M28="-","×","○"))</f>
        <v>×</v>
      </c>
      <c r="O28" s="343" t="e">
        <f>VLOOKUP($D28&amp;O$5,'②-2勤務時間数入力'!$D$7:$Q$106,$L28,FALSE)</f>
        <v>#N/A</v>
      </c>
      <c r="P28" s="343" t="str">
        <f>IF(ISERROR(O28),"×",IF(O28="-","×","○"))</f>
        <v>×</v>
      </c>
      <c r="Q28" s="343" t="e">
        <f>VLOOKUP($D28&amp;Q$5,'②-2勤務時間数入力'!$D$7:$Q$106,$L28,FALSE)</f>
        <v>#N/A</v>
      </c>
      <c r="R28" s="343" t="str">
        <f>IF(ISERROR(Q28),"×",IF(Q28="-","×","○"))</f>
        <v>×</v>
      </c>
      <c r="S28" s="343" t="e">
        <f>VLOOKUP($D28&amp;S$5,'②-2勤務時間数入力'!$D$7:$Q$106,$L28,FALSE)</f>
        <v>#N/A</v>
      </c>
      <c r="T28" s="343" t="str">
        <f>IF(ISERROR(S28),"×",IF(S28="-","×","○"))</f>
        <v>×</v>
      </c>
      <c r="W28" s="455"/>
      <c r="X28" s="455" t="str">
        <f t="shared" si="4"/>
        <v>〇</v>
      </c>
    </row>
    <row r="29" spans="1:24" ht="13.5" customHeight="1">
      <c r="A29" s="880"/>
      <c r="B29" s="864"/>
      <c r="C29" s="743"/>
      <c r="D29" s="546" t="str">
        <f>IF(D24="","",D24)</f>
        <v/>
      </c>
      <c r="E29" s="486" t="str">
        <f t="shared" si="28"/>
        <v/>
      </c>
      <c r="F29" s="487" t="str">
        <f t="shared" si="29"/>
        <v/>
      </c>
      <c r="G29" s="545" t="e">
        <f>IF($B26="-","",IF($E29="正規職員","-",IF(AND(EXACT(B21,B26),EXACT(D24,D29),EXACT(E24,E29)),G24,"賃金単価を記載")))</f>
        <v>#N/A</v>
      </c>
      <c r="H29" s="487" t="str">
        <f>IF($D29="","",IF($E29="正規職員","-",F29*G29))</f>
        <v/>
      </c>
      <c r="I29" s="487">
        <f t="shared" si="9"/>
        <v>288666.66666667</v>
      </c>
      <c r="J29" s="487" t="str">
        <f t="shared" si="30"/>
        <v/>
      </c>
      <c r="K29" s="488" t="str">
        <f t="shared" si="31"/>
        <v/>
      </c>
      <c r="L29" s="343">
        <f t="shared" si="32"/>
        <v>7</v>
      </c>
      <c r="M29" s="343" t="e">
        <f>VLOOKUP($D29&amp;M$5,'②-2勤務時間数入力'!$D$7:$Q$106,$L29,FALSE)</f>
        <v>#N/A</v>
      </c>
      <c r="N29" s="343" t="str">
        <f>IF(ISERROR(M29),"×",IF(M29="-","×","○"))</f>
        <v>×</v>
      </c>
      <c r="O29" s="343" t="e">
        <f>VLOOKUP($D29&amp;O$5,'②-2勤務時間数入力'!$D$7:$Q$106,$L29,FALSE)</f>
        <v>#N/A</v>
      </c>
      <c r="P29" s="343" t="str">
        <f>IF(ISERROR(O29),"×",IF(O29="-","×","○"))</f>
        <v>×</v>
      </c>
      <c r="Q29" s="343" t="e">
        <f>VLOOKUP($D29&amp;Q$5,'②-2勤務時間数入力'!$D$7:$Q$106,$L29,FALSE)</f>
        <v>#N/A</v>
      </c>
      <c r="R29" s="343" t="str">
        <f>IF(ISERROR(Q29),"×",IF(Q29="-","×","○"))</f>
        <v>×</v>
      </c>
      <c r="S29" s="343" t="e">
        <f>VLOOKUP($D29&amp;S$5,'②-2勤務時間数入力'!$D$7:$Q$106,$L29,FALSE)</f>
        <v>#N/A</v>
      </c>
      <c r="T29" s="343" t="str">
        <f>IF(ISERROR(S29),"×",IF(S29="-","×","○"))</f>
        <v>×</v>
      </c>
      <c r="X29" s="455" t="str">
        <f t="shared" si="4"/>
        <v>〇</v>
      </c>
    </row>
    <row r="30" spans="1:24" ht="13.5" customHeight="1">
      <c r="A30" s="845"/>
      <c r="B30" s="864"/>
      <c r="C30" s="501"/>
      <c r="D30" s="342" t="s">
        <v>259</v>
      </c>
      <c r="E30" s="486" t="s">
        <v>255</v>
      </c>
      <c r="F30" s="497"/>
      <c r="G30" s="486" t="s">
        <v>255</v>
      </c>
      <c r="H30" s="486" t="s">
        <v>255</v>
      </c>
      <c r="I30" s="486" t="s">
        <v>255</v>
      </c>
      <c r="J30" s="487" t="str">
        <f>IFERROR(IF(J26="","",MIN(SUM(J26:J29),(B26*I26))),0)</f>
        <v/>
      </c>
      <c r="K30" s="488"/>
      <c r="L30" s="343"/>
      <c r="M30" s="343"/>
      <c r="N30" s="343"/>
      <c r="O30" s="343"/>
      <c r="P30" s="343"/>
      <c r="Q30" s="343"/>
      <c r="R30" s="343"/>
      <c r="S30" s="343"/>
      <c r="T30" s="343"/>
      <c r="W30" s="455"/>
      <c r="X30" s="455" t="str">
        <f t="shared" si="4"/>
        <v>〇</v>
      </c>
    </row>
    <row r="31" spans="1:24" ht="13.5" customHeight="1">
      <c r="A31" s="844">
        <v>9</v>
      </c>
      <c r="B31" s="863" t="e">
        <f>加算判定!O9</f>
        <v>#N/A</v>
      </c>
      <c r="C31" s="863" t="e">
        <f>加算判定!P9</f>
        <v>#N/A</v>
      </c>
      <c r="D31" s="546" t="str">
        <f>IF(D26="","",D26)</f>
        <v/>
      </c>
      <c r="E31" s="486" t="str">
        <f>IF(D31="","",IF(N31="○",M$5,IF(P31="○",O$5,IF(R31="○",Q$5,IF(T31="○",S$5,"ERROR")))))</f>
        <v/>
      </c>
      <c r="F31" s="487" t="str">
        <f>IF(D31="","",IF(N31="○",M31,IF(P31="○",O31,IF(R31="○",Q31,IF(T31="○",S31,"ERROR")))))</f>
        <v/>
      </c>
      <c r="G31" s="545" t="e">
        <f>IF($B31="-","",IF($E31="正規職員","-",IF(AND(EXACT(B26,B31),EXACT(D26,D31),EXACT(E26,E31)),G26,"賃金単価を記載")))</f>
        <v>#N/A</v>
      </c>
      <c r="H31" s="487" t="str">
        <f t="shared" ref="H31:H32" si="33">IF($D31="","",IF($E31="正規職員","-",F31*G31))</f>
        <v/>
      </c>
      <c r="I31" s="487">
        <f t="shared" si="9"/>
        <v>288666.66666667</v>
      </c>
      <c r="J31" s="487" t="str">
        <f>IF($D31="","",IF(E31="正規職員",I31,MIN(H31:I31)))</f>
        <v/>
      </c>
      <c r="K31" s="488" t="str">
        <f>IF(D31="","",IF(OR(COUNTIFS(D31,"*要配慮*")=1,COUNTIFS(D31,"*医療的ケア*")=1),"○","エラー"))</f>
        <v/>
      </c>
      <c r="L31" s="343">
        <f>L26+1</f>
        <v>8</v>
      </c>
      <c r="M31" s="343" t="e">
        <f>VLOOKUP($D31&amp;M$5,'②-2勤務時間数入力'!$D$7:$Q$106,$L31,FALSE)</f>
        <v>#N/A</v>
      </c>
      <c r="N31" s="343" t="str">
        <f>IF(ISERROR(M31),"×",IF(M31="-","×","○"))</f>
        <v>×</v>
      </c>
      <c r="O31" s="343" t="e">
        <f>VLOOKUP($D31&amp;O$5,'②-2勤務時間数入力'!$D$7:$Q$106,$L31,FALSE)</f>
        <v>#N/A</v>
      </c>
      <c r="P31" s="343" t="str">
        <f>IF(ISERROR(O31),"×",IF(O31="-","×","○"))</f>
        <v>×</v>
      </c>
      <c r="Q31" s="343" t="e">
        <f>VLOOKUP($D31&amp;Q$5,'②-2勤務時間数入力'!$D$7:$Q$106,$L31,FALSE)</f>
        <v>#N/A</v>
      </c>
      <c r="R31" s="343" t="str">
        <f>IF(ISERROR(Q31),"×",IF(Q31="-","×","○"))</f>
        <v>×</v>
      </c>
      <c r="S31" s="343" t="e">
        <f>VLOOKUP($D31&amp;S$5,'②-2勤務時間数入力'!$D$7:$Q$106,$L31,FALSE)</f>
        <v>#N/A</v>
      </c>
      <c r="T31" s="343" t="str">
        <f>IF(ISERROR(S31),"×",IF(S31="-","×","○"))</f>
        <v>×</v>
      </c>
      <c r="W31" s="455" t="str">
        <f>IFERROR(IF(AND(C31="保育士等",D31="",D32=""),"×","〇"),"〇")</f>
        <v>〇</v>
      </c>
      <c r="X31" s="455" t="str">
        <f t="shared" si="4"/>
        <v>〇</v>
      </c>
    </row>
    <row r="32" spans="1:24" ht="13.5" customHeight="1">
      <c r="A32" s="861"/>
      <c r="B32" s="864"/>
      <c r="C32" s="867"/>
      <c r="D32" s="546" t="str">
        <f>IF(D27="","",D27)</f>
        <v/>
      </c>
      <c r="E32" s="486" t="str">
        <f t="shared" ref="E32:E34" si="34">IF(D32="","",IF(N32="○",M$5,IF(P32="○",O$5,IF(R32="○",Q$5,IF(T32="○",S$5,"ERROR")))))</f>
        <v/>
      </c>
      <c r="F32" s="487" t="str">
        <f t="shared" ref="F32:F34" si="35">IF(D32="","",IF(N32="○",M32,IF(P32="○",O32,IF(R32="○",Q32,IF(T32="○",S32,"ERROR")))))</f>
        <v/>
      </c>
      <c r="G32" s="545" t="e">
        <f>IF($B31="-","",IF($E32="正規職員","-",IF(AND(EXACT(B26,B31),EXACT(D27,D32),EXACT(E27,E32)),G27,"賃金単価を記載")))</f>
        <v>#N/A</v>
      </c>
      <c r="H32" s="487" t="str">
        <f t="shared" si="33"/>
        <v/>
      </c>
      <c r="I32" s="487">
        <f t="shared" si="9"/>
        <v>288666.66666667</v>
      </c>
      <c r="J32" s="487" t="str">
        <f t="shared" ref="J32:J34" si="36">IF($D32="","",IF(E32="正規職員",I32,MIN(H32:I32)))</f>
        <v/>
      </c>
      <c r="K32" s="488" t="str">
        <f t="shared" ref="K32:K34" si="37">IF(D32="","",IF(OR(COUNTIFS(D32,"*要配慮*")=1,COUNTIFS(D32,"*医療的ケア*")=1),"○","エラー"))</f>
        <v/>
      </c>
      <c r="L32" s="343">
        <f>L31</f>
        <v>8</v>
      </c>
      <c r="M32" s="343" t="e">
        <f>VLOOKUP($D32&amp;M$5,'②-2勤務時間数入力'!$D$7:$Q$106,$L32,FALSE)</f>
        <v>#N/A</v>
      </c>
      <c r="N32" s="343" t="str">
        <f>IF(ISERROR(M32),"×",IF(M32="-","×","○"))</f>
        <v>×</v>
      </c>
      <c r="O32" s="343" t="e">
        <f>VLOOKUP($D32&amp;O$5,'②-2勤務時間数入力'!$D$7:$Q$106,$L32,FALSE)</f>
        <v>#N/A</v>
      </c>
      <c r="P32" s="343" t="str">
        <f>IF(ISERROR(O32),"×",IF(O32="-","×","○"))</f>
        <v>×</v>
      </c>
      <c r="Q32" s="343" t="e">
        <f>VLOOKUP($D32&amp;Q$5,'②-2勤務時間数入力'!$D$7:$Q$106,$L32,FALSE)</f>
        <v>#N/A</v>
      </c>
      <c r="R32" s="343" t="str">
        <f>IF(ISERROR(Q32),"×",IF(Q32="-","×","○"))</f>
        <v>×</v>
      </c>
      <c r="S32" s="343" t="e">
        <f>VLOOKUP($D32&amp;S$5,'②-2勤務時間数入力'!$D$7:$Q$106,$L32,FALSE)</f>
        <v>#N/A</v>
      </c>
      <c r="T32" s="343" t="str">
        <f>IF(ISERROR(S32),"×",IF(S32="-","×","○"))</f>
        <v>×</v>
      </c>
      <c r="W32" s="455"/>
      <c r="X32" s="455" t="str">
        <f t="shared" si="4"/>
        <v>〇</v>
      </c>
    </row>
    <row r="33" spans="1:24" ht="13.5" customHeight="1">
      <c r="A33" s="861"/>
      <c r="B33" s="864"/>
      <c r="C33" s="881" t="s">
        <v>255</v>
      </c>
      <c r="D33" s="546" t="str">
        <f>IF(D28="","",D28)</f>
        <v/>
      </c>
      <c r="E33" s="486" t="str">
        <f t="shared" si="34"/>
        <v/>
      </c>
      <c r="F33" s="487" t="str">
        <f t="shared" si="35"/>
        <v/>
      </c>
      <c r="G33" s="545" t="e">
        <f>IF($B31="-","",IF($E33="正規職員","-",IF(AND(EXACT(B26,B31),EXACT(D28,D33),EXACT(E28,E33)),G28,"賃金単価を記載")))</f>
        <v>#N/A</v>
      </c>
      <c r="H33" s="487" t="str">
        <f>IF($D33="","",IF($E33="正規職員","-",F33*G33))</f>
        <v/>
      </c>
      <c r="I33" s="487">
        <f t="shared" si="9"/>
        <v>288666.66666667</v>
      </c>
      <c r="J33" s="487" t="str">
        <f t="shared" si="36"/>
        <v/>
      </c>
      <c r="K33" s="488" t="str">
        <f t="shared" si="37"/>
        <v/>
      </c>
      <c r="L33" s="343">
        <f t="shared" ref="L33:L34" si="38">L32</f>
        <v>8</v>
      </c>
      <c r="M33" s="343" t="e">
        <f>VLOOKUP($D33&amp;M$5,'②-2勤務時間数入力'!$D$7:$Q$106,$L33,FALSE)</f>
        <v>#N/A</v>
      </c>
      <c r="N33" s="343" t="str">
        <f>IF(ISERROR(M33),"×",IF(M33="-","×","○"))</f>
        <v>×</v>
      </c>
      <c r="O33" s="343" t="e">
        <f>VLOOKUP($D33&amp;O$5,'②-2勤務時間数入力'!$D$7:$Q$106,$L33,FALSE)</f>
        <v>#N/A</v>
      </c>
      <c r="P33" s="343" t="str">
        <f>IF(ISERROR(O33),"×",IF(O33="-","×","○"))</f>
        <v>×</v>
      </c>
      <c r="Q33" s="343" t="e">
        <f>VLOOKUP($D33&amp;Q$5,'②-2勤務時間数入力'!$D$7:$Q$106,$L33,FALSE)</f>
        <v>#N/A</v>
      </c>
      <c r="R33" s="343" t="str">
        <f>IF(ISERROR(Q33),"×",IF(Q33="-","×","○"))</f>
        <v>×</v>
      </c>
      <c r="S33" s="343" t="e">
        <f>VLOOKUP($D33&amp;S$5,'②-2勤務時間数入力'!$D$7:$Q$106,$L33,FALSE)</f>
        <v>#N/A</v>
      </c>
      <c r="T33" s="343" t="str">
        <f>IF(ISERROR(S33),"×",IF(S33="-","×","○"))</f>
        <v>×</v>
      </c>
      <c r="X33" s="455" t="str">
        <f t="shared" si="4"/>
        <v>〇</v>
      </c>
    </row>
    <row r="34" spans="1:24" ht="13.5" customHeight="1">
      <c r="A34" s="880"/>
      <c r="B34" s="864"/>
      <c r="C34" s="743"/>
      <c r="D34" s="546" t="str">
        <f>IF(D29="","",D29)</f>
        <v/>
      </c>
      <c r="E34" s="486" t="str">
        <f t="shared" si="34"/>
        <v/>
      </c>
      <c r="F34" s="487" t="str">
        <f t="shared" si="35"/>
        <v/>
      </c>
      <c r="G34" s="545" t="e">
        <f>IF($B31="-","",IF($E34="正規職員","-",IF(AND(EXACT(B26,B31),EXACT(D29,D34),EXACT(E29,E34)),G29,"賃金単価を記載")))</f>
        <v>#N/A</v>
      </c>
      <c r="H34" s="487" t="str">
        <f>IF($D34="","",IF($E34="正規職員","-",F34*G34))</f>
        <v/>
      </c>
      <c r="I34" s="487">
        <f t="shared" si="9"/>
        <v>288666.66666667</v>
      </c>
      <c r="J34" s="487" t="str">
        <f t="shared" si="36"/>
        <v/>
      </c>
      <c r="K34" s="488" t="str">
        <f t="shared" si="37"/>
        <v/>
      </c>
      <c r="L34" s="343">
        <f t="shared" si="38"/>
        <v>8</v>
      </c>
      <c r="M34" s="343" t="e">
        <f>VLOOKUP($D34&amp;M$5,'②-2勤務時間数入力'!$D$7:$Q$106,$L34,FALSE)</f>
        <v>#N/A</v>
      </c>
      <c r="N34" s="343" t="str">
        <f>IF(ISERROR(M34),"×",IF(M34="-","×","○"))</f>
        <v>×</v>
      </c>
      <c r="O34" s="343" t="e">
        <f>VLOOKUP($D34&amp;O$5,'②-2勤務時間数入力'!$D$7:$Q$106,$L34,FALSE)</f>
        <v>#N/A</v>
      </c>
      <c r="P34" s="343" t="str">
        <f>IF(ISERROR(O34),"×",IF(O34="-","×","○"))</f>
        <v>×</v>
      </c>
      <c r="Q34" s="343" t="e">
        <f>VLOOKUP($D34&amp;Q$5,'②-2勤務時間数入力'!$D$7:$Q$106,$L34,FALSE)</f>
        <v>#N/A</v>
      </c>
      <c r="R34" s="343" t="str">
        <f>IF(ISERROR(Q34),"×",IF(Q34="-","×","○"))</f>
        <v>×</v>
      </c>
      <c r="S34" s="343" t="e">
        <f>VLOOKUP($D34&amp;S$5,'②-2勤務時間数入力'!$D$7:$Q$106,$L34,FALSE)</f>
        <v>#N/A</v>
      </c>
      <c r="T34" s="343" t="str">
        <f>IF(ISERROR(S34),"×",IF(S34="-","×","○"))</f>
        <v>×</v>
      </c>
      <c r="W34" s="455"/>
      <c r="X34" s="455" t="str">
        <f t="shared" si="4"/>
        <v>〇</v>
      </c>
    </row>
    <row r="35" spans="1:24" ht="13.5" customHeight="1">
      <c r="A35" s="845"/>
      <c r="B35" s="864"/>
      <c r="C35" s="501"/>
      <c r="D35" s="342" t="s">
        <v>260</v>
      </c>
      <c r="E35" s="486" t="s">
        <v>255</v>
      </c>
      <c r="F35" s="497"/>
      <c r="G35" s="486" t="s">
        <v>255</v>
      </c>
      <c r="H35" s="486" t="s">
        <v>255</v>
      </c>
      <c r="I35" s="486" t="s">
        <v>255</v>
      </c>
      <c r="J35" s="487" t="str">
        <f>IFERROR(IF(J31="","",MIN(SUM(J31:J34),(B31*I31))),0)</f>
        <v/>
      </c>
      <c r="K35" s="488"/>
      <c r="L35" s="343"/>
      <c r="M35" s="343"/>
      <c r="N35" s="343"/>
      <c r="O35" s="343"/>
      <c r="P35" s="343"/>
      <c r="Q35" s="343"/>
      <c r="R35" s="343"/>
      <c r="S35" s="343"/>
      <c r="T35" s="343"/>
      <c r="X35" s="455" t="str">
        <f t="shared" si="4"/>
        <v>〇</v>
      </c>
    </row>
    <row r="36" spans="1:24" ht="13.5" customHeight="1">
      <c r="A36" s="844">
        <v>10</v>
      </c>
      <c r="B36" s="863" t="e">
        <f>加算判定!O10</f>
        <v>#N/A</v>
      </c>
      <c r="C36" s="863" t="e">
        <f>加算判定!P10</f>
        <v>#N/A</v>
      </c>
      <c r="D36" s="546" t="str">
        <f>IF(D31="","",D31)</f>
        <v/>
      </c>
      <c r="E36" s="486" t="str">
        <f>IF(D36="","",IF(N36="○",M$5,IF(P36="○",O$5,IF(R36="○",Q$5,IF(T36="○",S$5,"ERROR")))))</f>
        <v/>
      </c>
      <c r="F36" s="487" t="str">
        <f>IF(D36="","",IF(N36="○",M36,IF(P36="○",O36,IF(R36="○",Q36,IF(T36="○",S36,"ERROR")))))</f>
        <v/>
      </c>
      <c r="G36" s="545" t="e">
        <f>IF($B36="-","",IF($E36="正規職員","-",IF(AND(EXACT(B31,B36),EXACT(D31,D36),EXACT(E31,E36)),G31,"賃金単価を記載")))</f>
        <v>#N/A</v>
      </c>
      <c r="H36" s="487" t="str">
        <f t="shared" ref="H36:H37" si="39">IF($D36="","",IF($E36="正規職員","-",F36*G36))</f>
        <v/>
      </c>
      <c r="I36" s="487">
        <f t="shared" si="9"/>
        <v>288666.66666667</v>
      </c>
      <c r="J36" s="487" t="str">
        <f>IF($D36="","",IF(E36="正規職員",I36,MIN(H36:I36)))</f>
        <v/>
      </c>
      <c r="K36" s="488" t="str">
        <f>IF(D36="","",IF(OR(COUNTIFS(D36,"*要配慮*")=1,COUNTIFS(D36,"*医療的ケア*")=1),"○","エラー"))</f>
        <v/>
      </c>
      <c r="L36" s="343">
        <f>L31+1</f>
        <v>9</v>
      </c>
      <c r="M36" s="343" t="e">
        <f>VLOOKUP($D36&amp;M$5,'②-2勤務時間数入力'!$D$7:$Q$106,$L36,FALSE)</f>
        <v>#N/A</v>
      </c>
      <c r="N36" s="343" t="str">
        <f>IF(ISERROR(M36),"×",IF(M36="-","×","○"))</f>
        <v>×</v>
      </c>
      <c r="O36" s="343" t="e">
        <f>VLOOKUP($D36&amp;O$5,'②-2勤務時間数入力'!$D$7:$Q$106,$L36,FALSE)</f>
        <v>#N/A</v>
      </c>
      <c r="P36" s="343" t="str">
        <f>IF(ISERROR(O36),"×",IF(O36="-","×","○"))</f>
        <v>×</v>
      </c>
      <c r="Q36" s="343" t="e">
        <f>VLOOKUP($D36&amp;Q$5,'②-2勤務時間数入力'!$D$7:$Q$106,$L36,FALSE)</f>
        <v>#N/A</v>
      </c>
      <c r="R36" s="343" t="str">
        <f>IF(ISERROR(Q36),"×",IF(Q36="-","×","○"))</f>
        <v>×</v>
      </c>
      <c r="S36" s="343" t="e">
        <f>VLOOKUP($D36&amp;S$5,'②-2勤務時間数入力'!$D$7:$Q$106,$L36,FALSE)</f>
        <v>#N/A</v>
      </c>
      <c r="T36" s="343" t="str">
        <f>IF(ISERROR(S36),"×",IF(S36="-","×","○"))</f>
        <v>×</v>
      </c>
      <c r="W36" s="455" t="str">
        <f>IFERROR(IF(AND(C36="保育士等",D36="",D37=""),"×","〇"),"〇")</f>
        <v>〇</v>
      </c>
      <c r="X36" s="455" t="str">
        <f t="shared" si="4"/>
        <v>〇</v>
      </c>
    </row>
    <row r="37" spans="1:24" ht="13.5" customHeight="1">
      <c r="A37" s="861"/>
      <c r="B37" s="864"/>
      <c r="C37" s="867"/>
      <c r="D37" s="546" t="str">
        <f>IF(D32="","",D32)</f>
        <v/>
      </c>
      <c r="E37" s="486" t="str">
        <f t="shared" ref="E37:E39" si="40">IF(D37="","",IF(N37="○",M$5,IF(P37="○",O$5,IF(R37="○",Q$5,IF(T37="○",S$5,"ERROR")))))</f>
        <v/>
      </c>
      <c r="F37" s="487" t="str">
        <f t="shared" ref="F37:F39" si="41">IF(D37="","",IF(N37="○",M37,IF(P37="○",O37,IF(R37="○",Q37,IF(T37="○",S37,"ERROR")))))</f>
        <v/>
      </c>
      <c r="G37" s="545" t="e">
        <f>IF($B36="-","",IF($E37="正規職員","-",IF(AND(EXACT(B31,B36),EXACT(D32,D37),EXACT(E32,E37)),G32,"賃金単価を記載")))</f>
        <v>#N/A</v>
      </c>
      <c r="H37" s="487" t="str">
        <f t="shared" si="39"/>
        <v/>
      </c>
      <c r="I37" s="487">
        <f t="shared" si="9"/>
        <v>288666.66666667</v>
      </c>
      <c r="J37" s="487" t="str">
        <f t="shared" ref="J37:J39" si="42">IF($D37="","",IF(E37="正規職員",I37,MIN(H37:I37)))</f>
        <v/>
      </c>
      <c r="K37" s="488" t="str">
        <f t="shared" ref="K37:K39" si="43">IF(D37="","",IF(OR(COUNTIFS(D37,"*要配慮*")=1,COUNTIFS(D37,"*医療的ケア*")=1),"○","エラー"))</f>
        <v/>
      </c>
      <c r="L37" s="343">
        <f t="shared" ref="L37:L39" si="44">L36</f>
        <v>9</v>
      </c>
      <c r="M37" s="343" t="e">
        <f>VLOOKUP($D37&amp;M$5,'②-2勤務時間数入力'!$D$7:$Q$106,$L37,FALSE)</f>
        <v>#N/A</v>
      </c>
      <c r="N37" s="343" t="str">
        <f>IF(ISERROR(M37),"×",IF(M37="-","×","○"))</f>
        <v>×</v>
      </c>
      <c r="O37" s="343" t="e">
        <f>VLOOKUP($D37&amp;O$5,'②-2勤務時間数入力'!$D$7:$Q$106,$L37,FALSE)</f>
        <v>#N/A</v>
      </c>
      <c r="P37" s="343" t="str">
        <f>IF(ISERROR(O37),"×",IF(O37="-","×","○"))</f>
        <v>×</v>
      </c>
      <c r="Q37" s="343" t="e">
        <f>VLOOKUP($D37&amp;Q$5,'②-2勤務時間数入力'!$D$7:$Q$106,$L37,FALSE)</f>
        <v>#N/A</v>
      </c>
      <c r="R37" s="343" t="str">
        <f>IF(ISERROR(Q37),"×",IF(Q37="-","×","○"))</f>
        <v>×</v>
      </c>
      <c r="S37" s="343" t="e">
        <f>VLOOKUP($D37&amp;S$5,'②-2勤務時間数入力'!$D$7:$Q$106,$L37,FALSE)</f>
        <v>#N/A</v>
      </c>
      <c r="T37" s="343" t="str">
        <f>IF(ISERROR(S37),"×",IF(S37="-","×","○"))</f>
        <v>×</v>
      </c>
      <c r="X37" s="455" t="str">
        <f t="shared" si="4"/>
        <v>〇</v>
      </c>
    </row>
    <row r="38" spans="1:24" ht="13.5" customHeight="1">
      <c r="A38" s="861"/>
      <c r="B38" s="864"/>
      <c r="C38" s="881" t="s">
        <v>255</v>
      </c>
      <c r="D38" s="546" t="str">
        <f>IF(D33="","",D33)</f>
        <v/>
      </c>
      <c r="E38" s="486" t="str">
        <f t="shared" si="40"/>
        <v/>
      </c>
      <c r="F38" s="487" t="str">
        <f t="shared" si="41"/>
        <v/>
      </c>
      <c r="G38" s="545" t="e">
        <f>IF($B36="-","",IF($E38="正規職員","-",IF(AND(EXACT(B31,B36),EXACT(D33,D38),EXACT(E33,E38)),G33,"賃金単価を記載")))</f>
        <v>#N/A</v>
      </c>
      <c r="H38" s="487" t="str">
        <f>IF($D38="","",IF($E38="正規職員","-",F38*G38))</f>
        <v/>
      </c>
      <c r="I38" s="487">
        <f t="shared" si="9"/>
        <v>288666.66666667</v>
      </c>
      <c r="J38" s="487" t="str">
        <f t="shared" si="42"/>
        <v/>
      </c>
      <c r="K38" s="488" t="str">
        <f t="shared" si="43"/>
        <v/>
      </c>
      <c r="L38" s="343">
        <f t="shared" si="44"/>
        <v>9</v>
      </c>
      <c r="M38" s="343" t="e">
        <f>VLOOKUP($D38&amp;M$5,'②-2勤務時間数入力'!$D$7:$Q$106,$L38,FALSE)</f>
        <v>#N/A</v>
      </c>
      <c r="N38" s="343" t="str">
        <f>IF(ISERROR(M38),"×",IF(M38="-","×","○"))</f>
        <v>×</v>
      </c>
      <c r="O38" s="343" t="e">
        <f>VLOOKUP($D38&amp;O$5,'②-2勤務時間数入力'!$D$7:$Q$106,$L38,FALSE)</f>
        <v>#N/A</v>
      </c>
      <c r="P38" s="343" t="str">
        <f>IF(ISERROR(O38),"×",IF(O38="-","×","○"))</f>
        <v>×</v>
      </c>
      <c r="Q38" s="343" t="e">
        <f>VLOOKUP($D38&amp;Q$5,'②-2勤務時間数入力'!$D$7:$Q$106,$L38,FALSE)</f>
        <v>#N/A</v>
      </c>
      <c r="R38" s="343" t="str">
        <f>IF(ISERROR(Q38),"×",IF(Q38="-","×","○"))</f>
        <v>×</v>
      </c>
      <c r="S38" s="343" t="e">
        <f>VLOOKUP($D38&amp;S$5,'②-2勤務時間数入力'!$D$7:$Q$106,$L38,FALSE)</f>
        <v>#N/A</v>
      </c>
      <c r="T38" s="343" t="str">
        <f>IF(ISERROR(S38),"×",IF(S38="-","×","○"))</f>
        <v>×</v>
      </c>
      <c r="X38" s="455" t="str">
        <f t="shared" si="4"/>
        <v>〇</v>
      </c>
    </row>
    <row r="39" spans="1:24" ht="13.5" customHeight="1">
      <c r="A39" s="880"/>
      <c r="B39" s="864"/>
      <c r="C39" s="743"/>
      <c r="D39" s="546" t="str">
        <f>IF(D34="","",D34)</f>
        <v/>
      </c>
      <c r="E39" s="486" t="str">
        <f t="shared" si="40"/>
        <v/>
      </c>
      <c r="F39" s="487" t="str">
        <f t="shared" si="41"/>
        <v/>
      </c>
      <c r="G39" s="545" t="e">
        <f>IF($B36="-","",IF($E39="正規職員","-",IF(AND(EXACT(B31,B36),EXACT(D34,D39),EXACT(E34,E39)),G34,"賃金単価を記載")))</f>
        <v>#N/A</v>
      </c>
      <c r="H39" s="487" t="str">
        <f>IF($D39="","",IF($E39="正規職員","-",F39*G39))</f>
        <v/>
      </c>
      <c r="I39" s="487">
        <f t="shared" si="9"/>
        <v>288666.66666667</v>
      </c>
      <c r="J39" s="487" t="str">
        <f t="shared" si="42"/>
        <v/>
      </c>
      <c r="K39" s="488" t="str">
        <f t="shared" si="43"/>
        <v/>
      </c>
      <c r="L39" s="343">
        <f t="shared" si="44"/>
        <v>9</v>
      </c>
      <c r="M39" s="343" t="e">
        <f>VLOOKUP($D39&amp;M$5,'②-2勤務時間数入力'!$D$7:$Q$106,$L39,FALSE)</f>
        <v>#N/A</v>
      </c>
      <c r="N39" s="343" t="str">
        <f>IF(ISERROR(M39),"×",IF(M39="-","×","○"))</f>
        <v>×</v>
      </c>
      <c r="O39" s="343" t="e">
        <f>VLOOKUP($D39&amp;O$5,'②-2勤務時間数入力'!$D$7:$Q$106,$L39,FALSE)</f>
        <v>#N/A</v>
      </c>
      <c r="P39" s="343" t="str">
        <f>IF(ISERROR(O39),"×",IF(O39="-","×","○"))</f>
        <v>×</v>
      </c>
      <c r="Q39" s="343" t="e">
        <f>VLOOKUP($D39&amp;Q$5,'②-2勤務時間数入力'!$D$7:$Q$106,$L39,FALSE)</f>
        <v>#N/A</v>
      </c>
      <c r="R39" s="343" t="str">
        <f>IF(ISERROR(Q39),"×",IF(Q39="-","×","○"))</f>
        <v>×</v>
      </c>
      <c r="S39" s="343" t="e">
        <f>VLOOKUP($D39&amp;S$5,'②-2勤務時間数入力'!$D$7:$Q$106,$L39,FALSE)</f>
        <v>#N/A</v>
      </c>
      <c r="T39" s="343" t="str">
        <f>IF(ISERROR(S39),"×",IF(S39="-","×","○"))</f>
        <v>×</v>
      </c>
      <c r="W39" s="455"/>
      <c r="X39" s="455" t="str">
        <f t="shared" si="4"/>
        <v>〇</v>
      </c>
    </row>
    <row r="40" spans="1:24" ht="13.5" customHeight="1">
      <c r="A40" s="845"/>
      <c r="B40" s="864"/>
      <c r="C40" s="501"/>
      <c r="D40" s="342" t="s">
        <v>261</v>
      </c>
      <c r="E40" s="486" t="s">
        <v>255</v>
      </c>
      <c r="F40" s="497"/>
      <c r="G40" s="486" t="s">
        <v>255</v>
      </c>
      <c r="H40" s="486" t="s">
        <v>255</v>
      </c>
      <c r="I40" s="486" t="s">
        <v>255</v>
      </c>
      <c r="J40" s="487" t="str">
        <f>IFERROR(IF(J36="","",MIN(SUM(J36:J39),(B36*I36))),0)</f>
        <v/>
      </c>
      <c r="K40" s="488"/>
      <c r="L40" s="343"/>
      <c r="M40" s="343"/>
      <c r="N40" s="343"/>
      <c r="O40" s="343"/>
      <c r="P40" s="343"/>
      <c r="Q40" s="343"/>
      <c r="R40" s="343"/>
      <c r="S40" s="343"/>
      <c r="T40" s="343"/>
      <c r="X40" s="455" t="str">
        <f t="shared" si="4"/>
        <v>〇</v>
      </c>
    </row>
    <row r="41" spans="1:24" ht="13.5" customHeight="1">
      <c r="A41" s="844">
        <v>11</v>
      </c>
      <c r="B41" s="863" t="e">
        <f>加算判定!O11</f>
        <v>#N/A</v>
      </c>
      <c r="C41" s="863" t="e">
        <f>加算判定!P11</f>
        <v>#N/A</v>
      </c>
      <c r="D41" s="546" t="str">
        <f>IF(D36="","",D36)</f>
        <v/>
      </c>
      <c r="E41" s="486" t="str">
        <f>IF(D41="","",IF(N41="○",M$5,IF(P41="○",O$5,IF(R41="○",Q$5,IF(T41="○",S$5,"ERROR")))))</f>
        <v/>
      </c>
      <c r="F41" s="487" t="str">
        <f>IF(D41="","",IF(N41="○",M41,IF(P41="○",O41,IF(R41="○",Q41,IF(T41="○",S41,"ERROR")))))</f>
        <v/>
      </c>
      <c r="G41" s="545" t="e">
        <f>IF($B41="-","",IF($E41="正規職員","-",IF(AND(EXACT(B36,B41),EXACT(D36,D41),EXACT(E36,E41)),G36,"賃金単価を記載")))</f>
        <v>#N/A</v>
      </c>
      <c r="H41" s="487" t="str">
        <f t="shared" ref="H41:H42" si="45">IF($D41="","",IF($E41="正規職員","-",F41*G41))</f>
        <v/>
      </c>
      <c r="I41" s="487">
        <f t="shared" si="9"/>
        <v>288666.66666667</v>
      </c>
      <c r="J41" s="487" t="str">
        <f>IF($D41="","",IF(E41="正規職員",I41,MIN(H41:I41)))</f>
        <v/>
      </c>
      <c r="K41" s="488" t="str">
        <f>IF(D41="","",IF(OR(COUNTIFS(D41,"*要配慮*")=1,COUNTIFS(D41,"*医療的ケア*")=1),"○","エラー"))</f>
        <v/>
      </c>
      <c r="L41" s="343">
        <f>L36+1</f>
        <v>10</v>
      </c>
      <c r="M41" s="343" t="e">
        <f>VLOOKUP($D41&amp;M$5,'②-2勤務時間数入力'!$D$7:$Q$106,$L41,FALSE)</f>
        <v>#N/A</v>
      </c>
      <c r="N41" s="343" t="str">
        <f>IF(ISERROR(M41),"×",IF(M41="-","×","○"))</f>
        <v>×</v>
      </c>
      <c r="O41" s="343" t="e">
        <f>VLOOKUP($D41&amp;O$5,'②-2勤務時間数入力'!$D$7:$Q$106,$L41,FALSE)</f>
        <v>#N/A</v>
      </c>
      <c r="P41" s="343" t="str">
        <f>IF(ISERROR(O41),"×",IF(O41="-","×","○"))</f>
        <v>×</v>
      </c>
      <c r="Q41" s="343" t="e">
        <f>VLOOKUP($D41&amp;Q$5,'②-2勤務時間数入力'!$D$7:$Q$106,$L41,FALSE)</f>
        <v>#N/A</v>
      </c>
      <c r="R41" s="343" t="str">
        <f>IF(ISERROR(Q41),"×",IF(Q41="-","×","○"))</f>
        <v>×</v>
      </c>
      <c r="S41" s="343" t="e">
        <f>VLOOKUP($D41&amp;S$5,'②-2勤務時間数入力'!$D$7:$Q$106,$L41,FALSE)</f>
        <v>#N/A</v>
      </c>
      <c r="T41" s="343" t="str">
        <f>IF(ISERROR(S41),"×",IF(S41="-","×","○"))</f>
        <v>×</v>
      </c>
      <c r="W41" s="455" t="str">
        <f>IFERROR(IF(AND(C41="保育士等",D41="",D42=""),"×","〇"),"〇")</f>
        <v>〇</v>
      </c>
      <c r="X41" s="455" t="str">
        <f t="shared" si="4"/>
        <v>〇</v>
      </c>
    </row>
    <row r="42" spans="1:24" ht="13.5" customHeight="1">
      <c r="A42" s="861"/>
      <c r="B42" s="864"/>
      <c r="C42" s="867"/>
      <c r="D42" s="546" t="str">
        <f>IF(D37="","",D37)</f>
        <v/>
      </c>
      <c r="E42" s="486" t="str">
        <f t="shared" ref="E42:E44" si="46">IF(D42="","",IF(N42="○",M$5,IF(P42="○",O$5,IF(R42="○",Q$5,IF(T42="○",S$5,"ERROR")))))</f>
        <v/>
      </c>
      <c r="F42" s="487" t="str">
        <f t="shared" ref="F42:F44" si="47">IF(D42="","",IF(N42="○",M42,IF(P42="○",O42,IF(R42="○",Q42,IF(T42="○",S42,"ERROR")))))</f>
        <v/>
      </c>
      <c r="G42" s="545" t="e">
        <f>IF($B41="-","",IF($E42="正規職員","-",IF(AND(EXACT(B36,B41),EXACT(D37,D42),EXACT(E37,E42)),G37,"賃金単価を記載")))</f>
        <v>#N/A</v>
      </c>
      <c r="H42" s="487" t="str">
        <f t="shared" si="45"/>
        <v/>
      </c>
      <c r="I42" s="487">
        <f t="shared" si="9"/>
        <v>288666.66666667</v>
      </c>
      <c r="J42" s="487" t="str">
        <f t="shared" ref="J42:J44" si="48">IF($D42="","",IF(E42="正規職員",I42,MIN(H42:I42)))</f>
        <v/>
      </c>
      <c r="K42" s="488" t="str">
        <f t="shared" ref="K42:K44" si="49">IF(D42="","",IF(OR(COUNTIFS(D42,"*要配慮*")=1,COUNTIFS(D42,"*医療的ケア*")=1),"○","エラー"))</f>
        <v/>
      </c>
      <c r="L42" s="343">
        <f t="shared" ref="L42:L44" si="50">L41</f>
        <v>10</v>
      </c>
      <c r="M42" s="343" t="e">
        <f>VLOOKUP($D42&amp;M$5,'②-2勤務時間数入力'!$D$7:$Q$106,$L42,FALSE)</f>
        <v>#N/A</v>
      </c>
      <c r="N42" s="343" t="str">
        <f>IF(ISERROR(M42),"×",IF(M42="-","×","○"))</f>
        <v>×</v>
      </c>
      <c r="O42" s="343" t="e">
        <f>VLOOKUP($D42&amp;O$5,'②-2勤務時間数入力'!$D$7:$Q$106,$L42,FALSE)</f>
        <v>#N/A</v>
      </c>
      <c r="P42" s="343" t="str">
        <f>IF(ISERROR(O42),"×",IF(O42="-","×","○"))</f>
        <v>×</v>
      </c>
      <c r="Q42" s="343" t="e">
        <f>VLOOKUP($D42&amp;Q$5,'②-2勤務時間数入力'!$D$7:$Q$106,$L42,FALSE)</f>
        <v>#N/A</v>
      </c>
      <c r="R42" s="343" t="str">
        <f>IF(ISERROR(Q42),"×",IF(Q42="-","×","○"))</f>
        <v>×</v>
      </c>
      <c r="S42" s="343" t="e">
        <f>VLOOKUP($D42&amp;S$5,'②-2勤務時間数入力'!$D$7:$Q$106,$L42,FALSE)</f>
        <v>#N/A</v>
      </c>
      <c r="T42" s="343" t="str">
        <f>IF(ISERROR(S42),"×",IF(S42="-","×","○"))</f>
        <v>×</v>
      </c>
      <c r="X42" s="455" t="str">
        <f t="shared" si="4"/>
        <v>〇</v>
      </c>
    </row>
    <row r="43" spans="1:24" ht="13.5" customHeight="1">
      <c r="A43" s="861"/>
      <c r="B43" s="864"/>
      <c r="C43" s="881" t="s">
        <v>255</v>
      </c>
      <c r="D43" s="546" t="str">
        <f>IF(D38="","",D38)</f>
        <v/>
      </c>
      <c r="E43" s="486" t="str">
        <f t="shared" si="46"/>
        <v/>
      </c>
      <c r="F43" s="487" t="str">
        <f t="shared" si="47"/>
        <v/>
      </c>
      <c r="G43" s="545" t="e">
        <f>IF($B41="-","",IF($E43="正規職員","-",IF(AND(EXACT(B36,B41),EXACT(D38,D43),EXACT(E38,E43)),G38,"賃金単価を記載")))</f>
        <v>#N/A</v>
      </c>
      <c r="H43" s="487" t="str">
        <f>IF($D43="","",IF($E43="正規職員","-",F43*G43))</f>
        <v/>
      </c>
      <c r="I43" s="487">
        <f t="shared" si="9"/>
        <v>288666.66666667</v>
      </c>
      <c r="J43" s="487" t="str">
        <f t="shared" si="48"/>
        <v/>
      </c>
      <c r="K43" s="488" t="str">
        <f t="shared" si="49"/>
        <v/>
      </c>
      <c r="L43" s="343">
        <f t="shared" si="50"/>
        <v>10</v>
      </c>
      <c r="M43" s="343" t="e">
        <f>VLOOKUP($D43&amp;M$5,'②-2勤務時間数入力'!$D$7:$Q$106,$L43,FALSE)</f>
        <v>#N/A</v>
      </c>
      <c r="N43" s="343" t="str">
        <f>IF(ISERROR(M43),"×",IF(M43="-","×","○"))</f>
        <v>×</v>
      </c>
      <c r="O43" s="343" t="e">
        <f>VLOOKUP($D43&amp;O$5,'②-2勤務時間数入力'!$D$7:$Q$106,$L43,FALSE)</f>
        <v>#N/A</v>
      </c>
      <c r="P43" s="343" t="str">
        <f>IF(ISERROR(O43),"×",IF(O43="-","×","○"))</f>
        <v>×</v>
      </c>
      <c r="Q43" s="343" t="e">
        <f>VLOOKUP($D43&amp;Q$5,'②-2勤務時間数入力'!$D$7:$Q$106,$L43,FALSE)</f>
        <v>#N/A</v>
      </c>
      <c r="R43" s="343" t="str">
        <f>IF(ISERROR(Q43),"×",IF(Q43="-","×","○"))</f>
        <v>×</v>
      </c>
      <c r="S43" s="343" t="e">
        <f>VLOOKUP($D43&amp;S$5,'②-2勤務時間数入力'!$D$7:$Q$106,$L43,FALSE)</f>
        <v>#N/A</v>
      </c>
      <c r="T43" s="343" t="str">
        <f>IF(ISERROR(S43),"×",IF(S43="-","×","○"))</f>
        <v>×</v>
      </c>
      <c r="W43" s="455"/>
      <c r="X43" s="455" t="str">
        <f t="shared" si="4"/>
        <v>〇</v>
      </c>
    </row>
    <row r="44" spans="1:24" ht="13.5" customHeight="1">
      <c r="A44" s="880"/>
      <c r="B44" s="864"/>
      <c r="C44" s="743"/>
      <c r="D44" s="546" t="str">
        <f>IF(D39="","",D39)</f>
        <v/>
      </c>
      <c r="E44" s="486" t="str">
        <f t="shared" si="46"/>
        <v/>
      </c>
      <c r="F44" s="487" t="str">
        <f t="shared" si="47"/>
        <v/>
      </c>
      <c r="G44" s="545" t="e">
        <f>IF($B41="-","",IF($E44="正規職員","-",IF(AND(EXACT(B36,B41),EXACT(D39,D44),EXACT(E39,E44)),G39,"賃金単価を記載")))</f>
        <v>#N/A</v>
      </c>
      <c r="H44" s="487" t="str">
        <f>IF($D44="","",IF($E44="正規職員","-",F44*G44))</f>
        <v/>
      </c>
      <c r="I44" s="487">
        <f t="shared" si="9"/>
        <v>288666.66666667</v>
      </c>
      <c r="J44" s="487" t="str">
        <f t="shared" si="48"/>
        <v/>
      </c>
      <c r="K44" s="488" t="str">
        <f t="shared" si="49"/>
        <v/>
      </c>
      <c r="L44" s="343">
        <f t="shared" si="50"/>
        <v>10</v>
      </c>
      <c r="M44" s="343" t="e">
        <f>VLOOKUP($D44&amp;M$5,'②-2勤務時間数入力'!$D$7:$Q$106,$L44,FALSE)</f>
        <v>#N/A</v>
      </c>
      <c r="N44" s="343" t="str">
        <f>IF(ISERROR(M44),"×",IF(M44="-","×","○"))</f>
        <v>×</v>
      </c>
      <c r="O44" s="343" t="e">
        <f>VLOOKUP($D44&amp;O$5,'②-2勤務時間数入力'!$D$7:$Q$106,$L44,FALSE)</f>
        <v>#N/A</v>
      </c>
      <c r="P44" s="343" t="str">
        <f>IF(ISERROR(O44),"×",IF(O44="-","×","○"))</f>
        <v>×</v>
      </c>
      <c r="Q44" s="343" t="e">
        <f>VLOOKUP($D44&amp;Q$5,'②-2勤務時間数入力'!$D$7:$Q$106,$L44,FALSE)</f>
        <v>#N/A</v>
      </c>
      <c r="R44" s="343" t="str">
        <f>IF(ISERROR(Q44),"×",IF(Q44="-","×","○"))</f>
        <v>×</v>
      </c>
      <c r="S44" s="343" t="e">
        <f>VLOOKUP($D44&amp;S$5,'②-2勤務時間数入力'!$D$7:$Q$106,$L44,FALSE)</f>
        <v>#N/A</v>
      </c>
      <c r="T44" s="343" t="str">
        <f>IF(ISERROR(S44),"×",IF(S44="-","×","○"))</f>
        <v>×</v>
      </c>
      <c r="X44" s="455" t="str">
        <f t="shared" si="4"/>
        <v>〇</v>
      </c>
    </row>
    <row r="45" spans="1:24" ht="13.5" customHeight="1">
      <c r="A45" s="845"/>
      <c r="B45" s="864"/>
      <c r="C45" s="501"/>
      <c r="D45" s="342" t="s">
        <v>262</v>
      </c>
      <c r="E45" s="486" t="s">
        <v>255</v>
      </c>
      <c r="F45" s="497"/>
      <c r="G45" s="486" t="s">
        <v>255</v>
      </c>
      <c r="H45" s="486" t="s">
        <v>255</v>
      </c>
      <c r="I45" s="486" t="s">
        <v>255</v>
      </c>
      <c r="J45" s="487" t="str">
        <f>IFERROR(IF(J41="","",MIN(SUM(J41:J44),(B41*I41))),0)</f>
        <v/>
      </c>
      <c r="K45" s="488"/>
      <c r="L45" s="343"/>
      <c r="M45" s="343"/>
      <c r="N45" s="343"/>
      <c r="O45" s="343"/>
      <c r="P45" s="343"/>
      <c r="Q45" s="343"/>
      <c r="R45" s="343"/>
      <c r="S45" s="343"/>
      <c r="T45" s="343"/>
      <c r="W45" s="455"/>
      <c r="X45" s="455" t="str">
        <f t="shared" si="4"/>
        <v>〇</v>
      </c>
    </row>
    <row r="46" spans="1:24" ht="13.5" customHeight="1">
      <c r="A46" s="844">
        <v>12</v>
      </c>
      <c r="B46" s="863" t="e">
        <f>加算判定!O12</f>
        <v>#N/A</v>
      </c>
      <c r="C46" s="863" t="e">
        <f>加算判定!P12</f>
        <v>#N/A</v>
      </c>
      <c r="D46" s="546" t="str">
        <f>IF(D41="","",D41)</f>
        <v/>
      </c>
      <c r="E46" s="486" t="str">
        <f>IF(D46="","",IF(N46="○",M$5,IF(P46="○",O$5,IF(R46="○",Q$5,IF(T46="○",S$5,"ERROR")))))</f>
        <v/>
      </c>
      <c r="F46" s="487" t="str">
        <f>IF(D46="","",IF(N46="○",M46,IF(P46="○",O46,IF(R46="○",Q46,IF(T46="○",S46,"ERROR")))))</f>
        <v/>
      </c>
      <c r="G46" s="545" t="e">
        <f>IF($B46="-","",IF($E46="正規職員","-",IF(AND(EXACT(B41,B46),EXACT(D41,D46),EXACT(E41,E46)),G41,"賃金単価を記載")))</f>
        <v>#N/A</v>
      </c>
      <c r="H46" s="487" t="str">
        <f t="shared" ref="H46:H47" si="51">IF($D46="","",IF($E46="正規職員","-",F46*G46))</f>
        <v/>
      </c>
      <c r="I46" s="487">
        <f t="shared" si="9"/>
        <v>288666.66666667</v>
      </c>
      <c r="J46" s="487" t="str">
        <f>IF($D46="","",IF(E46="正規職員",I46,MIN(H46:I46)))</f>
        <v/>
      </c>
      <c r="K46" s="488" t="str">
        <f>IF(D46="","",IF(OR(COUNTIFS(D46,"*要配慮*")=1,COUNTIFS(D46,"*医療的ケア*")=1),"○","エラー"))</f>
        <v/>
      </c>
      <c r="L46" s="343">
        <f>L41+1</f>
        <v>11</v>
      </c>
      <c r="M46" s="343" t="e">
        <f>VLOOKUP($D46&amp;M$5,'②-2勤務時間数入力'!$D$7:$Q$106,$L46,FALSE)</f>
        <v>#N/A</v>
      </c>
      <c r="N46" s="343" t="str">
        <f>IF(ISERROR(M46),"×",IF(M46="-","×","○"))</f>
        <v>×</v>
      </c>
      <c r="O46" s="343" t="e">
        <f>VLOOKUP($D46&amp;O$5,'②-2勤務時間数入力'!$D$7:$Q$106,$L46,FALSE)</f>
        <v>#N/A</v>
      </c>
      <c r="P46" s="343" t="str">
        <f>IF(ISERROR(O46),"×",IF(O46="-","×","○"))</f>
        <v>×</v>
      </c>
      <c r="Q46" s="343" t="e">
        <f>VLOOKUP($D46&amp;Q$5,'②-2勤務時間数入力'!$D$7:$Q$106,$L46,FALSE)</f>
        <v>#N/A</v>
      </c>
      <c r="R46" s="343" t="str">
        <f>IF(ISERROR(Q46),"×",IF(Q46="-","×","○"))</f>
        <v>×</v>
      </c>
      <c r="S46" s="343" t="e">
        <f>VLOOKUP($D46&amp;S$5,'②-2勤務時間数入力'!$D$7:$Q$106,$L46,FALSE)</f>
        <v>#N/A</v>
      </c>
      <c r="T46" s="343" t="str">
        <f>IF(ISERROR(S46),"×",IF(S46="-","×","○"))</f>
        <v>×</v>
      </c>
      <c r="W46" s="455" t="str">
        <f>IFERROR(IF(AND(C46="保育士等",D46="",D47=""),"×","〇"),"〇")</f>
        <v>〇</v>
      </c>
      <c r="X46" s="455" t="str">
        <f t="shared" si="4"/>
        <v>〇</v>
      </c>
    </row>
    <row r="47" spans="1:24" ht="13.5" customHeight="1">
      <c r="A47" s="861"/>
      <c r="B47" s="864"/>
      <c r="C47" s="867"/>
      <c r="D47" s="546" t="str">
        <f>IF(D42="","",D42)</f>
        <v/>
      </c>
      <c r="E47" s="486" t="str">
        <f t="shared" ref="E47:E49" si="52">IF(D47="","",IF(N47="○",M$5,IF(P47="○",O$5,IF(R47="○",Q$5,IF(T47="○",S$5,"ERROR")))))</f>
        <v/>
      </c>
      <c r="F47" s="487" t="str">
        <f t="shared" ref="F47:F49" si="53">IF(D47="","",IF(N47="○",M47,IF(P47="○",O47,IF(R47="○",Q47,IF(T47="○",S47,"ERROR")))))</f>
        <v/>
      </c>
      <c r="G47" s="545" t="e">
        <f>IF($B46="-","",IF($E47="正規職員","-",IF(AND(EXACT(B41,B46),EXACT(D42,D47),EXACT(E42,E47)),G42,"賃金単価を記載")))</f>
        <v>#N/A</v>
      </c>
      <c r="H47" s="487" t="str">
        <f t="shared" si="51"/>
        <v/>
      </c>
      <c r="I47" s="487">
        <f t="shared" si="9"/>
        <v>288666.66666667</v>
      </c>
      <c r="J47" s="487" t="str">
        <f t="shared" ref="J47:J49" si="54">IF($D47="","",IF(E47="正規職員",I47,MIN(H47:I47)))</f>
        <v/>
      </c>
      <c r="K47" s="488" t="str">
        <f t="shared" ref="K47:K49" si="55">IF(D47="","",IF(OR(COUNTIFS(D47,"*要配慮*")=1,COUNTIFS(D47,"*医療的ケア*")=1),"○","エラー"))</f>
        <v/>
      </c>
      <c r="L47" s="343">
        <f t="shared" ref="L47:L49" si="56">L46</f>
        <v>11</v>
      </c>
      <c r="M47" s="343" t="e">
        <f>VLOOKUP($D47&amp;M$5,'②-2勤務時間数入力'!$D$7:$Q$106,$L47,FALSE)</f>
        <v>#N/A</v>
      </c>
      <c r="N47" s="343" t="str">
        <f>IF(ISERROR(M47),"×",IF(M47="-","×","○"))</f>
        <v>×</v>
      </c>
      <c r="O47" s="343" t="e">
        <f>VLOOKUP($D47&amp;O$5,'②-2勤務時間数入力'!$D$7:$Q$106,$L47,FALSE)</f>
        <v>#N/A</v>
      </c>
      <c r="P47" s="343" t="str">
        <f>IF(ISERROR(O47),"×",IF(O47="-","×","○"))</f>
        <v>×</v>
      </c>
      <c r="Q47" s="343" t="e">
        <f>VLOOKUP($D47&amp;Q$5,'②-2勤務時間数入力'!$D$7:$Q$106,$L47,FALSE)</f>
        <v>#N/A</v>
      </c>
      <c r="R47" s="343" t="str">
        <f>IF(ISERROR(Q47),"×",IF(Q47="-","×","○"))</f>
        <v>×</v>
      </c>
      <c r="S47" s="343" t="e">
        <f>VLOOKUP($D47&amp;S$5,'②-2勤務時間数入力'!$D$7:$Q$106,$L47,FALSE)</f>
        <v>#N/A</v>
      </c>
      <c r="T47" s="343" t="str">
        <f>IF(ISERROR(S47),"×",IF(S47="-","×","○"))</f>
        <v>×</v>
      </c>
      <c r="W47" s="455"/>
      <c r="X47" s="455" t="str">
        <f t="shared" si="4"/>
        <v>〇</v>
      </c>
    </row>
    <row r="48" spans="1:24" ht="13.5" customHeight="1">
      <c r="A48" s="861"/>
      <c r="B48" s="864"/>
      <c r="C48" s="881" t="s">
        <v>255</v>
      </c>
      <c r="D48" s="546" t="str">
        <f>IF(D43="","",D43)</f>
        <v/>
      </c>
      <c r="E48" s="486" t="str">
        <f t="shared" si="52"/>
        <v/>
      </c>
      <c r="F48" s="487" t="str">
        <f t="shared" si="53"/>
        <v/>
      </c>
      <c r="G48" s="545" t="e">
        <f>IF($B46="-","",IF($E48="正規職員","-",IF(AND(EXACT(B41,B46),EXACT(D43,D48),EXACT(E43,E48)),G43,"賃金単価を記載")))</f>
        <v>#N/A</v>
      </c>
      <c r="H48" s="487" t="str">
        <f>IF($D48="","",IF($E48="正規職員","-",F48*G48))</f>
        <v/>
      </c>
      <c r="I48" s="487">
        <f t="shared" si="9"/>
        <v>288666.66666667</v>
      </c>
      <c r="J48" s="487" t="str">
        <f t="shared" si="54"/>
        <v/>
      </c>
      <c r="K48" s="488" t="str">
        <f t="shared" si="55"/>
        <v/>
      </c>
      <c r="L48" s="343">
        <f t="shared" si="56"/>
        <v>11</v>
      </c>
      <c r="M48" s="343" t="e">
        <f>VLOOKUP($D48&amp;M$5,'②-2勤務時間数入力'!$D$7:$Q$106,$L48,FALSE)</f>
        <v>#N/A</v>
      </c>
      <c r="N48" s="343" t="str">
        <f>IF(ISERROR(M48),"×",IF(M48="-","×","○"))</f>
        <v>×</v>
      </c>
      <c r="O48" s="343" t="e">
        <f>VLOOKUP($D48&amp;O$5,'②-2勤務時間数入力'!$D$7:$Q$106,$L48,FALSE)</f>
        <v>#N/A</v>
      </c>
      <c r="P48" s="343" t="str">
        <f>IF(ISERROR(O48),"×",IF(O48="-","×","○"))</f>
        <v>×</v>
      </c>
      <c r="Q48" s="343" t="e">
        <f>VLOOKUP($D48&amp;Q$5,'②-2勤務時間数入力'!$D$7:$Q$106,$L48,FALSE)</f>
        <v>#N/A</v>
      </c>
      <c r="R48" s="343" t="str">
        <f>IF(ISERROR(Q48),"×",IF(Q48="-","×","○"))</f>
        <v>×</v>
      </c>
      <c r="S48" s="343" t="e">
        <f>VLOOKUP($D48&amp;S$5,'②-2勤務時間数入力'!$D$7:$Q$106,$L48,FALSE)</f>
        <v>#N/A</v>
      </c>
      <c r="T48" s="343" t="str">
        <f>IF(ISERROR(S48),"×",IF(S48="-","×","○"))</f>
        <v>×</v>
      </c>
      <c r="X48" s="455" t="str">
        <f t="shared" si="4"/>
        <v>〇</v>
      </c>
    </row>
    <row r="49" spans="1:24" ht="13.5" customHeight="1">
      <c r="A49" s="880"/>
      <c r="B49" s="864"/>
      <c r="C49" s="743"/>
      <c r="D49" s="546" t="str">
        <f>IF(D44="","",D44)</f>
        <v/>
      </c>
      <c r="E49" s="486" t="str">
        <f t="shared" si="52"/>
        <v/>
      </c>
      <c r="F49" s="487" t="str">
        <f t="shared" si="53"/>
        <v/>
      </c>
      <c r="G49" s="545" t="e">
        <f>IF($B46="-","",IF($E49="正規職員","-",IF(AND(EXACT(B41,B46),EXACT(D44,D49),EXACT(E44,E49)),G44,"賃金単価を記載")))</f>
        <v>#N/A</v>
      </c>
      <c r="H49" s="487" t="str">
        <f>IF($D49="","",IF($E49="正規職員","-",F49*G49))</f>
        <v/>
      </c>
      <c r="I49" s="487">
        <f t="shared" si="9"/>
        <v>288666.66666667</v>
      </c>
      <c r="J49" s="487" t="str">
        <f t="shared" si="54"/>
        <v/>
      </c>
      <c r="K49" s="488" t="str">
        <f t="shared" si="55"/>
        <v/>
      </c>
      <c r="L49" s="343">
        <f t="shared" si="56"/>
        <v>11</v>
      </c>
      <c r="M49" s="343" t="e">
        <f>VLOOKUP($D49&amp;M$5,'②-2勤務時間数入力'!$D$7:$Q$106,$L49,FALSE)</f>
        <v>#N/A</v>
      </c>
      <c r="N49" s="343" t="str">
        <f>IF(ISERROR(M49),"×",IF(M49="-","×","○"))</f>
        <v>×</v>
      </c>
      <c r="O49" s="343" t="e">
        <f>VLOOKUP($D49&amp;O$5,'②-2勤務時間数入力'!$D$7:$Q$106,$L49,FALSE)</f>
        <v>#N/A</v>
      </c>
      <c r="P49" s="343" t="str">
        <f>IF(ISERROR(O49),"×",IF(O49="-","×","○"))</f>
        <v>×</v>
      </c>
      <c r="Q49" s="343" t="e">
        <f>VLOOKUP($D49&amp;Q$5,'②-2勤務時間数入力'!$D$7:$Q$106,$L49,FALSE)</f>
        <v>#N/A</v>
      </c>
      <c r="R49" s="343" t="str">
        <f>IF(ISERROR(Q49),"×",IF(Q49="-","×","○"))</f>
        <v>×</v>
      </c>
      <c r="S49" s="343" t="e">
        <f>VLOOKUP($D49&amp;S$5,'②-2勤務時間数入力'!$D$7:$Q$106,$L49,FALSE)</f>
        <v>#N/A</v>
      </c>
      <c r="T49" s="343" t="str">
        <f>IF(ISERROR(S49),"×",IF(S49="-","×","○"))</f>
        <v>×</v>
      </c>
      <c r="X49" s="455" t="str">
        <f t="shared" si="4"/>
        <v>〇</v>
      </c>
    </row>
    <row r="50" spans="1:24" ht="13.5" customHeight="1">
      <c r="A50" s="845"/>
      <c r="B50" s="864"/>
      <c r="C50" s="501"/>
      <c r="D50" s="342" t="s">
        <v>263</v>
      </c>
      <c r="E50" s="486" t="s">
        <v>255</v>
      </c>
      <c r="F50" s="497"/>
      <c r="G50" s="486" t="s">
        <v>255</v>
      </c>
      <c r="H50" s="486" t="s">
        <v>255</v>
      </c>
      <c r="I50" s="486" t="s">
        <v>255</v>
      </c>
      <c r="J50" s="487" t="str">
        <f>IFERROR(IF(J46="","",MIN(SUM(J46:J49),(B46*I46))),0)</f>
        <v/>
      </c>
      <c r="K50" s="488"/>
      <c r="L50" s="343"/>
      <c r="M50" s="343"/>
      <c r="N50" s="343"/>
      <c r="O50" s="343"/>
      <c r="P50" s="343"/>
      <c r="Q50" s="343"/>
      <c r="R50" s="343"/>
      <c r="S50" s="343"/>
      <c r="T50" s="343"/>
      <c r="W50" s="455"/>
      <c r="X50" s="455" t="str">
        <f t="shared" si="4"/>
        <v>〇</v>
      </c>
    </row>
    <row r="51" spans="1:24" ht="13.5" customHeight="1">
      <c r="A51" s="844">
        <v>1</v>
      </c>
      <c r="B51" s="863" t="e">
        <f>加算判定!O13</f>
        <v>#N/A</v>
      </c>
      <c r="C51" s="863" t="e">
        <f>加算判定!P13</f>
        <v>#N/A</v>
      </c>
      <c r="D51" s="546" t="str">
        <f>IF(D46="","",D46)</f>
        <v/>
      </c>
      <c r="E51" s="486" t="str">
        <f>IF(D51="","",IF(N51="○",M$5,IF(P51="○",O$5,IF(R51="○",Q$5,IF(T51="○",S$5,"ERROR")))))</f>
        <v/>
      </c>
      <c r="F51" s="487" t="str">
        <f>IF(D51="","",IF(N51="○",M51,IF(P51="○",O51,IF(R51="○",Q51,IF(T51="○",S51,"ERROR")))))</f>
        <v/>
      </c>
      <c r="G51" s="545" t="e">
        <f>IF($B51="-","",IF($E51="正規職員","-",IF(AND(EXACT(B46,B51),EXACT(D46,D51),EXACT(E46,E51)),G46,"賃金単価を記載")))</f>
        <v>#N/A</v>
      </c>
      <c r="H51" s="487" t="str">
        <f t="shared" ref="H51:H52" si="57">IF($D51="","",IF($E51="正規職員","-",F51*G51))</f>
        <v/>
      </c>
      <c r="I51" s="487">
        <f t="shared" si="9"/>
        <v>288666.66666667</v>
      </c>
      <c r="J51" s="487" t="str">
        <f>IF($D51="","",IF(E51="正規職員",I51,MIN(H51:I51)))</f>
        <v/>
      </c>
      <c r="K51" s="488" t="str">
        <f>IF(D51="","",IF(OR(COUNTIFS(D51,"*要配慮*")=1,COUNTIFS(D51,"*医療的ケア*")=1),"○","エラー"))</f>
        <v/>
      </c>
      <c r="L51" s="343">
        <f>L46+1</f>
        <v>12</v>
      </c>
      <c r="M51" s="343" t="e">
        <f>VLOOKUP($D51&amp;M$5,'②-2勤務時間数入力'!$D$7:$Q$106,$L51,FALSE)</f>
        <v>#N/A</v>
      </c>
      <c r="N51" s="343" t="str">
        <f>IF(ISERROR(M51),"×",IF(M51="-","×","○"))</f>
        <v>×</v>
      </c>
      <c r="O51" s="343" t="e">
        <f>VLOOKUP($D51&amp;O$5,'②-2勤務時間数入力'!$D$7:$Q$106,$L51,FALSE)</f>
        <v>#N/A</v>
      </c>
      <c r="P51" s="343" t="str">
        <f>IF(ISERROR(O51),"×",IF(O51="-","×","○"))</f>
        <v>×</v>
      </c>
      <c r="Q51" s="343" t="e">
        <f>VLOOKUP($D51&amp;Q$5,'②-2勤務時間数入力'!$D$7:$Q$106,$L51,FALSE)</f>
        <v>#N/A</v>
      </c>
      <c r="R51" s="343" t="str">
        <f>IF(ISERROR(Q51),"×",IF(Q51="-","×","○"))</f>
        <v>×</v>
      </c>
      <c r="S51" s="343" t="e">
        <f>VLOOKUP($D51&amp;S$5,'②-2勤務時間数入力'!$D$7:$Q$106,$L51,FALSE)</f>
        <v>#N/A</v>
      </c>
      <c r="T51" s="343" t="str">
        <f>IF(ISERROR(S51),"×",IF(S51="-","×","○"))</f>
        <v>×</v>
      </c>
      <c r="W51" s="455" t="str">
        <f>IFERROR(IF(AND(C51="保育士等",D51="",D52=""),"×","〇"),"〇")</f>
        <v>〇</v>
      </c>
      <c r="X51" s="455" t="str">
        <f t="shared" si="4"/>
        <v>〇</v>
      </c>
    </row>
    <row r="52" spans="1:24" ht="13.5" customHeight="1">
      <c r="A52" s="861"/>
      <c r="B52" s="864"/>
      <c r="C52" s="867"/>
      <c r="D52" s="546" t="str">
        <f>IF(D47="","",D47)</f>
        <v/>
      </c>
      <c r="E52" s="486" t="str">
        <f t="shared" ref="E52:E54" si="58">IF(D52="","",IF(N52="○",M$5,IF(P52="○",O$5,IF(R52="○",Q$5,IF(T52="○",S$5,"ERROR")))))</f>
        <v/>
      </c>
      <c r="F52" s="487" t="str">
        <f t="shared" ref="F52:F54" si="59">IF(D52="","",IF(N52="○",M52,IF(P52="○",O52,IF(R52="○",Q52,IF(T52="○",S52,"ERROR")))))</f>
        <v/>
      </c>
      <c r="G52" s="545" t="e">
        <f>IF($B51="-","",IF($E52="正規職員","-",IF(AND(EXACT(B46,B51),EXACT(D47,D52),EXACT(E47,E52)),G47,"賃金単価を記載")))</f>
        <v>#N/A</v>
      </c>
      <c r="H52" s="487" t="str">
        <f t="shared" si="57"/>
        <v/>
      </c>
      <c r="I52" s="487">
        <f t="shared" si="9"/>
        <v>288666.66666667</v>
      </c>
      <c r="J52" s="487" t="str">
        <f>IF($D52="","",IF(E52="正規職員",I52,MIN(H52:I52)))</f>
        <v/>
      </c>
      <c r="K52" s="488" t="str">
        <f t="shared" ref="K52:K54" si="60">IF(D52="","",IF(OR(COUNTIFS(D52,"*要配慮*")=1,COUNTIFS(D52,"*医療的ケア*")=1),"○","エラー"))</f>
        <v/>
      </c>
      <c r="L52" s="343">
        <f t="shared" ref="L52:L54" si="61">L51</f>
        <v>12</v>
      </c>
      <c r="M52" s="343" t="e">
        <f>VLOOKUP($D52&amp;M$5,'②-2勤務時間数入力'!$D$7:$Q$106,$L52,FALSE)</f>
        <v>#N/A</v>
      </c>
      <c r="N52" s="343" t="str">
        <f>IF(ISERROR(M52),"×",IF(M52="-","×","○"))</f>
        <v>×</v>
      </c>
      <c r="O52" s="343" t="e">
        <f>VLOOKUP($D52&amp;O$5,'②-2勤務時間数入力'!$D$7:$Q$106,$L52,FALSE)</f>
        <v>#N/A</v>
      </c>
      <c r="P52" s="343" t="str">
        <f>IF(ISERROR(O52),"×",IF(O52="-","×","○"))</f>
        <v>×</v>
      </c>
      <c r="Q52" s="343" t="e">
        <f>VLOOKUP($D52&amp;Q$5,'②-2勤務時間数入力'!$D$7:$Q$106,$L52,FALSE)</f>
        <v>#N/A</v>
      </c>
      <c r="R52" s="343" t="str">
        <f>IF(ISERROR(Q52),"×",IF(Q52="-","×","○"))</f>
        <v>×</v>
      </c>
      <c r="S52" s="343" t="e">
        <f>VLOOKUP($D52&amp;S$5,'②-2勤務時間数入力'!$D$7:$Q$106,$L52,FALSE)</f>
        <v>#N/A</v>
      </c>
      <c r="T52" s="343" t="str">
        <f>IF(ISERROR(S52),"×",IF(S52="-","×","○"))</f>
        <v>×</v>
      </c>
      <c r="W52" s="455"/>
      <c r="X52" s="455" t="str">
        <f t="shared" si="4"/>
        <v>〇</v>
      </c>
    </row>
    <row r="53" spans="1:24" ht="13.5" customHeight="1">
      <c r="A53" s="861"/>
      <c r="B53" s="864"/>
      <c r="C53" s="881" t="s">
        <v>255</v>
      </c>
      <c r="D53" s="546" t="str">
        <f>IF(D48="","",D48)</f>
        <v/>
      </c>
      <c r="E53" s="486" t="str">
        <f t="shared" si="58"/>
        <v/>
      </c>
      <c r="F53" s="487" t="str">
        <f t="shared" si="59"/>
        <v/>
      </c>
      <c r="G53" s="545" t="e">
        <f>IF($B51="-","",IF($E53="正規職員","-",IF(AND(EXACT(B46,B51),EXACT(D48,D53),EXACT(E48,E53)),G48,"賃金単価を記載")))</f>
        <v>#N/A</v>
      </c>
      <c r="H53" s="487" t="str">
        <f>IF($D53="","",IF($E53="正規職員","-",F53*G53))</f>
        <v/>
      </c>
      <c r="I53" s="487">
        <f t="shared" si="9"/>
        <v>288666.66666667</v>
      </c>
      <c r="J53" s="487" t="str">
        <f>IF($D53="","",IF(E53="正規職員",I53,MIN(H53:I53)))</f>
        <v/>
      </c>
      <c r="K53" s="488" t="str">
        <f t="shared" si="60"/>
        <v/>
      </c>
      <c r="L53" s="343">
        <f t="shared" si="61"/>
        <v>12</v>
      </c>
      <c r="M53" s="343" t="e">
        <f>VLOOKUP($D53&amp;M$5,'②-2勤務時間数入力'!$D$7:$Q$106,$L53,FALSE)</f>
        <v>#N/A</v>
      </c>
      <c r="N53" s="343" t="str">
        <f>IF(ISERROR(M53),"×",IF(M53="-","×","○"))</f>
        <v>×</v>
      </c>
      <c r="O53" s="343" t="e">
        <f>VLOOKUP($D53&amp;O$5,'②-2勤務時間数入力'!$D$7:$Q$106,$L53,FALSE)</f>
        <v>#N/A</v>
      </c>
      <c r="P53" s="343" t="str">
        <f>IF(ISERROR(O53),"×",IF(O53="-","×","○"))</f>
        <v>×</v>
      </c>
      <c r="Q53" s="343" t="e">
        <f>VLOOKUP($D53&amp;Q$5,'②-2勤務時間数入力'!$D$7:$Q$106,$L53,FALSE)</f>
        <v>#N/A</v>
      </c>
      <c r="R53" s="343" t="str">
        <f>IF(ISERROR(Q53),"×",IF(Q53="-","×","○"))</f>
        <v>×</v>
      </c>
      <c r="S53" s="343" t="e">
        <f>VLOOKUP($D53&amp;S$5,'②-2勤務時間数入力'!$D$7:$Q$106,$L53,FALSE)</f>
        <v>#N/A</v>
      </c>
      <c r="T53" s="343" t="str">
        <f>IF(ISERROR(S53),"×",IF(S53="-","×","○"))</f>
        <v>×</v>
      </c>
      <c r="X53" s="455" t="str">
        <f t="shared" si="4"/>
        <v>〇</v>
      </c>
    </row>
    <row r="54" spans="1:24" ht="13.5" customHeight="1">
      <c r="A54" s="880"/>
      <c r="B54" s="864"/>
      <c r="C54" s="743"/>
      <c r="D54" s="546" t="str">
        <f>IF(D49="","",D49)</f>
        <v/>
      </c>
      <c r="E54" s="486" t="str">
        <f t="shared" si="58"/>
        <v/>
      </c>
      <c r="F54" s="487" t="str">
        <f t="shared" si="59"/>
        <v/>
      </c>
      <c r="G54" s="545" t="e">
        <f>IF($B51="-","",IF($E54="正規職員","-",IF(AND(EXACT(B46,B51),EXACT(D49,D54),EXACT(E49,E54)),G49,"賃金単価を記載")))</f>
        <v>#N/A</v>
      </c>
      <c r="H54" s="487" t="str">
        <f>IF($D54="","",IF($E54="正規職員","-",F54*G54))</f>
        <v/>
      </c>
      <c r="I54" s="487">
        <f t="shared" si="9"/>
        <v>288666.66666667</v>
      </c>
      <c r="J54" s="487" t="str">
        <f t="shared" ref="J54" si="62">IF($D54="","",IF(E54="正規職員",I54,MIN(H54:I54)))</f>
        <v/>
      </c>
      <c r="K54" s="488" t="str">
        <f t="shared" si="60"/>
        <v/>
      </c>
      <c r="L54" s="343">
        <f t="shared" si="61"/>
        <v>12</v>
      </c>
      <c r="M54" s="343" t="e">
        <f>VLOOKUP($D54&amp;M$5,'②-2勤務時間数入力'!$D$7:$Q$106,$L54,FALSE)</f>
        <v>#N/A</v>
      </c>
      <c r="N54" s="343" t="str">
        <f>IF(ISERROR(M54),"×",IF(M54="-","×","○"))</f>
        <v>×</v>
      </c>
      <c r="O54" s="343" t="e">
        <f>VLOOKUP($D54&amp;O$5,'②-2勤務時間数入力'!$D$7:$Q$106,$L54,FALSE)</f>
        <v>#N/A</v>
      </c>
      <c r="P54" s="343" t="str">
        <f>IF(ISERROR(O54),"×",IF(O54="-","×","○"))</f>
        <v>×</v>
      </c>
      <c r="Q54" s="343" t="e">
        <f>VLOOKUP($D54&amp;Q$5,'②-2勤務時間数入力'!$D$7:$Q$106,$L54,FALSE)</f>
        <v>#N/A</v>
      </c>
      <c r="R54" s="343" t="str">
        <f>IF(ISERROR(Q54),"×",IF(Q54="-","×","○"))</f>
        <v>×</v>
      </c>
      <c r="S54" s="343" t="e">
        <f>VLOOKUP($D54&amp;S$5,'②-2勤務時間数入力'!$D$7:$Q$106,$L54,FALSE)</f>
        <v>#N/A</v>
      </c>
      <c r="T54" s="343" t="str">
        <f>IF(ISERROR(S54),"×",IF(S54="-","×","○"))</f>
        <v>×</v>
      </c>
      <c r="W54" s="455"/>
      <c r="X54" s="455" t="str">
        <f t="shared" si="4"/>
        <v>〇</v>
      </c>
    </row>
    <row r="55" spans="1:24" ht="13.5" customHeight="1">
      <c r="A55" s="845"/>
      <c r="B55" s="864"/>
      <c r="C55" s="501"/>
      <c r="D55" s="342" t="s">
        <v>264</v>
      </c>
      <c r="E55" s="486" t="s">
        <v>255</v>
      </c>
      <c r="F55" s="497"/>
      <c r="G55" s="486" t="s">
        <v>255</v>
      </c>
      <c r="H55" s="486" t="s">
        <v>255</v>
      </c>
      <c r="I55" s="486" t="s">
        <v>255</v>
      </c>
      <c r="J55" s="487" t="str">
        <f>IFERROR(IF(J51="","",MIN(SUM(J51:J54),(B51*I51))),0)</f>
        <v/>
      </c>
      <c r="K55" s="488"/>
      <c r="L55" s="343"/>
      <c r="M55" s="343"/>
      <c r="N55" s="343"/>
      <c r="O55" s="343"/>
      <c r="P55" s="343"/>
      <c r="Q55" s="343"/>
      <c r="R55" s="343"/>
      <c r="S55" s="343"/>
      <c r="T55" s="343"/>
      <c r="X55" s="455" t="str">
        <f t="shared" si="4"/>
        <v>〇</v>
      </c>
    </row>
    <row r="56" spans="1:24" ht="13.5" customHeight="1">
      <c r="A56" s="844">
        <v>2</v>
      </c>
      <c r="B56" s="863" t="e">
        <f>加算判定!O14</f>
        <v>#N/A</v>
      </c>
      <c r="C56" s="863" t="e">
        <f>加算判定!P14</f>
        <v>#N/A</v>
      </c>
      <c r="D56" s="546" t="str">
        <f>IF(D51="","",D51)</f>
        <v/>
      </c>
      <c r="E56" s="486" t="str">
        <f>IF(D56="","",IF(N56="○",M$5,IF(P56="○",O$5,IF(R56="○",Q$5,IF(T56="○",S$5,"ERROR")))))</f>
        <v/>
      </c>
      <c r="F56" s="487" t="str">
        <f>IF(D56="","",IF(N56="○",M56,IF(P56="○",O56,IF(R56="○",Q56,IF(T56="○",S56,"ERROR")))))</f>
        <v/>
      </c>
      <c r="G56" s="545" t="e">
        <f>IF($B56="-","",IF($E56="正規職員","-",IF(AND(EXACT(B51,B56),EXACT(D51,D56),EXACT(E51,E56)),G51,"賃金単価を記載")))</f>
        <v>#N/A</v>
      </c>
      <c r="H56" s="487" t="str">
        <f t="shared" ref="H56:H57" si="63">IF($D56="","",IF($E56="正規職員","-",F56*G56))</f>
        <v/>
      </c>
      <c r="I56" s="487">
        <f t="shared" si="9"/>
        <v>288666.66666667</v>
      </c>
      <c r="J56" s="487" t="str">
        <f>IF($D56="","",IF(E56="正規職員",I56,MIN(H56:I56)))</f>
        <v/>
      </c>
      <c r="K56" s="488" t="str">
        <f>IF(D56="","",IF(OR(COUNTIFS(D56,"*要配慮*")=1,COUNTIFS(D56,"*医療的ケア*")=1),"○","エラー"))</f>
        <v/>
      </c>
      <c r="L56" s="343">
        <f>L51+1</f>
        <v>13</v>
      </c>
      <c r="M56" s="343" t="e">
        <f>VLOOKUP($D56&amp;M$5,'②-2勤務時間数入力'!$D$7:$Q$106,$L56,FALSE)</f>
        <v>#N/A</v>
      </c>
      <c r="N56" s="343" t="str">
        <f>IF(ISERROR(M56),"×",IF(M56="-","×","○"))</f>
        <v>×</v>
      </c>
      <c r="O56" s="343" t="e">
        <f>VLOOKUP($D56&amp;O$5,'②-2勤務時間数入力'!$D$7:$Q$106,$L56,FALSE)</f>
        <v>#N/A</v>
      </c>
      <c r="P56" s="343" t="str">
        <f>IF(ISERROR(O56),"×",IF(O56="-","×","○"))</f>
        <v>×</v>
      </c>
      <c r="Q56" s="343" t="e">
        <f>VLOOKUP($D56&amp;Q$5,'②-2勤務時間数入力'!$D$7:$Q$106,$L56,FALSE)</f>
        <v>#N/A</v>
      </c>
      <c r="R56" s="343" t="str">
        <f>IF(ISERROR(Q56),"×",IF(Q56="-","×","○"))</f>
        <v>×</v>
      </c>
      <c r="S56" s="343" t="e">
        <f>VLOOKUP($D56&amp;S$5,'②-2勤務時間数入力'!$D$7:$Q$106,$L56,FALSE)</f>
        <v>#N/A</v>
      </c>
      <c r="T56" s="343" t="str">
        <f>IF(ISERROR(S56),"×",IF(S56="-","×","○"))</f>
        <v>×</v>
      </c>
      <c r="W56" s="455" t="str">
        <f>IFERROR(IF(AND(C56="保育士等",D56="",D57=""),"×","〇"),"〇")</f>
        <v>〇</v>
      </c>
      <c r="X56" s="455" t="str">
        <f t="shared" si="4"/>
        <v>〇</v>
      </c>
    </row>
    <row r="57" spans="1:24" ht="13.5" customHeight="1">
      <c r="A57" s="861"/>
      <c r="B57" s="864"/>
      <c r="C57" s="867"/>
      <c r="D57" s="546" t="str">
        <f>IF(D52="","",D52)</f>
        <v/>
      </c>
      <c r="E57" s="486" t="str">
        <f t="shared" ref="E57:E59" si="64">IF(D57="","",IF(N57="○",M$5,IF(P57="○",O$5,IF(R57="○",Q$5,IF(T57="○",S$5,"ERROR")))))</f>
        <v/>
      </c>
      <c r="F57" s="487" t="str">
        <f t="shared" ref="F57:F59" si="65">IF(D57="","",IF(N57="○",M57,IF(P57="○",O57,IF(R57="○",Q57,IF(T57="○",S57,"ERROR")))))</f>
        <v/>
      </c>
      <c r="G57" s="545" t="e">
        <f>IF($B56="-","",IF($E57="正規職員","-",IF(AND(EXACT(B51,B56),EXACT(D52,D57),EXACT(E52,E57)),G52,"賃金単価を記載")))</f>
        <v>#N/A</v>
      </c>
      <c r="H57" s="487" t="str">
        <f t="shared" si="63"/>
        <v/>
      </c>
      <c r="I57" s="487">
        <f t="shared" si="9"/>
        <v>288666.66666667</v>
      </c>
      <c r="J57" s="487" t="str">
        <f t="shared" ref="J57:J59" si="66">IF($D57="","",IF(E57="正規職員",I57,MIN(H57:I57)))</f>
        <v/>
      </c>
      <c r="K57" s="488" t="str">
        <f t="shared" ref="K57:K59" si="67">IF(D57="","",IF(OR(COUNTIFS(D57,"*要配慮*")=1,COUNTIFS(D57,"*医療的ケア*")=1),"○","エラー"))</f>
        <v/>
      </c>
      <c r="L57" s="343">
        <f t="shared" ref="L57:L59" si="68">L56</f>
        <v>13</v>
      </c>
      <c r="M57" s="343" t="e">
        <f>VLOOKUP($D57&amp;M$5,'②-2勤務時間数入力'!$D$7:$Q$106,$L57,FALSE)</f>
        <v>#N/A</v>
      </c>
      <c r="N57" s="343" t="str">
        <f>IF(ISERROR(M57),"×",IF(M57="-","×","○"))</f>
        <v>×</v>
      </c>
      <c r="O57" s="343" t="e">
        <f>VLOOKUP($D57&amp;O$5,'②-2勤務時間数入力'!$D$7:$Q$106,$L57,FALSE)</f>
        <v>#N/A</v>
      </c>
      <c r="P57" s="343" t="str">
        <f>IF(ISERROR(O57),"×",IF(O57="-","×","○"))</f>
        <v>×</v>
      </c>
      <c r="Q57" s="343" t="e">
        <f>VLOOKUP($D57&amp;Q$5,'②-2勤務時間数入力'!$D$7:$Q$106,$L57,FALSE)</f>
        <v>#N/A</v>
      </c>
      <c r="R57" s="343" t="str">
        <f>IF(ISERROR(Q57),"×",IF(Q57="-","×","○"))</f>
        <v>×</v>
      </c>
      <c r="S57" s="343" t="e">
        <f>VLOOKUP($D57&amp;S$5,'②-2勤務時間数入力'!$D$7:$Q$106,$L57,FALSE)</f>
        <v>#N/A</v>
      </c>
      <c r="T57" s="343" t="str">
        <f>IF(ISERROR(S57),"×",IF(S57="-","×","○"))</f>
        <v>×</v>
      </c>
      <c r="X57" s="455" t="str">
        <f t="shared" si="4"/>
        <v>〇</v>
      </c>
    </row>
    <row r="58" spans="1:24" ht="13.5" customHeight="1">
      <c r="A58" s="861"/>
      <c r="B58" s="864"/>
      <c r="C58" s="881" t="s">
        <v>255</v>
      </c>
      <c r="D58" s="546" t="str">
        <f>IF(D53="","",D53)</f>
        <v/>
      </c>
      <c r="E58" s="486" t="str">
        <f t="shared" si="64"/>
        <v/>
      </c>
      <c r="F58" s="487" t="str">
        <f t="shared" si="65"/>
        <v/>
      </c>
      <c r="G58" s="545" t="e">
        <f>IF($B56="-","",IF($E58="正規職員","-",IF(AND(EXACT(B51,B56),EXACT(D53,D58),EXACT(E53,E58)),G53,"賃金単価を記載")))</f>
        <v>#N/A</v>
      </c>
      <c r="H58" s="487" t="str">
        <f>IF($D58="","",IF($E58="正規職員","-",F58*G58))</f>
        <v/>
      </c>
      <c r="I58" s="487">
        <f t="shared" si="9"/>
        <v>288666.66666667</v>
      </c>
      <c r="J58" s="487" t="str">
        <f t="shared" si="66"/>
        <v/>
      </c>
      <c r="K58" s="488" t="str">
        <f t="shared" si="67"/>
        <v/>
      </c>
      <c r="L58" s="343">
        <f t="shared" si="68"/>
        <v>13</v>
      </c>
      <c r="M58" s="343" t="e">
        <f>VLOOKUP($D58&amp;M$5,'②-2勤務時間数入力'!$D$7:$Q$106,$L58,FALSE)</f>
        <v>#N/A</v>
      </c>
      <c r="N58" s="343" t="str">
        <f>IF(ISERROR(M58),"×",IF(M58="-","×","○"))</f>
        <v>×</v>
      </c>
      <c r="O58" s="343" t="e">
        <f>VLOOKUP($D58&amp;O$5,'②-2勤務時間数入力'!$D$7:$Q$106,$L58,FALSE)</f>
        <v>#N/A</v>
      </c>
      <c r="P58" s="343" t="str">
        <f>IF(ISERROR(O58),"×",IF(O58="-","×","○"))</f>
        <v>×</v>
      </c>
      <c r="Q58" s="343" t="e">
        <f>VLOOKUP($D58&amp;Q$5,'②-2勤務時間数入力'!$D$7:$Q$106,$L58,FALSE)</f>
        <v>#N/A</v>
      </c>
      <c r="R58" s="343" t="str">
        <f>IF(ISERROR(Q58),"×",IF(Q58="-","×","○"))</f>
        <v>×</v>
      </c>
      <c r="S58" s="343" t="e">
        <f>VLOOKUP($D58&amp;S$5,'②-2勤務時間数入力'!$D$7:$Q$106,$L58,FALSE)</f>
        <v>#N/A</v>
      </c>
      <c r="T58" s="343" t="str">
        <f>IF(ISERROR(S58),"×",IF(S58="-","×","○"))</f>
        <v>×</v>
      </c>
      <c r="W58" s="455"/>
      <c r="X58" s="455" t="str">
        <f t="shared" si="4"/>
        <v>〇</v>
      </c>
    </row>
    <row r="59" spans="1:24" ht="13.5" customHeight="1">
      <c r="A59" s="880"/>
      <c r="B59" s="864"/>
      <c r="C59" s="743"/>
      <c r="D59" s="546" t="str">
        <f>IF(D54="","",D54)</f>
        <v/>
      </c>
      <c r="E59" s="486" t="str">
        <f t="shared" si="64"/>
        <v/>
      </c>
      <c r="F59" s="487" t="str">
        <f t="shared" si="65"/>
        <v/>
      </c>
      <c r="G59" s="545" t="e">
        <f>IF($B56="-","",IF($E59="正規職員","-",IF(AND(EXACT(B51,B56),EXACT(D54,D59),EXACT(E54,E59)),G54,"賃金単価を記載")))</f>
        <v>#N/A</v>
      </c>
      <c r="H59" s="487" t="str">
        <f>IF($D59="","",IF($E59="正規職員","-",F59*G59))</f>
        <v/>
      </c>
      <c r="I59" s="487">
        <f t="shared" si="9"/>
        <v>288666.66666667</v>
      </c>
      <c r="J59" s="487" t="str">
        <f t="shared" si="66"/>
        <v/>
      </c>
      <c r="K59" s="488" t="str">
        <f t="shared" si="67"/>
        <v/>
      </c>
      <c r="L59" s="343">
        <f t="shared" si="68"/>
        <v>13</v>
      </c>
      <c r="M59" s="343" t="e">
        <f>VLOOKUP($D59&amp;M$5,'②-2勤務時間数入力'!$D$7:$Q$106,$L59,FALSE)</f>
        <v>#N/A</v>
      </c>
      <c r="N59" s="343" t="str">
        <f>IF(ISERROR(M59),"×",IF(M59="-","×","○"))</f>
        <v>×</v>
      </c>
      <c r="O59" s="343" t="e">
        <f>VLOOKUP($D59&amp;O$5,'②-2勤務時間数入力'!$D$7:$Q$106,$L59,FALSE)</f>
        <v>#N/A</v>
      </c>
      <c r="P59" s="343" t="str">
        <f>IF(ISERROR(O59),"×",IF(O59="-","×","○"))</f>
        <v>×</v>
      </c>
      <c r="Q59" s="343" t="e">
        <f>VLOOKUP($D59&amp;Q$5,'②-2勤務時間数入力'!$D$7:$Q$106,$L59,FALSE)</f>
        <v>#N/A</v>
      </c>
      <c r="R59" s="343" t="str">
        <f>IF(ISERROR(Q59),"×",IF(Q59="-","×","○"))</f>
        <v>×</v>
      </c>
      <c r="S59" s="343" t="e">
        <f>VLOOKUP($D59&amp;S$5,'②-2勤務時間数入力'!$D$7:$Q$106,$L59,FALSE)</f>
        <v>#N/A</v>
      </c>
      <c r="T59" s="343" t="str">
        <f>IF(ISERROR(S59),"×",IF(S59="-","×","○"))</f>
        <v>×</v>
      </c>
      <c r="X59" s="455" t="str">
        <f t="shared" si="4"/>
        <v>〇</v>
      </c>
    </row>
    <row r="60" spans="1:24" ht="13.5" customHeight="1">
      <c r="A60" s="845"/>
      <c r="B60" s="864"/>
      <c r="C60" s="501"/>
      <c r="D60" s="342" t="s">
        <v>265</v>
      </c>
      <c r="E60" s="486" t="s">
        <v>255</v>
      </c>
      <c r="F60" s="497"/>
      <c r="G60" s="486" t="s">
        <v>255</v>
      </c>
      <c r="H60" s="486" t="s">
        <v>255</v>
      </c>
      <c r="I60" s="486" t="s">
        <v>255</v>
      </c>
      <c r="J60" s="487" t="str">
        <f>IFERROR(IF(J56="","",MIN(SUM(J56:J59),(B56*I56))),0)</f>
        <v/>
      </c>
      <c r="K60" s="488"/>
      <c r="L60" s="343"/>
      <c r="M60" s="343"/>
      <c r="N60" s="343"/>
      <c r="O60" s="343"/>
      <c r="P60" s="343"/>
      <c r="Q60" s="343"/>
      <c r="R60" s="343"/>
      <c r="S60" s="343"/>
      <c r="T60" s="343"/>
      <c r="X60" s="455" t="str">
        <f t="shared" si="4"/>
        <v>〇</v>
      </c>
    </row>
    <row r="61" spans="1:24" ht="13.5" customHeight="1">
      <c r="A61" s="844">
        <v>3</v>
      </c>
      <c r="B61" s="863" t="e">
        <f>加算判定!O15</f>
        <v>#N/A</v>
      </c>
      <c r="C61" s="863" t="e">
        <f>加算判定!P15</f>
        <v>#N/A</v>
      </c>
      <c r="D61" s="546" t="str">
        <f>IF(D56="","",D56)</f>
        <v/>
      </c>
      <c r="E61" s="486" t="str">
        <f>IF(D61="","",IF(N61="○",M$5,IF(P61="○",O$5,IF(R61="○",Q$5,IF(T61="○",S$5,"ERROR")))))</f>
        <v/>
      </c>
      <c r="F61" s="487" t="str">
        <f t="shared" ref="F61:F64" si="69">IF(D61="","",IF(N61="○",M61,IF(P61="○",O61,IF(R61="○",Q61,IF(T61="○",S61,"ERROR")))))</f>
        <v/>
      </c>
      <c r="G61" s="545" t="e">
        <f>IF($B61="-","",IF($E61="正規職員","-",IF(AND(EXACT(B56,B61),EXACT(D56,D61),EXACT(E56,E61)),G56,"賃金単価を記載")))</f>
        <v>#N/A</v>
      </c>
      <c r="H61" s="487" t="str">
        <f t="shared" ref="H61:H62" si="70">IF($D61="","",IF($E61="正規職員","-",F61*G61))</f>
        <v/>
      </c>
      <c r="I61" s="487">
        <f t="shared" si="9"/>
        <v>288666.66666667</v>
      </c>
      <c r="J61" s="487" t="str">
        <f>IF($D61="","",IF(E61="正規職員",I61,MIN(H61:I61)))</f>
        <v/>
      </c>
      <c r="K61" s="488" t="str">
        <f>IF(D61="","",IF(OR(COUNTIFS(D61,"*要配慮*")=1,COUNTIFS(D61,"*医療的ケア*")=1),"○","エラー"))</f>
        <v/>
      </c>
      <c r="L61" s="343">
        <f>L56+1</f>
        <v>14</v>
      </c>
      <c r="M61" s="343" t="e">
        <f>VLOOKUP($D61&amp;M$5,'②-2勤務時間数入力'!$D$7:$Q$106,$L61,FALSE)</f>
        <v>#N/A</v>
      </c>
      <c r="N61" s="343" t="str">
        <f>IF(ISERROR(M61),"×",IF(M61="-","×","○"))</f>
        <v>×</v>
      </c>
      <c r="O61" s="343" t="e">
        <f>VLOOKUP($D61&amp;O$5,'②-2勤務時間数入力'!$D$7:$Q$106,$L61,FALSE)</f>
        <v>#N/A</v>
      </c>
      <c r="P61" s="343" t="str">
        <f>IF(ISERROR(O61),"×",IF(O61="-","×","○"))</f>
        <v>×</v>
      </c>
      <c r="Q61" s="343" t="e">
        <f>VLOOKUP($D61&amp;Q$5,'②-2勤務時間数入力'!$D$7:$Q$106,$L61,FALSE)</f>
        <v>#N/A</v>
      </c>
      <c r="R61" s="343" t="str">
        <f>IF(ISERROR(Q61),"×",IF(Q61="-","×","○"))</f>
        <v>×</v>
      </c>
      <c r="S61" s="343" t="e">
        <f>VLOOKUP($D61&amp;S$5,'②-2勤務時間数入力'!$D$7:$Q$106,$L61,FALSE)</f>
        <v>#N/A</v>
      </c>
      <c r="T61" s="343" t="str">
        <f>IF(ISERROR(S61),"×",IF(S61="-","×","○"))</f>
        <v>×</v>
      </c>
      <c r="W61" s="455" t="str">
        <f>IFERROR(IF(AND(C61="保育士等",D61="",D62=""),"×","〇"),"〇")</f>
        <v>〇</v>
      </c>
      <c r="X61" s="455" t="str">
        <f t="shared" si="4"/>
        <v>〇</v>
      </c>
    </row>
    <row r="62" spans="1:24" ht="13.5" customHeight="1">
      <c r="A62" s="861"/>
      <c r="B62" s="864"/>
      <c r="C62" s="867"/>
      <c r="D62" s="546" t="str">
        <f>IF(D57="","",D57)</f>
        <v/>
      </c>
      <c r="E62" s="486" t="str">
        <f t="shared" ref="E62:E64" si="71">IF(D62="","",IF(N62="○",M$5,IF(P62="○",O$5,IF(R62="○",Q$5,IF(T62="○",S$5,"ERROR")))))</f>
        <v/>
      </c>
      <c r="F62" s="487" t="str">
        <f t="shared" si="69"/>
        <v/>
      </c>
      <c r="G62" s="545" t="e">
        <f>IF($B61="-","",IF($E62="正規職員","-",IF(AND(EXACT(B56,B61),EXACT(D57,D62),EXACT(E57,E62)),G57,"賃金単価を記載")))</f>
        <v>#N/A</v>
      </c>
      <c r="H62" s="487" t="str">
        <f t="shared" si="70"/>
        <v/>
      </c>
      <c r="I62" s="487">
        <f t="shared" si="9"/>
        <v>288666.66666667</v>
      </c>
      <c r="J62" s="487" t="str">
        <f t="shared" ref="J62:J64" si="72">IF($D62="","",IF(E62="正規職員",I62,MIN(H62:I62)))</f>
        <v/>
      </c>
      <c r="K62" s="488" t="str">
        <f t="shared" ref="K62:K64" si="73">IF(D62="","",IF(OR(COUNTIFS(D62,"*要配慮*")=1,COUNTIFS(D62,"*医療的ケア*")=1),"○","エラー"))</f>
        <v/>
      </c>
      <c r="L62" s="343">
        <f>L61</f>
        <v>14</v>
      </c>
      <c r="M62" s="343" t="e">
        <f>VLOOKUP($D62&amp;M$5,'②-2勤務時間数入力'!$D$7:$Q$106,$L62,FALSE)</f>
        <v>#N/A</v>
      </c>
      <c r="N62" s="343" t="str">
        <f>IF(ISERROR(M62),"×",IF(M62="-","×","○"))</f>
        <v>×</v>
      </c>
      <c r="O62" s="343" t="e">
        <f>VLOOKUP($D62&amp;O$5,'②-2勤務時間数入力'!$D$7:$Q$106,$L62,FALSE)</f>
        <v>#N/A</v>
      </c>
      <c r="P62" s="343" t="str">
        <f>IF(ISERROR(O62),"×",IF(O62="-","×","○"))</f>
        <v>×</v>
      </c>
      <c r="Q62" s="343" t="e">
        <f>VLOOKUP($D62&amp;Q$5,'②-2勤務時間数入力'!$D$7:$Q$106,$L62,FALSE)</f>
        <v>#N/A</v>
      </c>
      <c r="R62" s="343" t="str">
        <f>IF(ISERROR(Q62),"×",IF(Q62="-","×","○"))</f>
        <v>×</v>
      </c>
      <c r="S62" s="343" t="e">
        <f>VLOOKUP($D62&amp;S$5,'②-2勤務時間数入力'!$D$7:$Q$106,$L62,FALSE)</f>
        <v>#N/A</v>
      </c>
      <c r="T62" s="343" t="str">
        <f>IF(ISERROR(S62),"×",IF(S62="-","×","○"))</f>
        <v>×</v>
      </c>
      <c r="X62" s="455" t="str">
        <f t="shared" si="4"/>
        <v>〇</v>
      </c>
    </row>
    <row r="63" spans="1:24" ht="13.5" customHeight="1">
      <c r="A63" s="861"/>
      <c r="B63" s="864"/>
      <c r="C63" s="881" t="s">
        <v>255</v>
      </c>
      <c r="D63" s="546" t="str">
        <f>IF(D58="","",D58)</f>
        <v/>
      </c>
      <c r="E63" s="486" t="str">
        <f t="shared" si="71"/>
        <v/>
      </c>
      <c r="F63" s="487" t="str">
        <f t="shared" si="69"/>
        <v/>
      </c>
      <c r="G63" s="545" t="e">
        <f>IF($B61="-","",IF($E63="正規職員","-",IF(AND(EXACT(B56,B61),EXACT(D58,D63),EXACT(E58,E63)),G58,"賃金単価を記載")))</f>
        <v>#N/A</v>
      </c>
      <c r="H63" s="487" t="str">
        <f>IF($D63="","",IF($E63="正規職員","-",F63*G63))</f>
        <v/>
      </c>
      <c r="I63" s="487">
        <f t="shared" si="9"/>
        <v>288666.66666667</v>
      </c>
      <c r="J63" s="487" t="str">
        <f t="shared" si="72"/>
        <v/>
      </c>
      <c r="K63" s="488" t="str">
        <f t="shared" si="73"/>
        <v/>
      </c>
      <c r="L63" s="343">
        <f t="shared" ref="L63:L64" si="74">L62</f>
        <v>14</v>
      </c>
      <c r="M63" s="343" t="e">
        <f>VLOOKUP($D63&amp;M$5,'②-2勤務時間数入力'!$D$7:$Q$106,$L63,FALSE)</f>
        <v>#N/A</v>
      </c>
      <c r="N63" s="343" t="str">
        <f>IF(ISERROR(M63),"×",IF(M63="-","×","○"))</f>
        <v>×</v>
      </c>
      <c r="O63" s="343" t="e">
        <f>VLOOKUP($D63&amp;O$5,'②-2勤務時間数入力'!$D$7:$Q$106,$L63,FALSE)</f>
        <v>#N/A</v>
      </c>
      <c r="P63" s="343" t="str">
        <f>IF(ISERROR(O63),"×",IF(O63="-","×","○"))</f>
        <v>×</v>
      </c>
      <c r="Q63" s="343" t="e">
        <f>VLOOKUP($D63&amp;Q$5,'②-2勤務時間数入力'!$D$7:$Q$106,$L63,FALSE)</f>
        <v>#N/A</v>
      </c>
      <c r="R63" s="343" t="str">
        <f>IF(ISERROR(Q63),"×",IF(Q63="-","×","○"))</f>
        <v>×</v>
      </c>
      <c r="S63" s="343" t="e">
        <f>VLOOKUP($D63&amp;S$5,'②-2勤務時間数入力'!$D$7:$Q$106,$L63,FALSE)</f>
        <v>#N/A</v>
      </c>
      <c r="T63" s="343" t="str">
        <f>IF(ISERROR(S63),"×",IF(S63="-","×","○"))</f>
        <v>×</v>
      </c>
      <c r="W63" s="455"/>
      <c r="X63" s="455" t="str">
        <f t="shared" si="4"/>
        <v>〇</v>
      </c>
    </row>
    <row r="64" spans="1:24" ht="13.5" customHeight="1">
      <c r="A64" s="880"/>
      <c r="B64" s="864"/>
      <c r="C64" s="743"/>
      <c r="D64" s="546" t="str">
        <f>IF(D59="","",D59)</f>
        <v/>
      </c>
      <c r="E64" s="486" t="str">
        <f t="shared" si="71"/>
        <v/>
      </c>
      <c r="F64" s="487" t="str">
        <f t="shared" si="69"/>
        <v/>
      </c>
      <c r="G64" s="545" t="e">
        <f>IF($B61="-","",IF($E64="正規職員","-",IF(AND(EXACT(B56,B61),EXACT(D59,D64),EXACT(E59,E64)),G59,"賃金単価を記載")))</f>
        <v>#N/A</v>
      </c>
      <c r="H64" s="487" t="str">
        <f>IF($D64="","",IF($E64="正規職員","-",F64*G64))</f>
        <v/>
      </c>
      <c r="I64" s="487">
        <f t="shared" ref="I64" si="75">$I$6</f>
        <v>288666.66666667</v>
      </c>
      <c r="J64" s="487" t="str">
        <f t="shared" si="72"/>
        <v/>
      </c>
      <c r="K64" s="488" t="str">
        <f t="shared" si="73"/>
        <v/>
      </c>
      <c r="L64" s="343">
        <f t="shared" si="74"/>
        <v>14</v>
      </c>
      <c r="M64" s="343" t="e">
        <f>VLOOKUP($D64&amp;M$5,'②-2勤務時間数入力'!$D$7:$Q$106,$L64,FALSE)</f>
        <v>#N/A</v>
      </c>
      <c r="N64" s="343" t="str">
        <f>IF(ISERROR(M64),"×",IF(M64="-","×","○"))</f>
        <v>×</v>
      </c>
      <c r="O64" s="343" t="e">
        <f>VLOOKUP($D64&amp;O$5,'②-2勤務時間数入力'!$D$7:$Q$106,$L64,FALSE)</f>
        <v>#N/A</v>
      </c>
      <c r="P64" s="343" t="str">
        <f>IF(ISERROR(O64),"×",IF(O64="-","×","○"))</f>
        <v>×</v>
      </c>
      <c r="Q64" s="343" t="e">
        <f>VLOOKUP($D64&amp;Q$5,'②-2勤務時間数入力'!$D$7:$Q$106,$L64,FALSE)</f>
        <v>#N/A</v>
      </c>
      <c r="R64" s="343" t="str">
        <f>IF(ISERROR(Q64),"×",IF(Q64="-","×","○"))</f>
        <v>×</v>
      </c>
      <c r="S64" s="343" t="e">
        <f>VLOOKUP($D64&amp;S$5,'②-2勤務時間数入力'!$D$7:$Q$106,$L64,FALSE)</f>
        <v>#N/A</v>
      </c>
      <c r="T64" s="343" t="str">
        <f>IF(ISERROR(S64),"×",IF(S64="-","×","○"))</f>
        <v>×</v>
      </c>
      <c r="X64" s="455" t="str">
        <f t="shared" si="4"/>
        <v>〇</v>
      </c>
    </row>
    <row r="65" spans="1:24" ht="13.5" customHeight="1">
      <c r="A65" s="845"/>
      <c r="B65" s="864"/>
      <c r="C65" s="501"/>
      <c r="D65" s="342" t="s">
        <v>266</v>
      </c>
      <c r="E65" s="486" t="s">
        <v>255</v>
      </c>
      <c r="F65" s="497"/>
      <c r="G65" s="486" t="s">
        <v>255</v>
      </c>
      <c r="H65" s="486" t="s">
        <v>255</v>
      </c>
      <c r="I65" s="486" t="s">
        <v>255</v>
      </c>
      <c r="J65" s="487" t="str">
        <f>IFERROR(IF(J61="","",MIN(SUM(J61:J64),(B61*I61))),0)</f>
        <v/>
      </c>
      <c r="K65" s="488"/>
      <c r="W65" s="455"/>
      <c r="X65" s="455"/>
    </row>
    <row r="66" spans="1:24" ht="13.5" customHeight="1">
      <c r="A66" s="489" t="s">
        <v>246</v>
      </c>
      <c r="B66" s="503"/>
      <c r="C66" s="489"/>
      <c r="D66" s="342"/>
      <c r="E66" s="487"/>
      <c r="F66" s="487"/>
      <c r="G66" s="487"/>
      <c r="H66" s="487"/>
      <c r="I66" s="487"/>
      <c r="J66" s="553">
        <f>ROUNDDOWN(SUM(J10,J15,J20,J25,J30,J35,J40,J45,J50,J55,J60,J65),-3)</f>
        <v>0</v>
      </c>
    </row>
    <row r="67" spans="1:24" ht="15" customHeight="1">
      <c r="D67" s="488"/>
      <c r="E67" s="488"/>
      <c r="F67" s="488"/>
      <c r="G67" s="488"/>
      <c r="H67" s="488"/>
      <c r="I67" s="488"/>
    </row>
    <row r="69" spans="1:24" hidden="1">
      <c r="C69" s="337" t="s">
        <v>325</v>
      </c>
      <c r="D69" s="337"/>
      <c r="E69" s="337"/>
      <c r="F69" s="337"/>
    </row>
    <row r="70" spans="1:24" hidden="1">
      <c r="C70" s="337" t="s">
        <v>328</v>
      </c>
      <c r="D70" s="337"/>
      <c r="E70" s="337"/>
      <c r="F70" s="337"/>
    </row>
    <row r="71" spans="1:24" hidden="1">
      <c r="C71" s="337" t="s">
        <v>343</v>
      </c>
      <c r="D71" s="337"/>
      <c r="E71" s="337"/>
      <c r="F71" s="337"/>
    </row>
    <row r="72" spans="1:24" ht="163.5" hidden="1" customHeight="1">
      <c r="C72" s="339" t="s">
        <v>298</v>
      </c>
      <c r="D72" s="877" t="s">
        <v>796</v>
      </c>
      <c r="E72" s="878"/>
      <c r="F72" s="879"/>
    </row>
    <row r="73" spans="1:24" ht="57" hidden="1" customHeight="1">
      <c r="C73" s="339" t="s">
        <v>303</v>
      </c>
      <c r="D73" s="877" t="s">
        <v>327</v>
      </c>
      <c r="E73" s="878"/>
      <c r="F73" s="879"/>
    </row>
    <row r="74" spans="1:24" ht="57" hidden="1" customHeight="1"/>
    <row r="75" spans="1:24" hidden="1"/>
    <row r="76" spans="1:24" hidden="1"/>
    <row r="77" spans="1:24" hidden="1"/>
    <row r="78" spans="1:24" hidden="1"/>
    <row r="79" spans="1:24" hidden="1"/>
    <row r="80" spans="1:24" hidden="1"/>
    <row r="81" spans="6:7" hidden="1">
      <c r="G81" s="336" t="s">
        <v>551</v>
      </c>
    </row>
    <row r="82" spans="6:7" hidden="1">
      <c r="F82" s="336" t="s">
        <v>547</v>
      </c>
      <c r="G82" s="336" t="str">
        <f>'②-1職員名簿'!C144</f>
        <v>保育教諭等</v>
      </c>
    </row>
    <row r="83" spans="6:7" hidden="1">
      <c r="F83" s="336" t="s">
        <v>548</v>
      </c>
      <c r="G83" s="336" t="str">
        <f>'②-1職員名簿'!C145</f>
        <v>要件緩和</v>
      </c>
    </row>
    <row r="84" spans="6:7" hidden="1">
      <c r="F84" s="336" t="s">
        <v>549</v>
      </c>
      <c r="G84" s="336" t="str">
        <f>'②-1職員名簿'!C146</f>
        <v>看護師等</v>
      </c>
    </row>
    <row r="85" spans="6:7" hidden="1">
      <c r="F85" s="336" t="s">
        <v>550</v>
      </c>
      <c r="G85" s="336" t="str">
        <f>'②-1職員名簿'!C147</f>
        <v>栄養士</v>
      </c>
    </row>
    <row r="86" spans="6:7" hidden="1">
      <c r="F86" s="336" t="s">
        <v>554</v>
      </c>
      <c r="G86" s="336" t="str">
        <f>'②-1職員名簿'!C148</f>
        <v>調理師等</v>
      </c>
    </row>
    <row r="87" spans="6:7" hidden="1">
      <c r="F87" s="336" t="s">
        <v>555</v>
      </c>
      <c r="G87" s="336" t="str">
        <f>'②-1職員名簿'!C149</f>
        <v>教育・保育支援者</v>
      </c>
    </row>
  </sheetData>
  <sheetProtection algorithmName="SHA-512" hashValue="NLsMOOEVleRRKdTnxCchcf6qCrd7tjVXlaMBPTBmsyb9ni7JSKZI6kE9V8I/eJ+Qt70Wi3gpY2EUMAluActGtQ==" saltValue="WlOplCl7d08RcLv3wlAeXw==" spinCount="100000" sheet="1" selectLockedCells="1"/>
  <mergeCells count="57">
    <mergeCell ref="C53:C54"/>
    <mergeCell ref="C51:C52"/>
    <mergeCell ref="C58:C59"/>
    <mergeCell ref="C56:C57"/>
    <mergeCell ref="C63:C64"/>
    <mergeCell ref="C61:C62"/>
    <mergeCell ref="C28:C29"/>
    <mergeCell ref="C26:C27"/>
    <mergeCell ref="C33:C34"/>
    <mergeCell ref="C31:C32"/>
    <mergeCell ref="C38:C39"/>
    <mergeCell ref="C36:C37"/>
    <mergeCell ref="C18:C19"/>
    <mergeCell ref="C16:C17"/>
    <mergeCell ref="C13:C14"/>
    <mergeCell ref="C11:C12"/>
    <mergeCell ref="C23:C24"/>
    <mergeCell ref="C21:C22"/>
    <mergeCell ref="D73:F73"/>
    <mergeCell ref="A41:A45"/>
    <mergeCell ref="B41:B45"/>
    <mergeCell ref="A46:A50"/>
    <mergeCell ref="B46:B50"/>
    <mergeCell ref="A51:A55"/>
    <mergeCell ref="B51:B55"/>
    <mergeCell ref="D72:F72"/>
    <mergeCell ref="A56:A60"/>
    <mergeCell ref="B56:B60"/>
    <mergeCell ref="A61:A65"/>
    <mergeCell ref="B61:B65"/>
    <mergeCell ref="C43:C44"/>
    <mergeCell ref="C41:C42"/>
    <mergeCell ref="C48:C49"/>
    <mergeCell ref="C46:C47"/>
    <mergeCell ref="A26:A30"/>
    <mergeCell ref="B26:B30"/>
    <mergeCell ref="A31:A35"/>
    <mergeCell ref="B31:B35"/>
    <mergeCell ref="A36:A40"/>
    <mergeCell ref="B36:B40"/>
    <mergeCell ref="A11:A15"/>
    <mergeCell ref="B11:B15"/>
    <mergeCell ref="A16:A20"/>
    <mergeCell ref="B16:B20"/>
    <mergeCell ref="A21:A25"/>
    <mergeCell ref="B21:B25"/>
    <mergeCell ref="S5:T5"/>
    <mergeCell ref="A6:A10"/>
    <mergeCell ref="B6:B10"/>
    <mergeCell ref="C6:C7"/>
    <mergeCell ref="C8:C9"/>
    <mergeCell ref="Q5:R5"/>
    <mergeCell ref="A1:J1"/>
    <mergeCell ref="E2:F2"/>
    <mergeCell ref="G2:J2"/>
    <mergeCell ref="M5:N5"/>
    <mergeCell ref="O5:P5"/>
  </mergeCells>
  <phoneticPr fontId="1"/>
  <conditionalFormatting sqref="D6:D9 D11:D14 D16:D19 D21:D24 D26:D29 D31:D34 D36:D39 D41:D44 D46:D49 D51:D54 D56:D59 D61:D64">
    <cfRule type="containsBlanks" dxfId="12" priority="1">
      <formula>LEN(TRIM(D6))=0</formula>
    </cfRule>
  </conditionalFormatting>
  <conditionalFormatting sqref="G6:G64">
    <cfRule type="containsText" dxfId="11" priority="2" operator="containsText" text="賃金単価を記載">
      <formula>NOT(ISERROR(SEARCH("賃金単価を記載",G6)))</formula>
    </cfRule>
  </conditionalFormatting>
  <dataValidations count="1">
    <dataValidation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士」の時に「保育士」と「保育支援者」の方を「対象者名」に入力することはできません。_x000a_※用語の定義_x000a_　看護師等→看護師、准看護師、保健師_x000a_　保育支援者→事務、通訳、補助者、調理員" sqref="D10" xr:uid="{9CD0D137-6E00-485C-A7A4-A0B152D5972D}"/>
  </dataValidations>
  <printOptions horizontalCentered="1"/>
  <pageMargins left="0.70866141732283472" right="0.70866141732283472" top="0.74803149606299213" bottom="0.74803149606299213" header="0.31496062992125984" footer="0.31496062992125984"/>
  <pageSetup paperSize="9" scale="63"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prompt="「補助対象職種」の欄に記載された職種の方を優先的に選択_x000a_→他職種の方を選択することもできますが、複数の職種の方の混在はできません。_x000a_　例えば　「補助対象職種」が「保育教諭等」の時に「保育教諭等」と「保育支援者」の方を「対象者名」に入力することはできません。_x000a_※用語の定義_x000a_　看護師等→看護師、准看護師、保健師_x000a_　保育支援者→事務、通訳、補助者、調理員" xr:uid="{A43D6652-47F2-447D-9CC1-83423463697C}">
          <x14:formula1>
            <xm:f>'②-1職員名簿'!Y$7:Y$107</xm:f>
          </x14:formula1>
          <xm:sqref>D15 D45 D40 D50 D55 D60 D65 D25 D30 D35 D20</xm:sqref>
        </x14:dataValidation>
        <x14:dataValidation type="list" allowBlank="1" showInputMessage="1" showErrorMessage="1" xr:uid="{0E487BA4-A995-4F93-BA87-7D45F9767D91}">
          <x14:formula1>
            <xm:f>'②-1職員名簿'!Y$7:Y$107</xm:f>
          </x14:formula1>
          <xm:sqref>D6:D9 D61:D64 D56:D59 D51:D54 D46:D49 D41:D44 D36:D39 D31:D34 D26:D29 D21:D24 D16:D19 D11:D14</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17615-D4E8-43D2-8E7A-C5B39742F45F}">
  <sheetPr>
    <tabColor rgb="FF00B050"/>
  </sheetPr>
  <dimension ref="A1:R45"/>
  <sheetViews>
    <sheetView showGridLines="0" zoomScaleNormal="100" zoomScaleSheetLayoutView="100" workbookViewId="0">
      <selection activeCell="F8" sqref="F8"/>
    </sheetView>
  </sheetViews>
  <sheetFormatPr defaultRowHeight="16" customHeight="1"/>
  <cols>
    <col min="1" max="2" width="8.6640625" style="336"/>
    <col min="3" max="3" width="12.83203125" style="336" customWidth="1"/>
    <col min="4" max="4" width="15.9140625" style="336" customWidth="1"/>
    <col min="5" max="5" width="14.1640625" style="336" customWidth="1"/>
    <col min="6" max="11" width="15.83203125" style="336" customWidth="1"/>
    <col min="12" max="13" width="15.83203125" style="336" hidden="1" customWidth="1"/>
    <col min="14" max="14" width="8.6640625" style="336" hidden="1" customWidth="1"/>
    <col min="15" max="16" width="8.75" style="336" hidden="1" customWidth="1"/>
    <col min="17" max="18" width="8.75" style="336" bestFit="1" customWidth="1"/>
    <col min="19" max="19" width="6.75" style="336" bestFit="1" customWidth="1"/>
    <col min="20" max="20" width="7.4140625" style="336" customWidth="1"/>
    <col min="21" max="16384" width="8.6640625" style="336"/>
  </cols>
  <sheetData>
    <row r="1" spans="1:18" s="481" customFormat="1" ht="27.5" customHeight="1">
      <c r="A1" s="885" t="s">
        <v>1227</v>
      </c>
      <c r="B1" s="885"/>
      <c r="C1" s="885"/>
      <c r="D1" s="885"/>
      <c r="E1" s="885"/>
      <c r="F1" s="885"/>
      <c r="G1" s="504"/>
      <c r="H1" s="504"/>
      <c r="I1" s="504"/>
      <c r="J1" s="504"/>
      <c r="K1" s="504"/>
      <c r="L1" s="504"/>
      <c r="M1" s="504"/>
      <c r="R1" s="480"/>
    </row>
    <row r="2" spans="1:18" s="481" customFormat="1" ht="16" customHeight="1">
      <c r="C2" s="543" t="s">
        <v>91</v>
      </c>
      <c r="D2" s="886">
        <f>①基本情報!D5</f>
        <v>0</v>
      </c>
      <c r="E2" s="886"/>
      <c r="F2" s="886"/>
      <c r="G2" s="505"/>
      <c r="H2" s="505"/>
      <c r="I2" s="505"/>
      <c r="J2" s="505"/>
      <c r="K2" s="505"/>
      <c r="L2" s="505"/>
      <c r="M2" s="505"/>
      <c r="N2" s="477"/>
      <c r="O2" s="506"/>
      <c r="P2" s="506"/>
      <c r="Q2" s="506"/>
    </row>
    <row r="3" spans="1:18" s="481" customFormat="1" ht="13.5" customHeight="1">
      <c r="E3" s="490"/>
      <c r="F3" s="490"/>
      <c r="G3" s="490"/>
      <c r="H3" s="490"/>
      <c r="I3" s="490"/>
      <c r="J3" s="490"/>
      <c r="K3" s="490"/>
      <c r="L3" s="490"/>
      <c r="M3" s="336" t="str">
        <f>IF(COUNTIF(C8:C19,M5),"有","無")</f>
        <v>無</v>
      </c>
      <c r="N3" s="566" t="s">
        <v>1671</v>
      </c>
      <c r="O3" s="491"/>
      <c r="P3" s="491"/>
      <c r="Q3" s="491"/>
    </row>
    <row r="4" spans="1:18" ht="15" customHeight="1">
      <c r="A4" s="482" t="s">
        <v>1228</v>
      </c>
      <c r="B4" s="336" t="s">
        <v>1229</v>
      </c>
      <c r="F4" s="887" t="str">
        <f>IF(M5=M3,N3,M4)</f>
        <v>貴園は4歳以上児配置改善加算対象外ですので入力の必要はありません。</v>
      </c>
      <c r="G4" s="887"/>
      <c r="H4" s="887"/>
      <c r="I4" s="887"/>
      <c r="J4" s="887"/>
      <c r="K4" s="887"/>
      <c r="M4" s="336" t="s">
        <v>1670</v>
      </c>
    </row>
    <row r="5" spans="1:18" ht="16" customHeight="1">
      <c r="F5" s="888"/>
      <c r="G5" s="888"/>
      <c r="H5" s="888"/>
      <c r="I5" s="888"/>
      <c r="J5" s="888"/>
      <c r="K5" s="888"/>
      <c r="M5" s="565" t="s">
        <v>11</v>
      </c>
    </row>
    <row r="6" spans="1:18" ht="16" customHeight="1">
      <c r="B6" s="336" t="s">
        <v>1230</v>
      </c>
      <c r="F6" s="743" t="s">
        <v>1549</v>
      </c>
      <c r="G6" s="743"/>
      <c r="H6" s="743"/>
      <c r="I6" s="743" t="s">
        <v>1550</v>
      </c>
      <c r="J6" s="743"/>
      <c r="K6" s="743"/>
      <c r="L6" s="458"/>
      <c r="O6" s="336" t="e">
        <f>①基本情報!Q5</f>
        <v>#N/A</v>
      </c>
      <c r="P6" s="507" t="s">
        <v>1364</v>
      </c>
    </row>
    <row r="7" spans="1:18" ht="16" customHeight="1">
      <c r="B7" s="342"/>
      <c r="C7" s="508" t="s">
        <v>1216</v>
      </c>
      <c r="D7" s="454" t="s">
        <v>1217</v>
      </c>
      <c r="E7" s="454" t="s">
        <v>1219</v>
      </c>
      <c r="F7" s="509" t="s">
        <v>1217</v>
      </c>
      <c r="G7" s="454" t="s">
        <v>1218</v>
      </c>
      <c r="H7" s="454" t="s">
        <v>1219</v>
      </c>
      <c r="I7" s="454" t="s">
        <v>1217</v>
      </c>
      <c r="J7" s="454" t="s">
        <v>1218</v>
      </c>
      <c r="K7" s="454" t="s">
        <v>1219</v>
      </c>
      <c r="M7" s="371"/>
      <c r="N7" s="336" t="s">
        <v>1218</v>
      </c>
      <c r="O7" s="336">
        <f>個別データ!EX1</f>
        <v>152</v>
      </c>
      <c r="P7" s="336">
        <f>個別データ!EY1</f>
        <v>153</v>
      </c>
    </row>
    <row r="8" spans="1:18" ht="16" customHeight="1">
      <c r="B8" s="454" t="s">
        <v>1220</v>
      </c>
      <c r="C8" s="508">
        <f>①基本情報!F34</f>
        <v>0</v>
      </c>
      <c r="D8" s="510">
        <f t="shared" ref="D8:D17" si="0">F8+I8</f>
        <v>0</v>
      </c>
      <c r="E8" s="510" t="e">
        <f t="shared" ref="E8:E19" si="1">H8+K8</f>
        <v>#N/A</v>
      </c>
      <c r="F8" s="574"/>
      <c r="G8" s="511" t="e">
        <f>IF(C8="無",0,VLOOKUP($O$6,個別データ!$C$5:$IB$64,$O$7,0))</f>
        <v>#N/A</v>
      </c>
      <c r="H8" s="511" t="e">
        <f t="shared" ref="H8:H19" si="2">F8*G8</f>
        <v>#N/A</v>
      </c>
      <c r="I8" s="574"/>
      <c r="J8" s="511" t="e">
        <f>IF(C8="無",0,VLOOKUP($O$6,個別データ!$C$5:$IB$64,$P$7,0))</f>
        <v>#N/A</v>
      </c>
      <c r="K8" s="511" t="e">
        <f t="shared" ref="K8:K19" si="3">I8*J8</f>
        <v>#N/A</v>
      </c>
      <c r="M8" s="371"/>
      <c r="N8" s="336" t="s">
        <v>1365</v>
      </c>
      <c r="O8" s="336">
        <f>個別データ!FL1</f>
        <v>166</v>
      </c>
      <c r="P8" s="336">
        <f>個別データ!FV1</f>
        <v>176</v>
      </c>
      <c r="Q8" s="336" t="str">
        <f t="shared" ref="Q8:Q17" si="4">IF(R8=D8,"〇","×")</f>
        <v>〇</v>
      </c>
      <c r="R8" s="336">
        <f>'③児童数及び職員定数 (2)-(1)'!G10+'③児童数及び職員定数 (2)-(1)'!H10</f>
        <v>0</v>
      </c>
    </row>
    <row r="9" spans="1:18" ht="16" customHeight="1">
      <c r="B9" s="454" t="s">
        <v>1221</v>
      </c>
      <c r="C9" s="508">
        <f>①基本情報!G34</f>
        <v>0</v>
      </c>
      <c r="D9" s="510">
        <f t="shared" si="0"/>
        <v>0</v>
      </c>
      <c r="E9" s="510" t="e">
        <f t="shared" si="1"/>
        <v>#N/A</v>
      </c>
      <c r="F9" s="512">
        <f>F8</f>
        <v>0</v>
      </c>
      <c r="G9" s="511" t="e">
        <f>IF(C9="無",0,VLOOKUP($O$6,個別データ!$C$5:$IB$64,$O$7,0))</f>
        <v>#N/A</v>
      </c>
      <c r="H9" s="511" t="e">
        <f t="shared" si="2"/>
        <v>#N/A</v>
      </c>
      <c r="I9" s="513">
        <f>I8</f>
        <v>0</v>
      </c>
      <c r="J9" s="511" t="e">
        <f>IF(C9="無",0,VLOOKUP($O$6,個別データ!$C$5:$IB$64,$P$7,0))</f>
        <v>#N/A</v>
      </c>
      <c r="K9" s="511" t="e">
        <f t="shared" si="3"/>
        <v>#N/A</v>
      </c>
      <c r="O9" s="336">
        <f>O8+1</f>
        <v>167</v>
      </c>
      <c r="P9" s="336">
        <f>P8+1</f>
        <v>177</v>
      </c>
      <c r="Q9" s="336" t="str">
        <f t="shared" si="4"/>
        <v>〇</v>
      </c>
      <c r="R9" s="336">
        <f>'③児童数及び職員定数 (2)-(1)'!G11+'③児童数及び職員定数 (2)-(1)'!H11</f>
        <v>0</v>
      </c>
    </row>
    <row r="10" spans="1:18" ht="18.5" customHeight="1">
      <c r="B10" s="454" t="s">
        <v>929</v>
      </c>
      <c r="C10" s="508">
        <f>①基本情報!H34</f>
        <v>0</v>
      </c>
      <c r="D10" s="510">
        <f t="shared" si="0"/>
        <v>0</v>
      </c>
      <c r="E10" s="510" t="e">
        <f t="shared" si="1"/>
        <v>#N/A</v>
      </c>
      <c r="F10" s="512">
        <f t="shared" ref="F10:F19" si="5">F9</f>
        <v>0</v>
      </c>
      <c r="G10" s="511" t="e">
        <f>IF(C10="無",0,VLOOKUP($O$6,個別データ!$C$5:$IB$64,$O$7,0))</f>
        <v>#N/A</v>
      </c>
      <c r="H10" s="511" t="e">
        <f t="shared" si="2"/>
        <v>#N/A</v>
      </c>
      <c r="I10" s="513">
        <f t="shared" ref="I10:I19" si="6">I9</f>
        <v>0</v>
      </c>
      <c r="J10" s="511" t="e">
        <f>IF(C10="無",0,VLOOKUP($O$6,個別データ!$C$5:$IB$64,$P$7,0))</f>
        <v>#N/A</v>
      </c>
      <c r="K10" s="511" t="e">
        <f t="shared" si="3"/>
        <v>#N/A</v>
      </c>
      <c r="O10" s="336">
        <f t="shared" ref="O10:P17" si="7">O9+1</f>
        <v>168</v>
      </c>
      <c r="P10" s="336">
        <f t="shared" si="7"/>
        <v>178</v>
      </c>
      <c r="Q10" s="336" t="str">
        <f t="shared" si="4"/>
        <v>〇</v>
      </c>
      <c r="R10" s="336">
        <f>'③児童数及び職員定数 (2)-(1)'!G12+'③児童数及び職員定数 (2)-(1)'!H12</f>
        <v>0</v>
      </c>
    </row>
    <row r="11" spans="1:18" ht="18.5" customHeight="1">
      <c r="B11" s="454" t="s">
        <v>930</v>
      </c>
      <c r="C11" s="508">
        <f>①基本情報!I34</f>
        <v>0</v>
      </c>
      <c r="D11" s="510">
        <f t="shared" si="0"/>
        <v>0</v>
      </c>
      <c r="E11" s="510" t="e">
        <f t="shared" si="1"/>
        <v>#N/A</v>
      </c>
      <c r="F11" s="512">
        <f t="shared" si="5"/>
        <v>0</v>
      </c>
      <c r="G11" s="511" t="e">
        <f>IF(C11="無",0,VLOOKUP($O$6,個別データ!$C$5:$IB$64,$O$7,0))</f>
        <v>#N/A</v>
      </c>
      <c r="H11" s="511" t="e">
        <f t="shared" si="2"/>
        <v>#N/A</v>
      </c>
      <c r="I11" s="513">
        <f t="shared" si="6"/>
        <v>0</v>
      </c>
      <c r="J11" s="511" t="e">
        <f>IF(C11="無",0,VLOOKUP($O$6,個別データ!$C$5:$IB$64,$P$7,0))</f>
        <v>#N/A</v>
      </c>
      <c r="K11" s="511" t="e">
        <f t="shared" si="3"/>
        <v>#N/A</v>
      </c>
      <c r="O11" s="336">
        <f t="shared" si="7"/>
        <v>169</v>
      </c>
      <c r="P11" s="336">
        <f t="shared" si="7"/>
        <v>179</v>
      </c>
      <c r="Q11" s="336" t="str">
        <f t="shared" si="4"/>
        <v>〇</v>
      </c>
      <c r="R11" s="336">
        <f>'③児童数及び職員定数 (2)-(1)'!G13+'③児童数及び職員定数 (2)-(1)'!H13</f>
        <v>0</v>
      </c>
    </row>
    <row r="12" spans="1:18" ht="18.5" customHeight="1">
      <c r="B12" s="454" t="s">
        <v>931</v>
      </c>
      <c r="C12" s="508">
        <f>①基本情報!J34</f>
        <v>0</v>
      </c>
      <c r="D12" s="510">
        <f t="shared" si="0"/>
        <v>0</v>
      </c>
      <c r="E12" s="510" t="e">
        <f t="shared" si="1"/>
        <v>#N/A</v>
      </c>
      <c r="F12" s="512">
        <f t="shared" si="5"/>
        <v>0</v>
      </c>
      <c r="G12" s="511" t="e">
        <f>IF(C12="無",0,VLOOKUP($O$6,個別データ!$C$5:$IB$64,$O$7,0))</f>
        <v>#N/A</v>
      </c>
      <c r="H12" s="511" t="e">
        <f t="shared" si="2"/>
        <v>#N/A</v>
      </c>
      <c r="I12" s="513">
        <f t="shared" si="6"/>
        <v>0</v>
      </c>
      <c r="J12" s="511" t="e">
        <f>IF(C12="無",0,VLOOKUP($O$6,個別データ!$C$5:$IB$64,$P$7,0))</f>
        <v>#N/A</v>
      </c>
      <c r="K12" s="511" t="e">
        <f t="shared" si="3"/>
        <v>#N/A</v>
      </c>
      <c r="O12" s="336">
        <f t="shared" si="7"/>
        <v>170</v>
      </c>
      <c r="P12" s="336">
        <f t="shared" si="7"/>
        <v>180</v>
      </c>
      <c r="Q12" s="336" t="str">
        <f t="shared" si="4"/>
        <v>〇</v>
      </c>
      <c r="R12" s="336">
        <f>'③児童数及び職員定数 (2)-(1)'!G14+'③児童数及び職員定数 (2)-(1)'!H14</f>
        <v>0</v>
      </c>
    </row>
    <row r="13" spans="1:18" ht="18.5" customHeight="1">
      <c r="B13" s="454" t="s">
        <v>932</v>
      </c>
      <c r="C13" s="508">
        <f>①基本情報!K34</f>
        <v>0</v>
      </c>
      <c r="D13" s="510">
        <f t="shared" si="0"/>
        <v>0</v>
      </c>
      <c r="E13" s="510" t="e">
        <f t="shared" si="1"/>
        <v>#N/A</v>
      </c>
      <c r="F13" s="512">
        <f t="shared" si="5"/>
        <v>0</v>
      </c>
      <c r="G13" s="511" t="e">
        <f>IF(C13="無",0,VLOOKUP($O$6,個別データ!$C$5:$IB$64,$O$7,0))</f>
        <v>#N/A</v>
      </c>
      <c r="H13" s="511" t="e">
        <f t="shared" si="2"/>
        <v>#N/A</v>
      </c>
      <c r="I13" s="513">
        <f t="shared" si="6"/>
        <v>0</v>
      </c>
      <c r="J13" s="511" t="e">
        <f>IF(C13="無",0,VLOOKUP($O$6,個別データ!$C$5:$IB$64,$P$7,0))</f>
        <v>#N/A</v>
      </c>
      <c r="K13" s="511" t="e">
        <f t="shared" si="3"/>
        <v>#N/A</v>
      </c>
      <c r="O13" s="336">
        <f t="shared" si="7"/>
        <v>171</v>
      </c>
      <c r="P13" s="336">
        <f t="shared" si="7"/>
        <v>181</v>
      </c>
      <c r="Q13" s="336" t="str">
        <f t="shared" si="4"/>
        <v>〇</v>
      </c>
      <c r="R13" s="336">
        <f>'③児童数及び職員定数 (2)-(1)'!G15+'③児童数及び職員定数 (2)-(1)'!H15</f>
        <v>0</v>
      </c>
    </row>
    <row r="14" spans="1:18" ht="18.5" customHeight="1">
      <c r="B14" s="454" t="s">
        <v>933</v>
      </c>
      <c r="C14" s="508">
        <f>①基本情報!L34</f>
        <v>0</v>
      </c>
      <c r="D14" s="510">
        <f t="shared" si="0"/>
        <v>0</v>
      </c>
      <c r="E14" s="510" t="e">
        <f t="shared" si="1"/>
        <v>#N/A</v>
      </c>
      <c r="F14" s="512">
        <f t="shared" si="5"/>
        <v>0</v>
      </c>
      <c r="G14" s="511" t="e">
        <f>IF(C14="無",0,VLOOKUP($O$6,個別データ!$C$5:$IB$64,$O$7,0))</f>
        <v>#N/A</v>
      </c>
      <c r="H14" s="511" t="e">
        <f t="shared" si="2"/>
        <v>#N/A</v>
      </c>
      <c r="I14" s="513">
        <f t="shared" si="6"/>
        <v>0</v>
      </c>
      <c r="J14" s="511" t="e">
        <f>IF(C14="無",0,VLOOKUP($O$6,個別データ!$C$5:$IB$64,$P$7,0))</f>
        <v>#N/A</v>
      </c>
      <c r="K14" s="511" t="e">
        <f t="shared" si="3"/>
        <v>#N/A</v>
      </c>
      <c r="O14" s="336">
        <f t="shared" si="7"/>
        <v>172</v>
      </c>
      <c r="P14" s="336">
        <f t="shared" si="7"/>
        <v>182</v>
      </c>
      <c r="Q14" s="336" t="str">
        <f t="shared" si="4"/>
        <v>〇</v>
      </c>
      <c r="R14" s="336">
        <f>'③児童数及び職員定数 (2)-(1)'!G16+'③児童数及び職員定数 (2)-(1)'!H16</f>
        <v>0</v>
      </c>
    </row>
    <row r="15" spans="1:18" ht="18.5" customHeight="1">
      <c r="B15" s="454" t="s">
        <v>934</v>
      </c>
      <c r="C15" s="508">
        <f>①基本情報!M34</f>
        <v>0</v>
      </c>
      <c r="D15" s="510">
        <f t="shared" si="0"/>
        <v>0</v>
      </c>
      <c r="E15" s="510" t="e">
        <f t="shared" si="1"/>
        <v>#N/A</v>
      </c>
      <c r="F15" s="512">
        <f t="shared" si="5"/>
        <v>0</v>
      </c>
      <c r="G15" s="511" t="e">
        <f>IF(C15="無",0,VLOOKUP($O$6,個別データ!$C$5:$IB$64,$O$7,0))</f>
        <v>#N/A</v>
      </c>
      <c r="H15" s="511" t="e">
        <f t="shared" si="2"/>
        <v>#N/A</v>
      </c>
      <c r="I15" s="513">
        <f t="shared" si="6"/>
        <v>0</v>
      </c>
      <c r="J15" s="511" t="e">
        <f>IF(C15="無",0,VLOOKUP($O$6,個別データ!$C$5:$IB$64,$P$7,0))</f>
        <v>#N/A</v>
      </c>
      <c r="K15" s="511" t="e">
        <f t="shared" si="3"/>
        <v>#N/A</v>
      </c>
      <c r="O15" s="336">
        <f t="shared" si="7"/>
        <v>173</v>
      </c>
      <c r="P15" s="336">
        <f t="shared" si="7"/>
        <v>183</v>
      </c>
      <c r="Q15" s="336" t="str">
        <f t="shared" si="4"/>
        <v>〇</v>
      </c>
      <c r="R15" s="336">
        <f>'③児童数及び職員定数 (2)-(1)'!G17+'③児童数及び職員定数 (2)-(1)'!H17</f>
        <v>0</v>
      </c>
    </row>
    <row r="16" spans="1:18" ht="18.5" customHeight="1">
      <c r="B16" s="454" t="s">
        <v>935</v>
      </c>
      <c r="C16" s="508">
        <f>①基本情報!N34</f>
        <v>0</v>
      </c>
      <c r="D16" s="510">
        <f t="shared" si="0"/>
        <v>0</v>
      </c>
      <c r="E16" s="510" t="e">
        <f t="shared" si="1"/>
        <v>#N/A</v>
      </c>
      <c r="F16" s="512">
        <f t="shared" si="5"/>
        <v>0</v>
      </c>
      <c r="G16" s="511" t="e">
        <f>IF(C16="無",0,VLOOKUP($O$6,個別データ!$C$5:$IB$64,$O$7,0))</f>
        <v>#N/A</v>
      </c>
      <c r="H16" s="511" t="e">
        <f t="shared" si="2"/>
        <v>#N/A</v>
      </c>
      <c r="I16" s="513">
        <f t="shared" si="6"/>
        <v>0</v>
      </c>
      <c r="J16" s="511" t="e">
        <f>IF(C16="無",0,VLOOKUP($O$6,個別データ!$C$5:$IB$64,$P$7,0))</f>
        <v>#N/A</v>
      </c>
      <c r="K16" s="511" t="e">
        <f t="shared" si="3"/>
        <v>#N/A</v>
      </c>
      <c r="O16" s="336">
        <f t="shared" si="7"/>
        <v>174</v>
      </c>
      <c r="P16" s="336">
        <f t="shared" si="7"/>
        <v>184</v>
      </c>
      <c r="Q16" s="336" t="str">
        <f t="shared" si="4"/>
        <v>〇</v>
      </c>
      <c r="R16" s="336">
        <f>'③児童数及び職員定数 (2)-(1)'!G18+'③児童数及び職員定数 (2)-(1)'!H18</f>
        <v>0</v>
      </c>
    </row>
    <row r="17" spans="2:18" ht="18.5" customHeight="1">
      <c r="B17" s="454" t="s">
        <v>936</v>
      </c>
      <c r="C17" s="508">
        <f>①基本情報!O34</f>
        <v>0</v>
      </c>
      <c r="D17" s="510">
        <f t="shared" si="0"/>
        <v>0</v>
      </c>
      <c r="E17" s="510" t="e">
        <f t="shared" si="1"/>
        <v>#N/A</v>
      </c>
      <c r="F17" s="512">
        <f t="shared" si="5"/>
        <v>0</v>
      </c>
      <c r="G17" s="511" t="e">
        <f>IF(C17="無",0,VLOOKUP($O$6,個別データ!$C$5:$IB$64,$O$7,0))</f>
        <v>#N/A</v>
      </c>
      <c r="H17" s="511" t="e">
        <f t="shared" si="2"/>
        <v>#N/A</v>
      </c>
      <c r="I17" s="513">
        <f t="shared" si="6"/>
        <v>0</v>
      </c>
      <c r="J17" s="511" t="e">
        <f>IF(C17="無",0,VLOOKUP($O$6,個別データ!$C$5:$IB$64,$P$7,0))</f>
        <v>#N/A</v>
      </c>
      <c r="K17" s="511" t="e">
        <f t="shared" si="3"/>
        <v>#N/A</v>
      </c>
      <c r="O17" s="336">
        <f t="shared" si="7"/>
        <v>175</v>
      </c>
      <c r="P17" s="336">
        <f t="shared" si="7"/>
        <v>185</v>
      </c>
      <c r="Q17" s="336" t="str">
        <f t="shared" si="4"/>
        <v>〇</v>
      </c>
      <c r="R17" s="336">
        <f>'③児童数及び職員定数 (2)-(1)'!G19+'③児童数及び職員定数 (2)-(1)'!H19</f>
        <v>0</v>
      </c>
    </row>
    <row r="18" spans="2:18" ht="18.5" customHeight="1">
      <c r="B18" s="454" t="s">
        <v>937</v>
      </c>
      <c r="C18" s="508">
        <f>①基本情報!P34</f>
        <v>0</v>
      </c>
      <c r="D18" s="342">
        <f>IF(C18="無",0,'③児童数及び職員定数 (2)-(1)'!G20+'③児童数及び職員定数 (2)-(1)'!H20)</f>
        <v>0</v>
      </c>
      <c r="E18" s="510" t="e">
        <f t="shared" si="1"/>
        <v>#N/A</v>
      </c>
      <c r="F18" s="512">
        <f t="shared" si="5"/>
        <v>0</v>
      </c>
      <c r="G18" s="511" t="e">
        <f>IF(C18="無",0,VLOOKUP($O$6,個別データ!$C$5:$IB$64,$O$7,0))</f>
        <v>#N/A</v>
      </c>
      <c r="H18" s="511" t="e">
        <f t="shared" si="2"/>
        <v>#N/A</v>
      </c>
      <c r="I18" s="513">
        <f t="shared" si="6"/>
        <v>0</v>
      </c>
      <c r="J18" s="511" t="e">
        <f>IF(C18="無",0,VLOOKUP($O$6,個別データ!$C$5:$IB$64,$P$7,0))</f>
        <v>#N/A</v>
      </c>
      <c r="K18" s="511" t="e">
        <f t="shared" si="3"/>
        <v>#N/A</v>
      </c>
      <c r="Q18" s="336" t="str">
        <f>IF(C18="無","〇",IF(R18=F18+I18,"〇","×"))</f>
        <v>〇</v>
      </c>
      <c r="R18" s="336">
        <f>'③児童数及び職員定数 (2)-(1)'!G20+'③児童数及び職員定数 (2)-(1)'!H20</f>
        <v>0</v>
      </c>
    </row>
    <row r="19" spans="2:18" ht="18.5" customHeight="1" thickBot="1">
      <c r="B19" s="493" t="s">
        <v>938</v>
      </c>
      <c r="C19" s="508">
        <f>①基本情報!Q34</f>
        <v>0</v>
      </c>
      <c r="D19" s="342">
        <f>IF(C19="無",0,'③児童数及び職員定数 (2)-(1)'!G21+'③児童数及び職員定数 (2)-(1)'!H21)</f>
        <v>0</v>
      </c>
      <c r="E19" s="510" t="e">
        <f t="shared" si="1"/>
        <v>#N/A</v>
      </c>
      <c r="F19" s="512">
        <f t="shared" si="5"/>
        <v>0</v>
      </c>
      <c r="G19" s="511" t="e">
        <f>IF(C19="無",0,VLOOKUP($O$6,個別データ!$C$5:$IB$64,$O$7,0))</f>
        <v>#N/A</v>
      </c>
      <c r="H19" s="511" t="e">
        <f t="shared" si="2"/>
        <v>#N/A</v>
      </c>
      <c r="I19" s="513">
        <f t="shared" si="6"/>
        <v>0</v>
      </c>
      <c r="J19" s="511" t="e">
        <f>IF(C19="無",0,VLOOKUP($O$6,個別データ!$C$5:$IB$64,$P$7,0))</f>
        <v>#N/A</v>
      </c>
      <c r="K19" s="511" t="e">
        <f t="shared" si="3"/>
        <v>#N/A</v>
      </c>
      <c r="Q19" s="336" t="str">
        <f>IF(C19="無","〇",IF(R19=F19+I19,"〇","×"))</f>
        <v>〇</v>
      </c>
      <c r="R19" s="336">
        <f>'③児童数及び職員定数 (2)-(1)'!G21+'③児童数及び職員定数 (2)-(1)'!H21</f>
        <v>0</v>
      </c>
    </row>
    <row r="20" spans="2:18" ht="18.5" customHeight="1" thickTop="1" thickBot="1">
      <c r="B20" s="515" t="s">
        <v>679</v>
      </c>
      <c r="C20" s="516"/>
      <c r="D20" s="517">
        <f>SUM(D8:D19)</f>
        <v>0</v>
      </c>
      <c r="E20" s="518" t="e">
        <f t="shared" ref="E20" si="8">SUM(E8:E19)</f>
        <v>#N/A</v>
      </c>
      <c r="Q20" s="336" t="str">
        <f>IF(COUNTIF(Q18:Q19,"×")&gt;0,"×","〇")</f>
        <v>〇</v>
      </c>
    </row>
    <row r="21" spans="2:18" ht="18.5" customHeight="1" thickTop="1">
      <c r="Q21" s="554" t="str">
        <f>IF(COUNTIF(Q8:Q17,"×")&gt;0,"×","〇")</f>
        <v>〇</v>
      </c>
    </row>
    <row r="22" spans="2:18" ht="18.5" customHeight="1">
      <c r="B22" s="336" t="s">
        <v>1366</v>
      </c>
      <c r="P22" s="507"/>
    </row>
    <row r="23" spans="2:18" ht="18.5" customHeight="1">
      <c r="B23" s="342"/>
      <c r="C23" s="454" t="s">
        <v>1216</v>
      </c>
      <c r="D23" s="454" t="s">
        <v>1367</v>
      </c>
      <c r="E23" s="454" t="s">
        <v>1218</v>
      </c>
      <c r="F23" s="454" t="s">
        <v>1219</v>
      </c>
      <c r="G23" s="455"/>
      <c r="H23" s="455"/>
      <c r="I23" s="455"/>
      <c r="J23" s="455"/>
      <c r="K23" s="455"/>
      <c r="L23" s="455"/>
      <c r="M23" s="455"/>
      <c r="N23" s="336" t="s">
        <v>1218</v>
      </c>
      <c r="O23" s="336">
        <f>個別データ!GF1</f>
        <v>186</v>
      </c>
    </row>
    <row r="24" spans="2:18" ht="16" customHeight="1">
      <c r="B24" s="454" t="s">
        <v>1220</v>
      </c>
      <c r="C24" s="454">
        <f>①基本情報!F35</f>
        <v>0</v>
      </c>
      <c r="D24" s="342">
        <f>'③児童数及び職員定数 (2)-(1)'!C10</f>
        <v>0</v>
      </c>
      <c r="E24" s="511" t="e">
        <f>IF(C24="無",0,VLOOKUP($O$6,個別データ!$C$5:$IB$64,$O$23,0))</f>
        <v>#N/A</v>
      </c>
      <c r="F24" s="511" t="e">
        <f t="shared" ref="F24:F35" si="9">D24*E24</f>
        <v>#N/A</v>
      </c>
      <c r="G24" s="519"/>
      <c r="H24" s="519"/>
      <c r="I24" s="519"/>
      <c r="J24" s="519"/>
      <c r="K24" s="519"/>
      <c r="L24" s="519"/>
      <c r="M24" s="519"/>
      <c r="N24" s="336" t="s">
        <v>1365</v>
      </c>
      <c r="O24" s="336">
        <f>個別データ!GS1</f>
        <v>199</v>
      </c>
      <c r="Q24" s="336" t="str">
        <f t="shared" ref="Q24:Q35" si="10">IF(R24=D24,"〇","×")</f>
        <v>〇</v>
      </c>
      <c r="R24" s="336">
        <f>'③児童数及び職員定数 (2)-(1)'!C10</f>
        <v>0</v>
      </c>
    </row>
    <row r="25" spans="2:18" ht="16" customHeight="1">
      <c r="B25" s="454" t="s">
        <v>1221</v>
      </c>
      <c r="C25" s="454">
        <f>①基本情報!G35</f>
        <v>0</v>
      </c>
      <c r="D25" s="342">
        <f>'③児童数及び職員定数 (2)-(1)'!C11</f>
        <v>0</v>
      </c>
      <c r="E25" s="511" t="e">
        <f>IF(C25="無",0,VLOOKUP($O$6,個別データ!$C$5:$IB$64,$O$23,0))</f>
        <v>#N/A</v>
      </c>
      <c r="F25" s="511" t="e">
        <f t="shared" si="9"/>
        <v>#N/A</v>
      </c>
      <c r="G25" s="519"/>
      <c r="H25" s="519"/>
      <c r="I25" s="519"/>
      <c r="J25" s="519"/>
      <c r="K25" s="519"/>
      <c r="L25" s="519"/>
      <c r="M25" s="519"/>
      <c r="O25" s="336">
        <f>O24+1</f>
        <v>200</v>
      </c>
      <c r="Q25" s="336" t="str">
        <f t="shared" si="10"/>
        <v>〇</v>
      </c>
      <c r="R25" s="336">
        <f>'③児童数及び職員定数 (2)-(1)'!C11</f>
        <v>0</v>
      </c>
    </row>
    <row r="26" spans="2:18" ht="16" customHeight="1">
      <c r="B26" s="454" t="s">
        <v>929</v>
      </c>
      <c r="C26" s="454">
        <f>①基本情報!H35</f>
        <v>0</v>
      </c>
      <c r="D26" s="342">
        <f>'③児童数及び職員定数 (2)-(1)'!C12</f>
        <v>0</v>
      </c>
      <c r="E26" s="511" t="e">
        <f>IF(C26="無",0,VLOOKUP($O$6,個別データ!$C$5:$IB$64,$O$23,0))</f>
        <v>#N/A</v>
      </c>
      <c r="F26" s="511" t="e">
        <f t="shared" si="9"/>
        <v>#N/A</v>
      </c>
      <c r="G26" s="519"/>
      <c r="H26" s="519"/>
      <c r="I26" s="519"/>
      <c r="J26" s="519"/>
      <c r="K26" s="519"/>
      <c r="L26" s="519"/>
      <c r="M26" s="519"/>
      <c r="O26" s="336">
        <f t="shared" ref="O26:O33" si="11">O25+1</f>
        <v>201</v>
      </c>
      <c r="Q26" s="336" t="str">
        <f t="shared" si="10"/>
        <v>〇</v>
      </c>
      <c r="R26" s="336">
        <f>'③児童数及び職員定数 (2)-(1)'!C12</f>
        <v>0</v>
      </c>
    </row>
    <row r="27" spans="2:18" ht="16" customHeight="1">
      <c r="B27" s="454" t="s">
        <v>930</v>
      </c>
      <c r="C27" s="454">
        <f>①基本情報!I35</f>
        <v>0</v>
      </c>
      <c r="D27" s="342">
        <f>'③児童数及び職員定数 (2)-(1)'!C13</f>
        <v>0</v>
      </c>
      <c r="E27" s="511" t="e">
        <f>IF(C27="無",0,VLOOKUP($O$6,個別データ!$C$5:$IB$64,$O$23,0))</f>
        <v>#N/A</v>
      </c>
      <c r="F27" s="511" t="e">
        <f t="shared" si="9"/>
        <v>#N/A</v>
      </c>
      <c r="G27" s="519"/>
      <c r="H27" s="519"/>
      <c r="I27" s="519"/>
      <c r="J27" s="519"/>
      <c r="K27" s="519"/>
      <c r="L27" s="519"/>
      <c r="M27" s="519"/>
      <c r="O27" s="336">
        <f t="shared" si="11"/>
        <v>202</v>
      </c>
      <c r="Q27" s="336" t="str">
        <f t="shared" si="10"/>
        <v>〇</v>
      </c>
      <c r="R27" s="336">
        <f>'③児童数及び職員定数 (2)-(1)'!C13</f>
        <v>0</v>
      </c>
    </row>
    <row r="28" spans="2:18" ht="16" customHeight="1">
      <c r="B28" s="454" t="s">
        <v>931</v>
      </c>
      <c r="C28" s="454">
        <f>①基本情報!J35</f>
        <v>0</v>
      </c>
      <c r="D28" s="342">
        <f>'③児童数及び職員定数 (2)-(1)'!C14</f>
        <v>0</v>
      </c>
      <c r="E28" s="511" t="e">
        <f>IF(C28="無",0,VLOOKUP($O$6,個別データ!$C$5:$IB$64,$O$23,0))</f>
        <v>#N/A</v>
      </c>
      <c r="F28" s="511" t="e">
        <f t="shared" si="9"/>
        <v>#N/A</v>
      </c>
      <c r="G28" s="519"/>
      <c r="H28" s="519"/>
      <c r="I28" s="519"/>
      <c r="J28" s="519"/>
      <c r="K28" s="519"/>
      <c r="L28" s="519"/>
      <c r="M28" s="519"/>
      <c r="O28" s="336">
        <f t="shared" si="11"/>
        <v>203</v>
      </c>
      <c r="Q28" s="336" t="str">
        <f t="shared" si="10"/>
        <v>〇</v>
      </c>
      <c r="R28" s="336">
        <f>'③児童数及び職員定数 (2)-(1)'!C14</f>
        <v>0</v>
      </c>
    </row>
    <row r="29" spans="2:18" ht="16" customHeight="1">
      <c r="B29" s="454" t="s">
        <v>932</v>
      </c>
      <c r="C29" s="454">
        <f>①基本情報!K35</f>
        <v>0</v>
      </c>
      <c r="D29" s="342">
        <f>'③児童数及び職員定数 (2)-(1)'!C15</f>
        <v>0</v>
      </c>
      <c r="E29" s="511" t="e">
        <f>IF(C29="無",0,VLOOKUP($O$6,個別データ!$C$5:$IB$64,$O$23,0))</f>
        <v>#N/A</v>
      </c>
      <c r="F29" s="511" t="e">
        <f t="shared" si="9"/>
        <v>#N/A</v>
      </c>
      <c r="G29" s="519"/>
      <c r="H29" s="519"/>
      <c r="I29" s="519"/>
      <c r="J29" s="519"/>
      <c r="K29" s="519"/>
      <c r="L29" s="519"/>
      <c r="M29" s="519"/>
      <c r="O29" s="336">
        <f t="shared" si="11"/>
        <v>204</v>
      </c>
      <c r="Q29" s="336" t="str">
        <f t="shared" si="10"/>
        <v>〇</v>
      </c>
      <c r="R29" s="336">
        <f>'③児童数及び職員定数 (2)-(1)'!C15</f>
        <v>0</v>
      </c>
    </row>
    <row r="30" spans="2:18" ht="16" customHeight="1">
      <c r="B30" s="454" t="s">
        <v>933</v>
      </c>
      <c r="C30" s="454">
        <f>①基本情報!L35</f>
        <v>0</v>
      </c>
      <c r="D30" s="342">
        <f>'③児童数及び職員定数 (2)-(1)'!C16</f>
        <v>0</v>
      </c>
      <c r="E30" s="511" t="e">
        <f>IF(C30="無",0,VLOOKUP($O$6,個別データ!$C$5:$IB$64,$O$23,0))</f>
        <v>#N/A</v>
      </c>
      <c r="F30" s="511" t="e">
        <f t="shared" si="9"/>
        <v>#N/A</v>
      </c>
      <c r="G30" s="519"/>
      <c r="H30" s="519"/>
      <c r="I30" s="519"/>
      <c r="J30" s="519"/>
      <c r="K30" s="519"/>
      <c r="L30" s="519"/>
      <c r="M30" s="519"/>
      <c r="O30" s="336">
        <f t="shared" si="11"/>
        <v>205</v>
      </c>
      <c r="Q30" s="336" t="str">
        <f t="shared" si="10"/>
        <v>〇</v>
      </c>
      <c r="R30" s="336">
        <f>'③児童数及び職員定数 (2)-(1)'!C16</f>
        <v>0</v>
      </c>
    </row>
    <row r="31" spans="2:18" ht="16" customHeight="1">
      <c r="B31" s="454" t="s">
        <v>934</v>
      </c>
      <c r="C31" s="454">
        <f>①基本情報!M35</f>
        <v>0</v>
      </c>
      <c r="D31" s="342">
        <f>'③児童数及び職員定数 (2)-(1)'!C17</f>
        <v>0</v>
      </c>
      <c r="E31" s="511" t="e">
        <f>IF(C31="無",0,VLOOKUP($O$6,個別データ!$C$5:$IB$64,$O$23,0))</f>
        <v>#N/A</v>
      </c>
      <c r="F31" s="511" t="e">
        <f t="shared" si="9"/>
        <v>#N/A</v>
      </c>
      <c r="G31" s="519"/>
      <c r="H31" s="519"/>
      <c r="I31" s="519"/>
      <c r="J31" s="519"/>
      <c r="K31" s="519"/>
      <c r="L31" s="519"/>
      <c r="M31" s="519"/>
      <c r="O31" s="336">
        <f t="shared" si="11"/>
        <v>206</v>
      </c>
      <c r="Q31" s="336" t="str">
        <f t="shared" si="10"/>
        <v>〇</v>
      </c>
      <c r="R31" s="336">
        <f>'③児童数及び職員定数 (2)-(1)'!C17</f>
        <v>0</v>
      </c>
    </row>
    <row r="32" spans="2:18" ht="16" customHeight="1">
      <c r="B32" s="454" t="s">
        <v>935</v>
      </c>
      <c r="C32" s="454">
        <f>①基本情報!N35</f>
        <v>0</v>
      </c>
      <c r="D32" s="342">
        <f>'③児童数及び職員定数 (2)-(1)'!C18</f>
        <v>0</v>
      </c>
      <c r="E32" s="511" t="e">
        <f>IF(C32="無",0,VLOOKUP($O$6,個別データ!$C$5:$IB$64,$O$23,0))</f>
        <v>#N/A</v>
      </c>
      <c r="F32" s="511" t="e">
        <f t="shared" si="9"/>
        <v>#N/A</v>
      </c>
      <c r="G32" s="519"/>
      <c r="H32" s="519"/>
      <c r="I32" s="519"/>
      <c r="J32" s="519"/>
      <c r="K32" s="519"/>
      <c r="L32" s="519"/>
      <c r="M32" s="519"/>
      <c r="O32" s="336">
        <f t="shared" si="11"/>
        <v>207</v>
      </c>
      <c r="Q32" s="336" t="str">
        <f t="shared" si="10"/>
        <v>〇</v>
      </c>
      <c r="R32" s="336">
        <f>'③児童数及び職員定数 (2)-(1)'!C18</f>
        <v>0</v>
      </c>
    </row>
    <row r="33" spans="2:18" ht="16" customHeight="1">
      <c r="B33" s="454" t="s">
        <v>936</v>
      </c>
      <c r="C33" s="454">
        <f>①基本情報!O35</f>
        <v>0</v>
      </c>
      <c r="D33" s="342">
        <f>'③児童数及び職員定数 (2)-(1)'!C19</f>
        <v>0</v>
      </c>
      <c r="E33" s="511" t="e">
        <f>IF(C33="無",0,VLOOKUP($O$6,個別データ!$C$5:$IB$64,$O$23,0))</f>
        <v>#N/A</v>
      </c>
      <c r="F33" s="511" t="e">
        <f t="shared" si="9"/>
        <v>#N/A</v>
      </c>
      <c r="G33" s="519"/>
      <c r="H33" s="519"/>
      <c r="I33" s="519"/>
      <c r="J33" s="519"/>
      <c r="K33" s="519"/>
      <c r="L33" s="519"/>
      <c r="M33" s="519"/>
      <c r="O33" s="336">
        <f t="shared" si="11"/>
        <v>208</v>
      </c>
      <c r="Q33" s="336" t="str">
        <f t="shared" si="10"/>
        <v>〇</v>
      </c>
      <c r="R33" s="336">
        <f>'③児童数及び職員定数 (2)-(1)'!C19</f>
        <v>0</v>
      </c>
    </row>
    <row r="34" spans="2:18" ht="16" customHeight="1">
      <c r="B34" s="454" t="s">
        <v>937</v>
      </c>
      <c r="C34" s="454">
        <f>①基本情報!P35</f>
        <v>0</v>
      </c>
      <c r="D34" s="342">
        <f>'③児童数及び職員定数 (2)-(1)'!C20</f>
        <v>0</v>
      </c>
      <c r="E34" s="511" t="e">
        <f>IF(C34="無",0,VLOOKUP($O$6,個別データ!$C$5:$IB$64,$O$23,0))</f>
        <v>#N/A</v>
      </c>
      <c r="F34" s="511" t="e">
        <f t="shared" si="9"/>
        <v>#N/A</v>
      </c>
      <c r="G34" s="519"/>
      <c r="H34" s="519"/>
      <c r="I34" s="519"/>
      <c r="J34" s="519"/>
      <c r="K34" s="519"/>
      <c r="L34" s="519"/>
      <c r="M34" s="519"/>
      <c r="Q34" s="336" t="str">
        <f t="shared" si="10"/>
        <v>〇</v>
      </c>
      <c r="R34" s="336">
        <f>'③児童数及び職員定数 (2)-(1)'!C20</f>
        <v>0</v>
      </c>
    </row>
    <row r="35" spans="2:18" ht="16" customHeight="1" thickBot="1">
      <c r="B35" s="493" t="s">
        <v>938</v>
      </c>
      <c r="C35" s="454">
        <f>①基本情報!Q35</f>
        <v>0</v>
      </c>
      <c r="D35" s="342">
        <f>'③児童数及び職員定数 (2)-(1)'!C21</f>
        <v>0</v>
      </c>
      <c r="E35" s="511" t="e">
        <f>IF(C35="無",0,VLOOKUP($O$6,個別データ!$C$5:$IB$64,$O$23,0))</f>
        <v>#N/A</v>
      </c>
      <c r="F35" s="514" t="e">
        <f t="shared" si="9"/>
        <v>#N/A</v>
      </c>
      <c r="G35" s="519"/>
      <c r="H35" s="519"/>
      <c r="I35" s="519"/>
      <c r="J35" s="519"/>
      <c r="K35" s="519"/>
      <c r="L35" s="519"/>
      <c r="M35" s="519"/>
      <c r="Q35" s="336" t="str">
        <f t="shared" si="10"/>
        <v>〇</v>
      </c>
      <c r="R35" s="336">
        <f>'③児童数及び職員定数 (2)-(1)'!C21</f>
        <v>0</v>
      </c>
    </row>
    <row r="36" spans="2:18" ht="16" customHeight="1" thickTop="1" thickBot="1">
      <c r="B36" s="515" t="s">
        <v>679</v>
      </c>
      <c r="C36" s="516"/>
      <c r="D36" s="517">
        <f>SUM(D24:D35)</f>
        <v>0</v>
      </c>
      <c r="E36" s="520"/>
      <c r="F36" s="518" t="e">
        <f t="shared" ref="F36" si="12">SUM(F24:F35)</f>
        <v>#N/A</v>
      </c>
      <c r="G36" s="519"/>
      <c r="H36" s="519"/>
      <c r="I36" s="519"/>
      <c r="J36" s="519"/>
      <c r="K36" s="519"/>
      <c r="L36" s="519"/>
      <c r="M36" s="519"/>
      <c r="Q36" s="554" t="str">
        <f>IF(COUNTIF(M24:Q33,"×")&gt;0,"×","〇")</f>
        <v>〇</v>
      </c>
    </row>
    <row r="37" spans="2:18" ht="16" customHeight="1" thickTop="1"/>
    <row r="38" spans="2:18" ht="16" customHeight="1">
      <c r="F38" s="521" t="e">
        <f>E20+F36</f>
        <v>#N/A</v>
      </c>
      <c r="G38" s="521"/>
      <c r="H38" s="521"/>
      <c r="I38" s="521"/>
      <c r="J38" s="521"/>
      <c r="K38" s="521"/>
      <c r="L38" s="521"/>
      <c r="M38" s="521"/>
    </row>
    <row r="45" spans="2:18" ht="16" hidden="1" customHeight="1">
      <c r="B45" s="336" t="s">
        <v>11</v>
      </c>
      <c r="C45" s="336" t="str">
        <f>IF(COUNTIF(C8:C19,B45),"有","無")</f>
        <v>無</v>
      </c>
      <c r="D45" s="336" t="s">
        <v>1231</v>
      </c>
    </row>
  </sheetData>
  <sheetProtection algorithmName="SHA-512" hashValue="HeFdfKSR6xggKTI6UXZmxS/XQliP0dUa8Bsk4mvYYxegLVsO/MfO6IBtgYA6VfDpV92u7rd2pmuAZyg/zLK0ew==" saltValue="3lkYLaZcWDMHcR15RFckkg==" spinCount="100000" sheet="1" selectLockedCells="1"/>
  <mergeCells count="5">
    <mergeCell ref="A1:F1"/>
    <mergeCell ref="D2:F2"/>
    <mergeCell ref="F6:H6"/>
    <mergeCell ref="I6:K6"/>
    <mergeCell ref="F4:K5"/>
  </mergeCells>
  <phoneticPr fontId="1"/>
  <conditionalFormatting sqref="B6:K20">
    <cfRule type="expression" dxfId="10" priority="2">
      <formula>$M$3="無"</formula>
    </cfRule>
  </conditionalFormatting>
  <conditionalFormatting sqref="F8">
    <cfRule type="containsBlanks" dxfId="9" priority="88">
      <formula>LEN(TRIM(F8))=0</formula>
    </cfRule>
  </conditionalFormatting>
  <conditionalFormatting sqref="I8">
    <cfRule type="containsBlanks" dxfId="8" priority="3">
      <formula>LEN(TRIM(I8))=0</formula>
    </cfRule>
  </conditionalFormatting>
  <pageMargins left="0.7" right="0.7" top="0.75" bottom="0.75" header="0.3" footer="0.3"/>
  <pageSetup paperSize="9" scale="75"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FD99B-9A1B-4D9F-B3D5-F1C1C8DDEEBB}">
  <sheetPr>
    <tabColor rgb="FFFFFF00"/>
  </sheetPr>
  <dimension ref="A1:N39"/>
  <sheetViews>
    <sheetView showGridLines="0" view="pageBreakPreview" zoomScale="85" zoomScaleNormal="100" zoomScaleSheetLayoutView="85" workbookViewId="0">
      <selection activeCell="J7" sqref="J7:L9"/>
    </sheetView>
  </sheetViews>
  <sheetFormatPr defaultColWidth="9" defaultRowHeight="13"/>
  <cols>
    <col min="1" max="1" width="5.08203125" style="136" customWidth="1"/>
    <col min="2" max="2" width="14.33203125" style="136" customWidth="1"/>
    <col min="3" max="5" width="4.08203125" style="136" customWidth="1"/>
    <col min="6" max="7" width="4.75" style="136" customWidth="1"/>
    <col min="8" max="8" width="3.75" style="136" customWidth="1"/>
    <col min="9" max="9" width="9.33203125" style="136" customWidth="1"/>
    <col min="10" max="10" width="8.75" style="136" customWidth="1"/>
    <col min="11" max="11" width="17.5" style="136" customWidth="1"/>
    <col min="12" max="12" width="5.83203125" style="136" customWidth="1"/>
    <col min="13" max="13" width="5.75" style="136" customWidth="1"/>
    <col min="14" max="14" width="9.83203125" style="136" bestFit="1" customWidth="1"/>
    <col min="15" max="16384" width="9" style="136"/>
  </cols>
  <sheetData>
    <row r="1" spans="1:14" ht="23" customHeight="1">
      <c r="A1" s="144" t="s">
        <v>589</v>
      </c>
      <c r="B1" s="144"/>
      <c r="C1" s="144"/>
      <c r="D1" s="144"/>
      <c r="E1" s="144"/>
      <c r="F1" s="144"/>
      <c r="G1" s="144"/>
      <c r="H1" s="144"/>
      <c r="I1" s="144"/>
      <c r="J1" s="144"/>
      <c r="K1" s="144"/>
      <c r="L1" s="144" t="e">
        <f>①基本情報!Q5</f>
        <v>#N/A</v>
      </c>
      <c r="M1" s="144"/>
      <c r="N1" s="144"/>
    </row>
    <row r="2" spans="1:14" ht="23.15" customHeight="1">
      <c r="A2" s="144"/>
      <c r="B2" s="144"/>
      <c r="C2" s="144"/>
      <c r="D2" s="144"/>
      <c r="E2" s="144"/>
      <c r="F2" s="144"/>
      <c r="G2" s="144"/>
      <c r="H2" s="144"/>
      <c r="I2" s="144"/>
      <c r="J2" s="144"/>
      <c r="K2" s="145" t="s">
        <v>1408</v>
      </c>
      <c r="L2" s="144"/>
      <c r="M2" s="144"/>
      <c r="N2" s="36"/>
    </row>
    <row r="3" spans="1:14" ht="11" customHeight="1">
      <c r="A3" s="144"/>
      <c r="B3" s="144"/>
      <c r="C3" s="144"/>
      <c r="D3" s="144"/>
      <c r="E3" s="144"/>
      <c r="F3" s="144"/>
      <c r="G3" s="144"/>
      <c r="H3" s="144"/>
      <c r="I3" s="144"/>
      <c r="J3" s="144"/>
      <c r="K3" s="144"/>
      <c r="L3" s="144"/>
      <c r="M3" s="144"/>
      <c r="N3" s="36"/>
    </row>
    <row r="4" spans="1:14" ht="39.5" customHeight="1">
      <c r="A4" s="924" t="s">
        <v>590</v>
      </c>
      <c r="B4" s="924"/>
      <c r="C4" s="924"/>
      <c r="D4" s="924"/>
      <c r="E4" s="924"/>
      <c r="F4" s="924"/>
      <c r="G4" s="924"/>
      <c r="H4" s="924"/>
      <c r="I4" s="924"/>
      <c r="J4" s="924"/>
      <c r="K4" s="924"/>
      <c r="L4" s="924"/>
      <c r="M4" s="144"/>
      <c r="N4" s="36"/>
    </row>
    <row r="5" spans="1:14" ht="39.5" customHeight="1">
      <c r="A5" s="924" t="s">
        <v>591</v>
      </c>
      <c r="B5" s="924"/>
      <c r="C5" s="924"/>
      <c r="D5" s="924"/>
      <c r="E5" s="924"/>
      <c r="F5" s="925"/>
      <c r="G5" s="925"/>
      <c r="H5" s="925"/>
      <c r="I5" s="925"/>
      <c r="J5" s="925"/>
      <c r="K5" s="925"/>
      <c r="L5" s="925"/>
      <c r="M5" s="144"/>
      <c r="N5" s="36"/>
    </row>
    <row r="6" spans="1:14" ht="6.5" customHeight="1">
      <c r="A6" s="144"/>
      <c r="B6" s="144"/>
      <c r="C6" s="144"/>
      <c r="D6" s="144"/>
      <c r="E6" s="144"/>
      <c r="F6" s="144"/>
      <c r="G6" s="144"/>
      <c r="H6" s="144"/>
      <c r="I6" s="144"/>
      <c r="J6" s="144"/>
      <c r="K6" s="144"/>
      <c r="L6" s="144"/>
      <c r="M6" s="144"/>
      <c r="N6" s="36"/>
    </row>
    <row r="7" spans="1:14" ht="23" customHeight="1">
      <c r="A7" s="144"/>
      <c r="B7" s="144" t="s">
        <v>592</v>
      </c>
      <c r="C7" s="144"/>
      <c r="D7" s="144"/>
      <c r="E7" s="144"/>
      <c r="F7" s="144"/>
      <c r="G7" s="144"/>
      <c r="H7" s="144"/>
      <c r="I7" s="144"/>
      <c r="J7" s="926" t="e">
        <f>VLOOKUP($L$1,補助金用基本データ!$D$5:$M$58,11,0)</f>
        <v>#N/A</v>
      </c>
      <c r="K7" s="926"/>
      <c r="L7" s="926"/>
      <c r="M7" s="144"/>
    </row>
    <row r="8" spans="1:14" ht="16" customHeight="1">
      <c r="A8" s="144"/>
      <c r="B8" s="144"/>
      <c r="C8" s="144"/>
      <c r="D8" s="144"/>
      <c r="E8" s="144"/>
      <c r="F8" s="144"/>
      <c r="G8" s="144"/>
      <c r="H8" s="144"/>
      <c r="I8" s="144"/>
      <c r="J8" s="927"/>
      <c r="K8" s="927"/>
      <c r="L8" s="927"/>
      <c r="M8" s="144"/>
    </row>
    <row r="9" spans="1:14" ht="36" customHeight="1">
      <c r="A9" s="144"/>
      <c r="B9" s="144"/>
      <c r="C9" s="144"/>
      <c r="D9" s="144"/>
      <c r="E9" s="144"/>
      <c r="F9" s="144"/>
      <c r="G9" s="144"/>
      <c r="H9" s="928" t="s">
        <v>593</v>
      </c>
      <c r="I9" s="928"/>
      <c r="J9" s="927"/>
      <c r="K9" s="927"/>
      <c r="L9" s="927"/>
      <c r="M9" s="144"/>
    </row>
    <row r="10" spans="1:14" ht="22" customHeight="1">
      <c r="A10" s="144"/>
      <c r="B10" s="144"/>
      <c r="C10" s="144"/>
      <c r="D10" s="144"/>
      <c r="E10" s="144"/>
      <c r="F10" s="144"/>
      <c r="G10" s="144"/>
      <c r="H10" s="919" t="s">
        <v>278</v>
      </c>
      <c r="I10" s="919"/>
      <c r="J10" s="929" t="e">
        <f>VLOOKUP($L$1,補助金用基本データ!$D$5:$M$58,10,0)</f>
        <v>#N/A</v>
      </c>
      <c r="K10" s="920"/>
      <c r="L10" s="920"/>
      <c r="M10" s="144"/>
    </row>
    <row r="11" spans="1:14" ht="22" customHeight="1">
      <c r="A11" s="144"/>
      <c r="B11" s="144"/>
      <c r="C11" s="144"/>
      <c r="D11" s="144"/>
      <c r="E11" s="144"/>
      <c r="F11" s="144"/>
      <c r="G11" s="144"/>
      <c r="H11" s="919" t="s">
        <v>279</v>
      </c>
      <c r="I11" s="919"/>
      <c r="J11" s="920" t="e">
        <f>VLOOKUP($L$1,補助金用基本データ!$D$5:$M$58,12,0)&amp;"　"&amp;VLOOKUP($L$1,補助金用基本データ!$D$5:$M$58,13,0)</f>
        <v>#N/A</v>
      </c>
      <c r="K11" s="920"/>
      <c r="L11" s="920"/>
      <c r="M11" s="144"/>
    </row>
    <row r="12" spans="1:14" ht="22" customHeight="1">
      <c r="A12" s="144"/>
      <c r="B12" s="144"/>
      <c r="C12" s="144"/>
      <c r="D12" s="144"/>
      <c r="E12" s="144"/>
      <c r="F12" s="144"/>
      <c r="G12" s="144"/>
      <c r="H12" s="921" t="s">
        <v>595</v>
      </c>
      <c r="I12" s="921"/>
      <c r="J12" s="922">
        <f>①基本情報!D5</f>
        <v>0</v>
      </c>
      <c r="K12" s="922"/>
      <c r="L12" s="922"/>
      <c r="M12" s="144"/>
    </row>
    <row r="13" spans="1:14" ht="22" customHeight="1">
      <c r="A13" s="144"/>
      <c r="B13" s="144"/>
      <c r="C13" s="144"/>
      <c r="D13" s="144"/>
      <c r="E13" s="144"/>
      <c r="F13" s="923" t="s">
        <v>1313</v>
      </c>
      <c r="G13" s="923"/>
      <c r="H13" s="923"/>
      <c r="I13" s="923"/>
      <c r="J13" s="922">
        <f>①基本情報!M4</f>
        <v>0</v>
      </c>
      <c r="K13" s="922"/>
      <c r="L13" s="922"/>
      <c r="M13" s="144"/>
    </row>
    <row r="14" spans="1:14" ht="9.5" customHeight="1">
      <c r="A14" s="144"/>
      <c r="B14" s="144"/>
      <c r="C14" s="144"/>
      <c r="D14" s="144"/>
      <c r="E14" s="144"/>
      <c r="F14" s="144"/>
      <c r="G14" s="144"/>
      <c r="H14" s="144"/>
      <c r="I14" s="144"/>
      <c r="J14" s="144"/>
      <c r="K14" s="144"/>
      <c r="L14" s="144"/>
      <c r="M14" s="144"/>
      <c r="N14" s="36"/>
    </row>
    <row r="15" spans="1:14" ht="23" customHeight="1">
      <c r="B15" s="906" t="s">
        <v>1318</v>
      </c>
      <c r="C15" s="906"/>
      <c r="D15" s="906"/>
      <c r="E15" s="906"/>
      <c r="F15" s="906"/>
      <c r="G15" s="906"/>
      <c r="H15" s="906"/>
      <c r="I15" s="906"/>
      <c r="J15" s="906"/>
      <c r="K15" s="906"/>
      <c r="L15" s="906"/>
      <c r="M15" s="144"/>
      <c r="N15" s="36"/>
    </row>
    <row r="16" spans="1:14" ht="23.15" customHeight="1">
      <c r="A16" s="315"/>
      <c r="B16" s="906"/>
      <c r="C16" s="906"/>
      <c r="D16" s="906"/>
      <c r="E16" s="906"/>
      <c r="F16" s="906"/>
      <c r="G16" s="906"/>
      <c r="H16" s="906"/>
      <c r="I16" s="906"/>
      <c r="J16" s="906"/>
      <c r="K16" s="906"/>
      <c r="L16" s="906"/>
      <c r="M16" s="144"/>
      <c r="N16" s="36"/>
    </row>
    <row r="17" spans="1:14" ht="23.15" customHeight="1">
      <c r="A17" s="144"/>
      <c r="B17" s="906"/>
      <c r="C17" s="906"/>
      <c r="D17" s="906"/>
      <c r="E17" s="906"/>
      <c r="F17" s="906"/>
      <c r="G17" s="906"/>
      <c r="H17" s="906"/>
      <c r="I17" s="906"/>
      <c r="J17" s="906"/>
      <c r="K17" s="906"/>
      <c r="L17" s="906"/>
      <c r="M17" s="144"/>
      <c r="N17" s="36"/>
    </row>
    <row r="18" spans="1:14" ht="23.15" customHeight="1">
      <c r="A18" s="144" t="s">
        <v>596</v>
      </c>
      <c r="B18" s="144"/>
      <c r="C18" s="144"/>
      <c r="D18" s="144"/>
      <c r="E18" s="144"/>
      <c r="F18" s="144"/>
      <c r="G18" s="907" t="e">
        <f>J30</f>
        <v>#N/A</v>
      </c>
      <c r="H18" s="908"/>
      <c r="I18" s="908"/>
      <c r="J18" s="908"/>
      <c r="K18" s="146" t="s">
        <v>272</v>
      </c>
      <c r="L18" s="144"/>
      <c r="M18" s="144"/>
      <c r="N18" s="36"/>
    </row>
    <row r="19" spans="1:14" ht="15" customHeight="1" thickBot="1">
      <c r="A19" s="144"/>
      <c r="B19" s="144"/>
      <c r="C19" s="144"/>
      <c r="D19" s="144"/>
      <c r="E19" s="144"/>
      <c r="F19" s="144"/>
      <c r="G19" s="144"/>
      <c r="H19" s="144"/>
      <c r="I19" s="144"/>
      <c r="J19" s="144"/>
      <c r="K19" s="144"/>
      <c r="L19" s="144"/>
      <c r="M19" s="144"/>
      <c r="N19" s="36"/>
    </row>
    <row r="20" spans="1:14" ht="18.75" customHeight="1">
      <c r="A20" s="144"/>
      <c r="B20" s="909" t="s">
        <v>617</v>
      </c>
      <c r="C20" s="911" t="s">
        <v>597</v>
      </c>
      <c r="D20" s="912"/>
      <c r="E20" s="912"/>
      <c r="F20" s="912"/>
      <c r="G20" s="912"/>
      <c r="H20" s="912"/>
      <c r="I20" s="912"/>
      <c r="J20" s="912"/>
      <c r="K20" s="912"/>
      <c r="L20" s="913"/>
      <c r="M20" s="144"/>
      <c r="N20" s="36"/>
    </row>
    <row r="21" spans="1:14" ht="18.75" customHeight="1">
      <c r="A21" s="144"/>
      <c r="B21" s="910"/>
      <c r="C21" s="914"/>
      <c r="D21" s="915"/>
      <c r="E21" s="915"/>
      <c r="F21" s="915"/>
      <c r="G21" s="915"/>
      <c r="H21" s="915"/>
      <c r="I21" s="915"/>
      <c r="J21" s="915"/>
      <c r="K21" s="915"/>
      <c r="L21" s="916"/>
      <c r="M21" s="144"/>
      <c r="N21" s="36"/>
    </row>
    <row r="22" spans="1:14" ht="21.75" customHeight="1">
      <c r="A22" s="144"/>
      <c r="B22" s="147"/>
      <c r="C22" s="148">
        <v>1</v>
      </c>
      <c r="D22" s="149" t="s">
        <v>734</v>
      </c>
      <c r="E22" s="149"/>
      <c r="F22" s="149"/>
      <c r="G22" s="149"/>
      <c r="H22" s="149"/>
      <c r="I22" s="150"/>
      <c r="J22" s="917" t="e">
        <f>⑤基本加算１!J30</f>
        <v>#N/A</v>
      </c>
      <c r="K22" s="918"/>
      <c r="L22" s="151" t="s">
        <v>598</v>
      </c>
      <c r="M22" s="144"/>
      <c r="N22" s="54"/>
    </row>
    <row r="23" spans="1:14" ht="21.75" customHeight="1">
      <c r="A23" s="144"/>
      <c r="B23" s="147"/>
      <c r="C23" s="148">
        <v>2</v>
      </c>
      <c r="D23" s="149" t="s">
        <v>735</v>
      </c>
      <c r="E23" s="149"/>
      <c r="F23" s="149"/>
      <c r="G23" s="149"/>
      <c r="H23" s="149"/>
      <c r="I23" s="150"/>
      <c r="J23" s="917">
        <f>⑥基本加算２!J30</f>
        <v>0</v>
      </c>
      <c r="K23" s="918"/>
      <c r="L23" s="152" t="s">
        <v>598</v>
      </c>
      <c r="M23" s="144"/>
      <c r="N23" s="54"/>
    </row>
    <row r="24" spans="1:14" ht="21.75" customHeight="1">
      <c r="A24" s="144"/>
      <c r="B24" s="147"/>
      <c r="C24" s="148">
        <v>3</v>
      </c>
      <c r="D24" s="149" t="s">
        <v>736</v>
      </c>
      <c r="E24" s="149"/>
      <c r="F24" s="149"/>
      <c r="G24" s="149"/>
      <c r="H24" s="149"/>
      <c r="I24" s="150"/>
      <c r="J24" s="917">
        <f>⑦基本加算３!J30</f>
        <v>0</v>
      </c>
      <c r="K24" s="918"/>
      <c r="L24" s="152" t="s">
        <v>598</v>
      </c>
      <c r="M24" s="144"/>
      <c r="N24" s="54"/>
    </row>
    <row r="25" spans="1:14" ht="21.75" customHeight="1">
      <c r="A25" s="144"/>
      <c r="B25" s="147"/>
      <c r="C25" s="148">
        <v>4</v>
      </c>
      <c r="D25" s="149" t="s">
        <v>733</v>
      </c>
      <c r="E25" s="149"/>
      <c r="F25" s="149"/>
      <c r="G25" s="149"/>
      <c r="H25" s="149"/>
      <c r="I25" s="150"/>
      <c r="J25" s="917">
        <f>⑧一般加算１!N78</f>
        <v>0</v>
      </c>
      <c r="K25" s="918"/>
      <c r="L25" s="152" t="s">
        <v>598</v>
      </c>
      <c r="M25" s="144"/>
      <c r="N25" s="54"/>
    </row>
    <row r="26" spans="1:14" ht="21.75" customHeight="1">
      <c r="A26" s="144"/>
      <c r="B26" s="147"/>
      <c r="C26" s="148">
        <v>5</v>
      </c>
      <c r="D26" s="149" t="s">
        <v>732</v>
      </c>
      <c r="E26" s="149"/>
      <c r="F26" s="149"/>
      <c r="G26" s="149"/>
      <c r="H26" s="149"/>
      <c r="I26" s="150"/>
      <c r="J26" s="917">
        <f>⑨一般加算２!N78</f>
        <v>0</v>
      </c>
      <c r="K26" s="918"/>
      <c r="L26" s="152" t="s">
        <v>598</v>
      </c>
      <c r="M26" s="144"/>
      <c r="N26" s="54"/>
    </row>
    <row r="27" spans="1:14" ht="21.75" customHeight="1">
      <c r="A27" s="144"/>
      <c r="B27" s="147"/>
      <c r="C27" s="148">
        <v>6</v>
      </c>
      <c r="D27" s="149" t="s">
        <v>731</v>
      </c>
      <c r="E27" s="149"/>
      <c r="F27" s="149"/>
      <c r="G27" s="149"/>
      <c r="H27" s="149"/>
      <c r="I27" s="150"/>
      <c r="J27" s="917">
        <f>⑩特定加算１!J138</f>
        <v>0</v>
      </c>
      <c r="K27" s="918"/>
      <c r="L27" s="152" t="s">
        <v>598</v>
      </c>
      <c r="M27" s="144"/>
      <c r="N27" s="54"/>
    </row>
    <row r="28" spans="1:14" ht="21.75" customHeight="1">
      <c r="A28" s="144"/>
      <c r="B28" s="147"/>
      <c r="C28" s="148">
        <v>7</v>
      </c>
      <c r="D28" s="149" t="s">
        <v>730</v>
      </c>
      <c r="E28" s="149"/>
      <c r="F28" s="149"/>
      <c r="G28" s="149"/>
      <c r="H28" s="149"/>
      <c r="I28" s="150"/>
      <c r="J28" s="917">
        <f>⑪特定加算２!J66</f>
        <v>0</v>
      </c>
      <c r="K28" s="918"/>
      <c r="L28" s="151" t="s">
        <v>598</v>
      </c>
      <c r="M28" s="144"/>
      <c r="N28" s="54"/>
    </row>
    <row r="29" spans="1:14" ht="21.75" customHeight="1">
      <c r="A29" s="144"/>
      <c r="B29" s="147"/>
      <c r="C29" s="148">
        <v>8</v>
      </c>
      <c r="D29" s="149" t="s">
        <v>1314</v>
      </c>
      <c r="E29" s="149"/>
      <c r="F29" s="149"/>
      <c r="G29" s="149"/>
      <c r="H29" s="149"/>
      <c r="I29" s="150"/>
      <c r="J29" s="889" t="e">
        <f>(⑫公定価格加算分!E20+⑫公定価格加算分!F36)*-1</f>
        <v>#N/A</v>
      </c>
      <c r="K29" s="890"/>
      <c r="L29" s="152" t="s">
        <v>598</v>
      </c>
      <c r="M29" s="144"/>
      <c r="N29" s="54"/>
    </row>
    <row r="30" spans="1:14" ht="21.75" customHeight="1">
      <c r="A30" s="144"/>
      <c r="B30" s="154"/>
      <c r="C30" s="174" t="s">
        <v>599</v>
      </c>
      <c r="D30" s="149"/>
      <c r="E30" s="149"/>
      <c r="F30" s="149"/>
      <c r="G30" s="149"/>
      <c r="H30" s="149"/>
      <c r="I30" s="150"/>
      <c r="J30" s="889" t="e">
        <f>SUM(J22:K29)</f>
        <v>#N/A</v>
      </c>
      <c r="K30" s="890"/>
      <c r="L30" s="152" t="s">
        <v>598</v>
      </c>
      <c r="M30" s="144"/>
      <c r="N30" s="54"/>
    </row>
    <row r="31" spans="1:14" ht="17.149999999999999" customHeight="1">
      <c r="A31" s="144"/>
      <c r="B31" s="891" t="s">
        <v>601</v>
      </c>
      <c r="C31" s="893" t="s">
        <v>600</v>
      </c>
      <c r="D31" s="894"/>
      <c r="E31" s="894"/>
      <c r="F31" s="314"/>
      <c r="G31" s="314"/>
      <c r="H31" s="314"/>
      <c r="I31" s="314"/>
      <c r="J31" s="314"/>
      <c r="K31" s="314"/>
      <c r="L31" s="155"/>
      <c r="M31" s="144"/>
      <c r="N31" s="36"/>
    </row>
    <row r="32" spans="1:14" ht="17.149999999999999" customHeight="1">
      <c r="A32" s="144"/>
      <c r="B32" s="892"/>
      <c r="C32" s="156"/>
      <c r="D32" s="895" t="s">
        <v>602</v>
      </c>
      <c r="E32" s="895"/>
      <c r="F32" s="895"/>
      <c r="G32" s="895"/>
      <c r="H32" s="895"/>
      <c r="I32" s="895"/>
      <c r="J32" s="895"/>
      <c r="K32" s="895"/>
      <c r="L32" s="151"/>
      <c r="M32" s="144"/>
      <c r="N32" s="36"/>
    </row>
    <row r="33" spans="1:14" ht="17.149999999999999" customHeight="1">
      <c r="A33" s="144"/>
      <c r="B33" s="896" t="s">
        <v>603</v>
      </c>
      <c r="C33" s="313" t="s">
        <v>604</v>
      </c>
      <c r="D33" s="314"/>
      <c r="E33" s="314"/>
      <c r="F33" s="314"/>
      <c r="G33" s="314"/>
      <c r="H33" s="314"/>
      <c r="I33" s="314"/>
      <c r="J33" s="314"/>
      <c r="K33" s="314"/>
      <c r="L33" s="155"/>
      <c r="M33" s="144"/>
      <c r="N33" s="36"/>
    </row>
    <row r="34" spans="1:14" ht="17.149999999999999" customHeight="1">
      <c r="A34" s="144"/>
      <c r="B34" s="897"/>
      <c r="C34" s="156" t="s">
        <v>605</v>
      </c>
      <c r="D34" s="153"/>
      <c r="E34" s="153"/>
      <c r="F34" s="153"/>
      <c r="G34" s="153"/>
      <c r="H34" s="153"/>
      <c r="I34" s="153"/>
      <c r="J34" s="153"/>
      <c r="K34" s="153"/>
      <c r="L34" s="151"/>
      <c r="M34" s="144"/>
      <c r="N34" s="36"/>
    </row>
    <row r="35" spans="1:14" ht="17.149999999999999" customHeight="1">
      <c r="A35" s="144"/>
      <c r="B35" s="897"/>
      <c r="C35" s="899" t="s">
        <v>606</v>
      </c>
      <c r="D35" s="900"/>
      <c r="E35" s="900"/>
      <c r="F35" s="900"/>
      <c r="G35" s="900"/>
      <c r="H35" s="900"/>
      <c r="I35" s="900"/>
      <c r="J35" s="900"/>
      <c r="K35" s="900"/>
      <c r="L35" s="901"/>
      <c r="M35" s="144"/>
      <c r="N35" s="36"/>
    </row>
    <row r="36" spans="1:14" ht="16.5" customHeight="1" thickBot="1">
      <c r="A36" s="144">
        <f>①基本情報!S17</f>
        <v>1</v>
      </c>
      <c r="B36" s="898"/>
      <c r="C36" s="902" t="s">
        <v>607</v>
      </c>
      <c r="D36" s="903"/>
      <c r="E36" s="904"/>
      <c r="F36" s="904"/>
      <c r="G36" s="904"/>
      <c r="H36" s="904"/>
      <c r="I36" s="904"/>
      <c r="J36" s="904"/>
      <c r="K36" s="904"/>
      <c r="L36" s="905"/>
      <c r="M36" s="144"/>
      <c r="N36" s="36"/>
    </row>
    <row r="37" spans="1:14" ht="27" customHeight="1">
      <c r="A37" s="36"/>
      <c r="B37" s="36" t="s">
        <v>594</v>
      </c>
      <c r="C37" s="36" t="s">
        <v>594</v>
      </c>
      <c r="D37" s="36"/>
      <c r="E37" s="36"/>
      <c r="F37" s="36"/>
      <c r="G37" s="36"/>
      <c r="H37" s="36"/>
      <c r="I37" s="36"/>
      <c r="J37" s="36"/>
      <c r="K37" s="36"/>
      <c r="L37" s="36"/>
      <c r="M37" s="36"/>
      <c r="N37" s="36"/>
    </row>
    <row r="38" spans="1:14" ht="27" customHeight="1">
      <c r="A38" s="36"/>
      <c r="B38" s="36"/>
      <c r="C38" s="36"/>
      <c r="D38" s="36"/>
      <c r="E38" s="36"/>
      <c r="F38" s="36"/>
      <c r="G38" s="36"/>
      <c r="H38" s="36"/>
      <c r="I38" s="36"/>
      <c r="J38" s="36"/>
      <c r="K38" s="36"/>
      <c r="L38" s="36"/>
      <c r="M38" s="36"/>
      <c r="N38" s="36"/>
    </row>
    <row r="39" spans="1:14" ht="27" customHeight="1"/>
  </sheetData>
  <sheetProtection algorithmName="SHA-512" hashValue="kdOQm6zIQOsDef5fcvsnru0Vsj++ap+BJa2oILHlK7r0i3Ps+TIjfwI2cgebtjCJIq2B4vU58Vi+iug08NMv9w==" saltValue="B+5svk60/qQ0T0saEcjO5Q==" spinCount="100000" sheet="1" objects="1" scenarios="1" selectLockedCells="1"/>
  <mergeCells count="31">
    <mergeCell ref="A4:L4"/>
    <mergeCell ref="A5:L5"/>
    <mergeCell ref="J7:L9"/>
    <mergeCell ref="H9:I9"/>
    <mergeCell ref="H10:I10"/>
    <mergeCell ref="J10:L10"/>
    <mergeCell ref="H11:I11"/>
    <mergeCell ref="J11:L11"/>
    <mergeCell ref="H12:I12"/>
    <mergeCell ref="J12:L12"/>
    <mergeCell ref="F13:I13"/>
    <mergeCell ref="J13:L13"/>
    <mergeCell ref="J29:K29"/>
    <mergeCell ref="B15:L17"/>
    <mergeCell ref="G18:J18"/>
    <mergeCell ref="B20:B21"/>
    <mergeCell ref="C20:L21"/>
    <mergeCell ref="J22:K22"/>
    <mergeCell ref="J23:K23"/>
    <mergeCell ref="J24:K24"/>
    <mergeCell ref="J25:K25"/>
    <mergeCell ref="J26:K26"/>
    <mergeCell ref="J27:K27"/>
    <mergeCell ref="J28:K28"/>
    <mergeCell ref="J30:K30"/>
    <mergeCell ref="B31:B32"/>
    <mergeCell ref="C31:E31"/>
    <mergeCell ref="D32:K32"/>
    <mergeCell ref="B33:B36"/>
    <mergeCell ref="C35:L35"/>
    <mergeCell ref="C36:L36"/>
  </mergeCells>
  <phoneticPr fontId="1"/>
  <pageMargins left="0.78740157480314965" right="0.78740157480314965" top="0.98425196850393704" bottom="0.98425196850393704" header="0.51181102362204722" footer="0.51181102362204722"/>
  <pageSetup paperSize="9" scale="90" orientation="portrait" blackAndWhite="1"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63DE8-3A64-4FEE-87DB-5C8115084A21}">
  <sheetPr>
    <tabColor rgb="FFFFFF00"/>
  </sheetPr>
  <dimension ref="A1:P39"/>
  <sheetViews>
    <sheetView showGridLines="0" view="pageBreakPreview" zoomScale="85" zoomScaleNormal="100" zoomScaleSheetLayoutView="85" workbookViewId="0">
      <selection activeCell="J7" sqref="J7:L9"/>
    </sheetView>
  </sheetViews>
  <sheetFormatPr defaultColWidth="9" defaultRowHeight="13"/>
  <cols>
    <col min="1" max="1" width="5.08203125" style="136" customWidth="1"/>
    <col min="2" max="2" width="14.33203125" style="136" customWidth="1"/>
    <col min="3" max="5" width="4.08203125" style="136" customWidth="1"/>
    <col min="6" max="7" width="4.75" style="136" customWidth="1"/>
    <col min="8" max="8" width="3.75" style="136" customWidth="1"/>
    <col min="9" max="9" width="9.33203125" style="136" customWidth="1"/>
    <col min="10" max="10" width="8.75" style="136" customWidth="1"/>
    <col min="11" max="11" width="17.5" style="136" customWidth="1"/>
    <col min="12" max="12" width="5.83203125" style="136" customWidth="1"/>
    <col min="13" max="13" width="5.75" style="136" customWidth="1"/>
    <col min="14" max="14" width="9.83203125" style="136" bestFit="1" customWidth="1"/>
    <col min="15" max="15" width="9.58203125" style="136" bestFit="1" customWidth="1"/>
    <col min="16" max="16384" width="9" style="136"/>
  </cols>
  <sheetData>
    <row r="1" spans="1:14" ht="23" customHeight="1">
      <c r="A1" s="144" t="s">
        <v>589</v>
      </c>
      <c r="B1" s="144"/>
      <c r="C1" s="144"/>
      <c r="D1" s="144"/>
      <c r="E1" s="144"/>
      <c r="F1" s="144"/>
      <c r="G1" s="144"/>
      <c r="H1" s="144"/>
      <c r="I1" s="144"/>
      <c r="J1" s="144"/>
      <c r="K1" s="144"/>
      <c r="L1" s="144" t="e">
        <f>①基本情報!Q5</f>
        <v>#N/A</v>
      </c>
      <c r="M1" s="144"/>
      <c r="N1" s="144"/>
    </row>
    <row r="2" spans="1:14" ht="23.15" customHeight="1">
      <c r="A2" s="144"/>
      <c r="B2" s="144"/>
      <c r="C2" s="144"/>
      <c r="D2" s="144"/>
      <c r="E2" s="144"/>
      <c r="F2" s="144"/>
      <c r="G2" s="144"/>
      <c r="H2" s="144"/>
      <c r="I2" s="144"/>
      <c r="J2" s="144"/>
      <c r="K2" s="145">
        <v>46113</v>
      </c>
      <c r="L2" s="144"/>
      <c r="M2" s="144"/>
      <c r="N2" s="36"/>
    </row>
    <row r="3" spans="1:14" ht="11" customHeight="1">
      <c r="A3" s="144"/>
      <c r="B3" s="144"/>
      <c r="C3" s="144"/>
      <c r="D3" s="144"/>
      <c r="E3" s="144"/>
      <c r="F3" s="144"/>
      <c r="G3" s="144"/>
      <c r="H3" s="144"/>
      <c r="I3" s="144"/>
      <c r="J3" s="144"/>
      <c r="K3" s="144"/>
      <c r="L3" s="144"/>
      <c r="M3" s="144"/>
      <c r="N3" s="36"/>
    </row>
    <row r="4" spans="1:14" ht="39.5" customHeight="1">
      <c r="A4" s="924" t="s">
        <v>590</v>
      </c>
      <c r="B4" s="924"/>
      <c r="C4" s="924"/>
      <c r="D4" s="924"/>
      <c r="E4" s="924"/>
      <c r="F4" s="924"/>
      <c r="G4" s="924"/>
      <c r="H4" s="924"/>
      <c r="I4" s="924"/>
      <c r="J4" s="924"/>
      <c r="K4" s="924"/>
      <c r="L4" s="924"/>
      <c r="M4" s="144"/>
      <c r="N4" s="36"/>
    </row>
    <row r="5" spans="1:14" ht="39.5" customHeight="1">
      <c r="A5" s="924" t="s">
        <v>591</v>
      </c>
      <c r="B5" s="924"/>
      <c r="C5" s="924"/>
      <c r="D5" s="924"/>
      <c r="E5" s="924"/>
      <c r="F5" s="925"/>
      <c r="G5" s="925"/>
      <c r="H5" s="925"/>
      <c r="I5" s="925"/>
      <c r="J5" s="925"/>
      <c r="K5" s="925"/>
      <c r="L5" s="925"/>
      <c r="M5" s="144"/>
      <c r="N5" s="36"/>
    </row>
    <row r="6" spans="1:14" ht="6.5" customHeight="1">
      <c r="A6" s="144"/>
      <c r="B6" s="144"/>
      <c r="C6" s="144"/>
      <c r="D6" s="144"/>
      <c r="E6" s="144"/>
      <c r="F6" s="144"/>
      <c r="G6" s="144"/>
      <c r="H6" s="144"/>
      <c r="I6" s="144"/>
      <c r="J6" s="144"/>
      <c r="K6" s="144"/>
      <c r="L6" s="144"/>
      <c r="M6" s="144"/>
      <c r="N6" s="36"/>
    </row>
    <row r="7" spans="1:14" ht="23" customHeight="1">
      <c r="A7" s="144"/>
      <c r="B7" s="144" t="s">
        <v>592</v>
      </c>
      <c r="C7" s="144"/>
      <c r="D7" s="144"/>
      <c r="E7" s="144"/>
      <c r="F7" s="144"/>
      <c r="G7" s="144"/>
      <c r="H7" s="144"/>
      <c r="I7" s="144"/>
      <c r="J7" s="926" t="e">
        <f>VLOOKUP($L$1,補助金用基本データ!$B$5:$H$64,7,0)</f>
        <v>#N/A</v>
      </c>
      <c r="K7" s="926"/>
      <c r="L7" s="926"/>
      <c r="M7" s="144"/>
    </row>
    <row r="8" spans="1:14" ht="16" customHeight="1">
      <c r="A8" s="144"/>
      <c r="B8" s="144"/>
      <c r="C8" s="144"/>
      <c r="D8" s="144"/>
      <c r="E8" s="144"/>
      <c r="F8" s="144"/>
      <c r="G8" s="144"/>
      <c r="H8" s="144"/>
      <c r="I8" s="144"/>
      <c r="J8" s="927"/>
      <c r="K8" s="927"/>
      <c r="L8" s="927"/>
      <c r="M8" s="144"/>
    </row>
    <row r="9" spans="1:14" ht="36" customHeight="1">
      <c r="A9" s="144"/>
      <c r="B9" s="144"/>
      <c r="C9" s="144"/>
      <c r="D9" s="144"/>
      <c r="E9" s="144"/>
      <c r="F9" s="144"/>
      <c r="G9" s="144"/>
      <c r="H9" s="928" t="s">
        <v>593</v>
      </c>
      <c r="I9" s="928"/>
      <c r="J9" s="927"/>
      <c r="K9" s="927"/>
      <c r="L9" s="927"/>
      <c r="M9" s="144"/>
    </row>
    <row r="10" spans="1:14" ht="22" customHeight="1">
      <c r="A10" s="144"/>
      <c r="B10" s="144"/>
      <c r="C10" s="144"/>
      <c r="D10" s="144"/>
      <c r="E10" s="144"/>
      <c r="F10" s="144"/>
      <c r="G10" s="144"/>
      <c r="H10" s="919" t="s">
        <v>278</v>
      </c>
      <c r="I10" s="919"/>
      <c r="J10" s="929" t="e">
        <f>VLOOKUP($L$1,補助金用基本データ!$B$5:$H$64,4,0)</f>
        <v>#N/A</v>
      </c>
      <c r="K10" s="920"/>
      <c r="L10" s="920"/>
      <c r="M10" s="144"/>
    </row>
    <row r="11" spans="1:14" ht="22" customHeight="1">
      <c r="A11" s="144"/>
      <c r="B11" s="144"/>
      <c r="C11" s="144"/>
      <c r="D11" s="144"/>
      <c r="E11" s="144"/>
      <c r="F11" s="144"/>
      <c r="G11" s="144"/>
      <c r="H11" s="919" t="s">
        <v>279</v>
      </c>
      <c r="I11" s="919"/>
      <c r="J11" s="920" t="e">
        <f>VLOOKUP($L$1,補助金用基本データ!$B$5:$H$64,5,0)&amp;"　"&amp;VLOOKUP($L$1,補助金用基本データ!$B$5:$H$64,6,0)</f>
        <v>#N/A</v>
      </c>
      <c r="K11" s="920"/>
      <c r="L11" s="920"/>
      <c r="M11" s="144"/>
    </row>
    <row r="12" spans="1:14" ht="22" customHeight="1">
      <c r="A12" s="144"/>
      <c r="B12" s="144"/>
      <c r="C12" s="144"/>
      <c r="D12" s="144"/>
      <c r="E12" s="144"/>
      <c r="F12" s="144"/>
      <c r="G12" s="144"/>
      <c r="H12" s="921" t="s">
        <v>595</v>
      </c>
      <c r="I12" s="921"/>
      <c r="J12" s="922">
        <f>①基本情報!D5</f>
        <v>0</v>
      </c>
      <c r="K12" s="922"/>
      <c r="L12" s="922"/>
      <c r="M12" s="144"/>
    </row>
    <row r="13" spans="1:14" ht="22" customHeight="1">
      <c r="A13" s="144"/>
      <c r="B13" s="144"/>
      <c r="C13" s="144"/>
      <c r="D13" s="144"/>
      <c r="E13" s="144"/>
      <c r="F13" s="923" t="s">
        <v>1313</v>
      </c>
      <c r="G13" s="923"/>
      <c r="H13" s="923"/>
      <c r="I13" s="923"/>
      <c r="J13" s="922">
        <f>①基本情報!M4</f>
        <v>0</v>
      </c>
      <c r="K13" s="922"/>
      <c r="L13" s="922"/>
      <c r="M13" s="144"/>
    </row>
    <row r="14" spans="1:14" ht="9.5" customHeight="1">
      <c r="A14" s="144"/>
      <c r="B14" s="144"/>
      <c r="C14" s="144"/>
      <c r="D14" s="144"/>
      <c r="E14" s="144"/>
      <c r="F14" s="144"/>
      <c r="G14" s="144"/>
      <c r="H14" s="144"/>
      <c r="I14" s="144"/>
      <c r="J14" s="144"/>
      <c r="K14" s="144"/>
      <c r="L14" s="144"/>
      <c r="M14" s="144"/>
      <c r="N14" s="36"/>
    </row>
    <row r="15" spans="1:14" ht="23" customHeight="1">
      <c r="B15" s="906" t="s">
        <v>1672</v>
      </c>
      <c r="C15" s="906"/>
      <c r="D15" s="906"/>
      <c r="E15" s="906"/>
      <c r="F15" s="906"/>
      <c r="G15" s="906"/>
      <c r="H15" s="906"/>
      <c r="I15" s="906"/>
      <c r="J15" s="906"/>
      <c r="K15" s="906"/>
      <c r="L15" s="906"/>
      <c r="M15" s="144"/>
      <c r="N15" s="36"/>
    </row>
    <row r="16" spans="1:14" ht="23.15" customHeight="1">
      <c r="A16" s="315"/>
      <c r="B16" s="906"/>
      <c r="C16" s="906"/>
      <c r="D16" s="906"/>
      <c r="E16" s="906"/>
      <c r="F16" s="906"/>
      <c r="G16" s="906"/>
      <c r="H16" s="906"/>
      <c r="I16" s="906"/>
      <c r="J16" s="906"/>
      <c r="K16" s="906"/>
      <c r="L16" s="906"/>
      <c r="M16" s="144"/>
      <c r="N16" s="36"/>
    </row>
    <row r="17" spans="1:16" ht="23.15" customHeight="1">
      <c r="A17" s="144"/>
      <c r="B17" s="906"/>
      <c r="C17" s="906"/>
      <c r="D17" s="906"/>
      <c r="E17" s="906"/>
      <c r="F17" s="906"/>
      <c r="G17" s="906"/>
      <c r="H17" s="906"/>
      <c r="I17" s="906"/>
      <c r="J17" s="906"/>
      <c r="K17" s="906"/>
      <c r="L17" s="906"/>
      <c r="M17" s="144"/>
      <c r="N17" s="36"/>
    </row>
    <row r="18" spans="1:16" ht="23.15" customHeight="1">
      <c r="A18" s="144" t="s">
        <v>596</v>
      </c>
      <c r="B18" s="144"/>
      <c r="C18" s="144"/>
      <c r="D18" s="144"/>
      <c r="E18" s="144"/>
      <c r="F18" s="144"/>
      <c r="G18" s="907" t="e">
        <f>J30</f>
        <v>#N/A</v>
      </c>
      <c r="H18" s="908"/>
      <c r="I18" s="908"/>
      <c r="J18" s="908"/>
      <c r="K18" s="146" t="s">
        <v>272</v>
      </c>
      <c r="L18" s="144"/>
      <c r="M18" s="144"/>
      <c r="N18" s="36"/>
    </row>
    <row r="19" spans="1:16" ht="15" customHeight="1" thickBot="1">
      <c r="A19" s="144"/>
      <c r="B19" s="144"/>
      <c r="C19" s="144"/>
      <c r="D19" s="144"/>
      <c r="E19" s="144"/>
      <c r="F19" s="144"/>
      <c r="G19" s="144"/>
      <c r="H19" s="144"/>
      <c r="I19" s="144"/>
      <c r="J19" s="144"/>
      <c r="K19" s="144"/>
      <c r="L19" s="144"/>
      <c r="M19" s="144"/>
      <c r="N19" s="36"/>
    </row>
    <row r="20" spans="1:16" ht="18.75" customHeight="1">
      <c r="A20" s="144"/>
      <c r="B20" s="909" t="s">
        <v>617</v>
      </c>
      <c r="C20" s="911" t="s">
        <v>597</v>
      </c>
      <c r="D20" s="912"/>
      <c r="E20" s="912"/>
      <c r="F20" s="912"/>
      <c r="G20" s="912"/>
      <c r="H20" s="912"/>
      <c r="I20" s="912"/>
      <c r="J20" s="912"/>
      <c r="K20" s="912"/>
      <c r="L20" s="913"/>
      <c r="M20" s="144"/>
      <c r="N20" s="36"/>
    </row>
    <row r="21" spans="1:16" ht="18.75" customHeight="1">
      <c r="A21" s="144"/>
      <c r="B21" s="910"/>
      <c r="C21" s="914"/>
      <c r="D21" s="915"/>
      <c r="E21" s="915"/>
      <c r="F21" s="915"/>
      <c r="G21" s="915"/>
      <c r="H21" s="915"/>
      <c r="I21" s="915"/>
      <c r="J21" s="915"/>
      <c r="K21" s="915"/>
      <c r="L21" s="916"/>
      <c r="M21" s="144"/>
      <c r="N21" s="36"/>
    </row>
    <row r="22" spans="1:16" ht="21.75" customHeight="1">
      <c r="A22" s="144"/>
      <c r="B22" s="147"/>
      <c r="C22" s="148">
        <v>1</v>
      </c>
      <c r="D22" s="149" t="s">
        <v>734</v>
      </c>
      <c r="E22" s="149"/>
      <c r="F22" s="149"/>
      <c r="G22" s="149"/>
      <c r="H22" s="149"/>
      <c r="I22" s="150"/>
      <c r="J22" s="917">
        <f>IFERROR(MIN(ROUNDDOWN(N22*12,-3),O22),0)</f>
        <v>0</v>
      </c>
      <c r="K22" s="918"/>
      <c r="L22" s="151" t="s">
        <v>598</v>
      </c>
      <c r="M22" s="144"/>
      <c r="N22" s="54" t="e">
        <f>⑤基本加算１!J6</f>
        <v>#N/A</v>
      </c>
      <c r="O22" s="567">
        <f>⑤基本加算１!AA15</f>
        <v>2798000</v>
      </c>
      <c r="P22" s="136">
        <v>1</v>
      </c>
    </row>
    <row r="23" spans="1:16" ht="21.75" customHeight="1">
      <c r="A23" s="144"/>
      <c r="B23" s="147"/>
      <c r="C23" s="148">
        <v>2</v>
      </c>
      <c r="D23" s="149" t="s">
        <v>735</v>
      </c>
      <c r="E23" s="149"/>
      <c r="F23" s="149"/>
      <c r="G23" s="149"/>
      <c r="H23" s="149"/>
      <c r="I23" s="150"/>
      <c r="J23" s="917">
        <f t="shared" ref="J23:J28" si="0">IFERROR(MIN(ROUNDDOWN(N23*12,-3),O23),0)</f>
        <v>0</v>
      </c>
      <c r="K23" s="918"/>
      <c r="L23" s="152" t="s">
        <v>598</v>
      </c>
      <c r="M23" s="144"/>
      <c r="N23" s="54">
        <f>SUM(⑥基本加算２!J6:J7)</f>
        <v>0</v>
      </c>
      <c r="O23" s="567">
        <f>⑤基本加算１!AA16</f>
        <v>4142000</v>
      </c>
      <c r="P23" s="136">
        <v>1</v>
      </c>
    </row>
    <row r="24" spans="1:16" ht="21.75" customHeight="1">
      <c r="A24" s="144"/>
      <c r="B24" s="147"/>
      <c r="C24" s="148">
        <v>3</v>
      </c>
      <c r="D24" s="149" t="s">
        <v>736</v>
      </c>
      <c r="E24" s="149"/>
      <c r="F24" s="149"/>
      <c r="G24" s="149"/>
      <c r="H24" s="149"/>
      <c r="I24" s="150"/>
      <c r="J24" s="917">
        <f t="shared" si="0"/>
        <v>0</v>
      </c>
      <c r="K24" s="918"/>
      <c r="L24" s="152" t="s">
        <v>598</v>
      </c>
      <c r="M24" s="144"/>
      <c r="N24" s="54">
        <f>SUM(⑦基本加算３!J6:J7)</f>
        <v>0</v>
      </c>
      <c r="O24" s="567">
        <f>⑤基本加算１!AA17</f>
        <v>4142000</v>
      </c>
      <c r="P24" s="136">
        <v>1</v>
      </c>
    </row>
    <row r="25" spans="1:16" ht="21.75" customHeight="1">
      <c r="A25" s="144"/>
      <c r="B25" s="147"/>
      <c r="C25" s="148">
        <v>4</v>
      </c>
      <c r="D25" s="149" t="s">
        <v>733</v>
      </c>
      <c r="E25" s="149"/>
      <c r="F25" s="149"/>
      <c r="G25" s="149"/>
      <c r="H25" s="149"/>
      <c r="I25" s="150"/>
      <c r="J25" s="917">
        <f t="shared" si="0"/>
        <v>0</v>
      </c>
      <c r="K25" s="918"/>
      <c r="L25" s="152" t="s">
        <v>598</v>
      </c>
      <c r="M25" s="144"/>
      <c r="N25" s="54">
        <f>⑧一般加算１!N11</f>
        <v>0</v>
      </c>
      <c r="O25" s="567">
        <f>⑤基本加算１!AA18</f>
        <v>2834000</v>
      </c>
      <c r="P25" s="136">
        <v>1</v>
      </c>
    </row>
    <row r="26" spans="1:16" ht="21.75" customHeight="1">
      <c r="A26" s="144"/>
      <c r="B26" s="147"/>
      <c r="C26" s="148">
        <v>5</v>
      </c>
      <c r="D26" s="149" t="s">
        <v>732</v>
      </c>
      <c r="E26" s="149"/>
      <c r="F26" s="149"/>
      <c r="G26" s="149"/>
      <c r="H26" s="149"/>
      <c r="I26" s="150"/>
      <c r="J26" s="917">
        <f t="shared" si="0"/>
        <v>0</v>
      </c>
      <c r="K26" s="918"/>
      <c r="L26" s="152" t="s">
        <v>598</v>
      </c>
      <c r="M26" s="144"/>
      <c r="N26" s="54">
        <f>⑨一般加算２!N11</f>
        <v>0</v>
      </c>
      <c r="O26" s="567">
        <f>⑤基本加算１!AA19</f>
        <v>2834000</v>
      </c>
      <c r="P26" s="136">
        <v>1</v>
      </c>
    </row>
    <row r="27" spans="1:16" ht="21.75" customHeight="1">
      <c r="A27" s="144"/>
      <c r="B27" s="147"/>
      <c r="C27" s="148">
        <v>6</v>
      </c>
      <c r="D27" s="149" t="s">
        <v>731</v>
      </c>
      <c r="E27" s="149"/>
      <c r="F27" s="149"/>
      <c r="G27" s="149"/>
      <c r="H27" s="149"/>
      <c r="I27" s="150"/>
      <c r="J27" s="917">
        <f>IFERROR(MIN(ROUNDDOWN(N27*12,-3),O27),0)</f>
        <v>0</v>
      </c>
      <c r="K27" s="918"/>
      <c r="L27" s="152" t="s">
        <v>598</v>
      </c>
      <c r="M27" s="144"/>
      <c r="N27" s="54">
        <f>⑩特定加算１!J16</f>
        <v>0</v>
      </c>
      <c r="O27" s="136" t="e">
        <f>O28*$P$27</f>
        <v>#N/A</v>
      </c>
      <c r="P27" s="136" t="e">
        <f>⑩特定加算１!B6</f>
        <v>#N/A</v>
      </c>
    </row>
    <row r="28" spans="1:16" ht="21.75" customHeight="1">
      <c r="A28" s="144"/>
      <c r="B28" s="147"/>
      <c r="C28" s="148">
        <v>7</v>
      </c>
      <c r="D28" s="149" t="s">
        <v>730</v>
      </c>
      <c r="E28" s="149"/>
      <c r="F28" s="149"/>
      <c r="G28" s="149"/>
      <c r="H28" s="149"/>
      <c r="I28" s="150"/>
      <c r="J28" s="917">
        <f t="shared" si="0"/>
        <v>0</v>
      </c>
      <c r="K28" s="918"/>
      <c r="L28" s="151" t="s">
        <v>598</v>
      </c>
      <c r="M28" s="144"/>
      <c r="N28" s="54">
        <f>⑪特定加算２!J10</f>
        <v>0</v>
      </c>
      <c r="O28" s="567">
        <f>⑤基本加算１!AA21</f>
        <v>3464000</v>
      </c>
    </row>
    <row r="29" spans="1:16" ht="21.75" customHeight="1">
      <c r="A29" s="144"/>
      <c r="B29" s="147"/>
      <c r="C29" s="148">
        <v>8</v>
      </c>
      <c r="D29" s="149" t="s">
        <v>1314</v>
      </c>
      <c r="E29" s="149"/>
      <c r="F29" s="149"/>
      <c r="G29" s="149"/>
      <c r="H29" s="149"/>
      <c r="I29" s="150"/>
      <c r="J29" s="889" t="e">
        <f>⑫公定価格加算分!F38*-1</f>
        <v>#N/A</v>
      </c>
      <c r="K29" s="890"/>
      <c r="L29" s="152" t="s">
        <v>598</v>
      </c>
      <c r="M29" s="144"/>
      <c r="N29" s="54"/>
    </row>
    <row r="30" spans="1:16" ht="21.75" customHeight="1">
      <c r="A30" s="144"/>
      <c r="B30" s="154"/>
      <c r="C30" s="174" t="s">
        <v>599</v>
      </c>
      <c r="D30" s="149"/>
      <c r="E30" s="149"/>
      <c r="F30" s="149"/>
      <c r="G30" s="149"/>
      <c r="H30" s="149"/>
      <c r="I30" s="150"/>
      <c r="J30" s="889" t="e">
        <f>SUM(J22:K29)</f>
        <v>#N/A</v>
      </c>
      <c r="K30" s="890"/>
      <c r="L30" s="152" t="s">
        <v>598</v>
      </c>
      <c r="M30" s="144"/>
      <c r="N30" s="54" t="e">
        <f>SUM(N22:N28)</f>
        <v>#N/A</v>
      </c>
    </row>
    <row r="31" spans="1:16" ht="17.149999999999999" customHeight="1">
      <c r="A31" s="144"/>
      <c r="B31" s="891" t="s">
        <v>601</v>
      </c>
      <c r="C31" s="893" t="s">
        <v>600</v>
      </c>
      <c r="D31" s="894"/>
      <c r="E31" s="894"/>
      <c r="F31" s="314"/>
      <c r="G31" s="314"/>
      <c r="H31" s="314"/>
      <c r="I31" s="314"/>
      <c r="J31" s="314"/>
      <c r="K31" s="314"/>
      <c r="L31" s="155"/>
      <c r="M31" s="144"/>
      <c r="N31" s="36"/>
    </row>
    <row r="32" spans="1:16" ht="17.149999999999999" customHeight="1">
      <c r="A32" s="144"/>
      <c r="B32" s="892"/>
      <c r="C32" s="156"/>
      <c r="D32" s="895" t="s">
        <v>602</v>
      </c>
      <c r="E32" s="895"/>
      <c r="F32" s="895"/>
      <c r="G32" s="895"/>
      <c r="H32" s="895"/>
      <c r="I32" s="895"/>
      <c r="J32" s="895"/>
      <c r="K32" s="895"/>
      <c r="L32" s="151"/>
      <c r="M32" s="144"/>
      <c r="N32" s="36"/>
    </row>
    <row r="33" spans="1:14" ht="17.149999999999999" customHeight="1">
      <c r="A33" s="144"/>
      <c r="B33" s="896" t="s">
        <v>603</v>
      </c>
      <c r="C33" s="313" t="s">
        <v>604</v>
      </c>
      <c r="D33" s="314"/>
      <c r="E33" s="314"/>
      <c r="F33" s="314"/>
      <c r="G33" s="314"/>
      <c r="H33" s="314"/>
      <c r="I33" s="314"/>
      <c r="J33" s="314"/>
      <c r="K33" s="314"/>
      <c r="L33" s="155"/>
      <c r="M33" s="144"/>
      <c r="N33" s="36"/>
    </row>
    <row r="34" spans="1:14" ht="17.149999999999999" customHeight="1">
      <c r="A34" s="144"/>
      <c r="B34" s="897"/>
      <c r="C34" s="156" t="s">
        <v>605</v>
      </c>
      <c r="D34" s="153"/>
      <c r="E34" s="153"/>
      <c r="F34" s="153"/>
      <c r="G34" s="153"/>
      <c r="H34" s="153"/>
      <c r="I34" s="153"/>
      <c r="J34" s="153"/>
      <c r="K34" s="153"/>
      <c r="L34" s="151"/>
      <c r="M34" s="144"/>
      <c r="N34" s="36"/>
    </row>
    <row r="35" spans="1:14" ht="17.149999999999999" customHeight="1">
      <c r="A35" s="144"/>
      <c r="B35" s="897"/>
      <c r="C35" s="899" t="s">
        <v>606</v>
      </c>
      <c r="D35" s="900"/>
      <c r="E35" s="900"/>
      <c r="F35" s="900"/>
      <c r="G35" s="900"/>
      <c r="H35" s="900"/>
      <c r="I35" s="900"/>
      <c r="J35" s="900"/>
      <c r="K35" s="900"/>
      <c r="L35" s="901"/>
      <c r="M35" s="144"/>
      <c r="N35" s="36"/>
    </row>
    <row r="36" spans="1:14" ht="16.5" customHeight="1" thickBot="1">
      <c r="A36" s="144">
        <f>①基本情報!S17</f>
        <v>1</v>
      </c>
      <c r="B36" s="898"/>
      <c r="C36" s="902" t="s">
        <v>607</v>
      </c>
      <c r="D36" s="903"/>
      <c r="E36" s="904"/>
      <c r="F36" s="904"/>
      <c r="G36" s="904"/>
      <c r="H36" s="904"/>
      <c r="I36" s="904"/>
      <c r="J36" s="904"/>
      <c r="K36" s="904"/>
      <c r="L36" s="905"/>
      <c r="M36" s="144"/>
      <c r="N36" s="36"/>
    </row>
    <row r="37" spans="1:14" ht="27" customHeight="1">
      <c r="A37" s="36"/>
      <c r="B37" s="36" t="s">
        <v>594</v>
      </c>
      <c r="C37" s="36" t="s">
        <v>594</v>
      </c>
      <c r="D37" s="36"/>
      <c r="E37" s="36"/>
      <c r="F37" s="36"/>
      <c r="G37" s="36"/>
      <c r="H37" s="36"/>
      <c r="I37" s="36"/>
      <c r="J37" s="36"/>
      <c r="K37" s="36"/>
      <c r="L37" s="36"/>
      <c r="M37" s="36"/>
      <c r="N37" s="36"/>
    </row>
    <row r="38" spans="1:14" ht="27" customHeight="1">
      <c r="A38" s="36"/>
      <c r="B38" s="36"/>
      <c r="C38" s="36"/>
      <c r="D38" s="36"/>
      <c r="E38" s="36"/>
      <c r="F38" s="36"/>
      <c r="G38" s="36"/>
      <c r="H38" s="36"/>
      <c r="I38" s="36"/>
      <c r="J38" s="36"/>
      <c r="K38" s="36"/>
      <c r="L38" s="36"/>
      <c r="M38" s="36"/>
      <c r="N38" s="36"/>
    </row>
    <row r="39" spans="1:14" ht="27" customHeight="1"/>
  </sheetData>
  <sheetProtection algorithmName="SHA-512" hashValue="AZ0R1dRjhsZU5utjTudfv9naJxorzazCa5xO1BBi/zzd5WSerFPv/R0xP/ZFzxxZiSA7TqgbhEqu3GcmjfgScA==" saltValue="61rqW9SIZcCOCR1RqDZQjg==" spinCount="100000" sheet="1" selectLockedCells="1"/>
  <mergeCells count="31">
    <mergeCell ref="H11:I11"/>
    <mergeCell ref="J11:L11"/>
    <mergeCell ref="H12:I12"/>
    <mergeCell ref="J12:L12"/>
    <mergeCell ref="B15:L17"/>
    <mergeCell ref="F13:I13"/>
    <mergeCell ref="J13:L13"/>
    <mergeCell ref="A4:L4"/>
    <mergeCell ref="A5:L5"/>
    <mergeCell ref="J7:L9"/>
    <mergeCell ref="H9:I9"/>
    <mergeCell ref="H10:I10"/>
    <mergeCell ref="J10:L10"/>
    <mergeCell ref="G18:J18"/>
    <mergeCell ref="C20:L21"/>
    <mergeCell ref="J22:K22"/>
    <mergeCell ref="J23:K23"/>
    <mergeCell ref="J24:K24"/>
    <mergeCell ref="B33:B36"/>
    <mergeCell ref="C35:L35"/>
    <mergeCell ref="C36:L36"/>
    <mergeCell ref="B20:B21"/>
    <mergeCell ref="B31:B32"/>
    <mergeCell ref="J30:K30"/>
    <mergeCell ref="C31:E31"/>
    <mergeCell ref="J28:K28"/>
    <mergeCell ref="J25:K25"/>
    <mergeCell ref="J26:K26"/>
    <mergeCell ref="J27:K27"/>
    <mergeCell ref="J29:K29"/>
    <mergeCell ref="D32:K32"/>
  </mergeCells>
  <phoneticPr fontId="1"/>
  <pageMargins left="0.78740157480314965" right="0.78740157480314965" top="0.98425196850393704" bottom="0.98425196850393704" header="0.51181102362204722" footer="0.51181102362204722"/>
  <pageSetup paperSize="9" scale="90" orientation="portrait" blackAndWhite="1" r:id="rId1"/>
  <headerFooter alignWithMargins="0"/>
  <ignoredErrors>
    <ignoredError sqref="J8:L9 K7:L7 K12:L12"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19070-D50D-4048-B9B9-0524341C9BAF}">
  <sheetPr codeName="Sheet2">
    <tabColor theme="1"/>
  </sheetPr>
  <dimension ref="A1:V64"/>
  <sheetViews>
    <sheetView zoomScale="90" zoomScaleNormal="90" zoomScaleSheetLayoutView="80" workbookViewId="0">
      <pane xSplit="3" ySplit="4" topLeftCell="D5" activePane="bottomRight" state="frozen"/>
      <selection activeCell="A6" sqref="A6:AJ42"/>
      <selection pane="topRight" activeCell="A6" sqref="A6:AJ42"/>
      <selection pane="bottomLeft" activeCell="A6" sqref="A6:AJ42"/>
      <selection pane="bottomRight"/>
    </sheetView>
  </sheetViews>
  <sheetFormatPr defaultColWidth="14.5" defaultRowHeight="15"/>
  <cols>
    <col min="1" max="1" width="4.58203125" style="575" customWidth="1"/>
    <col min="2" max="2" width="5.33203125" style="575" customWidth="1"/>
    <col min="3" max="3" width="35.5" style="584" customWidth="1"/>
    <col min="4" max="5" width="14.5" style="575" customWidth="1"/>
    <col min="6" max="6" width="10.5" style="575" bestFit="1" customWidth="1"/>
    <col min="7" max="11" width="14.5" style="575" customWidth="1"/>
    <col min="12" max="12" width="1.58203125" style="575" customWidth="1"/>
    <col min="13" max="14" width="10.58203125" style="575" customWidth="1"/>
    <col min="15" max="15" width="14.5" style="575"/>
    <col min="16" max="16" width="6.58203125" style="575" customWidth="1"/>
    <col min="17" max="17" width="14.5" style="577"/>
    <col min="18" max="18" width="7.58203125" style="577" bestFit="1" customWidth="1"/>
    <col min="19" max="19" width="14.5" style="577"/>
    <col min="20" max="20" width="7.58203125" style="577" bestFit="1" customWidth="1"/>
    <col min="21" max="21" width="14.5" style="577"/>
    <col min="22" max="22" width="9.83203125" style="577" bestFit="1" customWidth="1"/>
    <col min="23" max="16384" width="14.5" style="577"/>
  </cols>
  <sheetData>
    <row r="1" spans="1:22">
      <c r="B1" s="576">
        <v>1</v>
      </c>
      <c r="C1" s="576">
        <v>2</v>
      </c>
      <c r="D1" s="576">
        <v>3</v>
      </c>
      <c r="E1" s="576">
        <v>4</v>
      </c>
      <c r="F1" s="576">
        <v>5</v>
      </c>
      <c r="G1" s="576">
        <v>6</v>
      </c>
      <c r="H1" s="576">
        <v>7</v>
      </c>
      <c r="I1" s="576">
        <v>8</v>
      </c>
      <c r="J1" s="576">
        <v>9</v>
      </c>
      <c r="K1" s="576">
        <v>10</v>
      </c>
      <c r="L1" s="576"/>
    </row>
    <row r="2" spans="1:22" ht="69" customHeight="1">
      <c r="A2" s="578"/>
      <c r="B2" s="579"/>
      <c r="C2" s="580" t="s">
        <v>1613</v>
      </c>
      <c r="D2" s="581" t="s">
        <v>1614</v>
      </c>
      <c r="E2" s="652" t="s">
        <v>1615</v>
      </c>
      <c r="F2" s="652"/>
      <c r="G2" s="652"/>
      <c r="H2" s="652"/>
      <c r="I2" s="652"/>
      <c r="J2" s="652"/>
      <c r="K2" s="652"/>
      <c r="L2" s="582"/>
    </row>
    <row r="3" spans="1:22" ht="24" customHeight="1" thickBot="1">
      <c r="B3" s="583" t="s">
        <v>744</v>
      </c>
      <c r="D3" s="585"/>
      <c r="E3" s="586"/>
      <c r="F3" s="586"/>
      <c r="G3" s="586"/>
      <c r="H3" s="587"/>
      <c r="I3" s="588" t="s">
        <v>419</v>
      </c>
      <c r="J3" s="586"/>
      <c r="K3" s="587"/>
    </row>
    <row r="4" spans="1:22" ht="42.75" customHeight="1">
      <c r="A4" s="589"/>
      <c r="B4" s="585" t="s">
        <v>741</v>
      </c>
      <c r="C4" s="585" t="s">
        <v>742</v>
      </c>
      <c r="D4" s="585" t="s">
        <v>743</v>
      </c>
      <c r="E4" s="585" t="s">
        <v>420</v>
      </c>
      <c r="F4" s="585" t="s">
        <v>1643</v>
      </c>
      <c r="G4" s="590" t="s">
        <v>1644</v>
      </c>
      <c r="H4" s="585" t="s">
        <v>1645</v>
      </c>
      <c r="I4" s="585" t="s">
        <v>1643</v>
      </c>
      <c r="J4" s="590" t="s">
        <v>1644</v>
      </c>
      <c r="K4" s="585" t="s">
        <v>1645</v>
      </c>
      <c r="M4" s="575" t="s">
        <v>1612</v>
      </c>
      <c r="O4" s="580" t="s">
        <v>1329</v>
      </c>
      <c r="P4" s="591" t="s">
        <v>1330</v>
      </c>
      <c r="Q4" s="592" t="s">
        <v>1616</v>
      </c>
      <c r="R4" s="592" t="s">
        <v>1236</v>
      </c>
      <c r="S4" s="582" t="s">
        <v>1617</v>
      </c>
      <c r="T4" s="582" t="s">
        <v>1236</v>
      </c>
      <c r="U4" s="593" t="s">
        <v>1618</v>
      </c>
      <c r="V4" s="593" t="s">
        <v>1236</v>
      </c>
    </row>
    <row r="5" spans="1:22" ht="21.75" customHeight="1">
      <c r="B5" s="594">
        <v>201</v>
      </c>
      <c r="C5" s="595" t="s">
        <v>1176</v>
      </c>
      <c r="D5" s="596" t="s">
        <v>480</v>
      </c>
      <c r="E5" s="596" t="s">
        <v>1130</v>
      </c>
      <c r="F5" s="596" t="s">
        <v>407</v>
      </c>
      <c r="G5" s="596" t="s">
        <v>415</v>
      </c>
      <c r="H5" s="596" t="s">
        <v>815</v>
      </c>
      <c r="I5" s="596" t="s">
        <v>407</v>
      </c>
      <c r="J5" s="596" t="s">
        <v>415</v>
      </c>
      <c r="K5" s="596" t="s">
        <v>815</v>
      </c>
      <c r="L5" s="577" t="s">
        <v>961</v>
      </c>
      <c r="M5" s="577"/>
      <c r="O5" s="597" t="str">
        <f>C5</f>
        <v>幼保連携型認定こども園　幕張海浜こども園</v>
      </c>
      <c r="P5" s="598" t="str">
        <f>IF(COUNTIF(リスト!A:AC,O5) &gt; 0, "〇", "×")</f>
        <v>〇</v>
      </c>
      <c r="Q5" s="577" t="s">
        <v>1620</v>
      </c>
      <c r="R5" s="593" t="str">
        <f>IF(O5=Q5,"○","×")</f>
        <v>○</v>
      </c>
      <c r="S5" s="577" t="s">
        <v>1176</v>
      </c>
      <c r="T5" s="593" t="str">
        <f>IF(O5=S5,"○","×")</f>
        <v>○</v>
      </c>
      <c r="U5" s="577" t="s">
        <v>1176</v>
      </c>
      <c r="V5" s="593" t="str">
        <f>IF(O5=U5,"○","×")</f>
        <v>○</v>
      </c>
    </row>
    <row r="6" spans="1:22" ht="21.75" customHeight="1">
      <c r="B6" s="594">
        <v>202</v>
      </c>
      <c r="C6" s="595" t="s">
        <v>1177</v>
      </c>
      <c r="D6" s="596" t="s">
        <v>481</v>
      </c>
      <c r="E6" s="596" t="s">
        <v>1131</v>
      </c>
      <c r="F6" s="596" t="s">
        <v>407</v>
      </c>
      <c r="G6" s="596" t="s">
        <v>434</v>
      </c>
      <c r="H6" s="596" t="s">
        <v>745</v>
      </c>
      <c r="I6" s="596" t="s">
        <v>407</v>
      </c>
      <c r="J6" s="596" t="s">
        <v>434</v>
      </c>
      <c r="K6" s="596" t="s">
        <v>745</v>
      </c>
      <c r="L6" s="577" t="s">
        <v>961</v>
      </c>
      <c r="M6" s="577"/>
      <c r="O6" s="597" t="str">
        <f t="shared" ref="O6:O58" si="0">C6</f>
        <v>幼保連携型認定こども園　打瀬保育園</v>
      </c>
      <c r="P6" s="598" t="str">
        <f>IF(COUNTIF(リスト!A:AC,O6) &gt; 0, "〇", "×")</f>
        <v>〇</v>
      </c>
      <c r="Q6" s="577" t="s">
        <v>387</v>
      </c>
      <c r="R6" s="593" t="str">
        <f t="shared" ref="R6:R63" si="1">IF(O6=Q6,"○","×")</f>
        <v>○</v>
      </c>
      <c r="S6" s="577" t="s">
        <v>1177</v>
      </c>
      <c r="T6" s="593" t="str">
        <f t="shared" ref="T6:T63" si="2">IF(O6=S6,"○","×")</f>
        <v>○</v>
      </c>
      <c r="U6" s="577" t="s">
        <v>1177</v>
      </c>
      <c r="V6" s="593" t="str">
        <f t="shared" ref="V6:V63" si="3">IF(O6=U6,"○","×")</f>
        <v>○</v>
      </c>
    </row>
    <row r="7" spans="1:22" ht="21.75" customHeight="1">
      <c r="B7" s="594">
        <v>203</v>
      </c>
      <c r="C7" s="595" t="s">
        <v>1178</v>
      </c>
      <c r="D7" s="596" t="s">
        <v>482</v>
      </c>
      <c r="E7" s="596" t="s">
        <v>1132</v>
      </c>
      <c r="F7" s="596" t="s">
        <v>407</v>
      </c>
      <c r="G7" s="596" t="s">
        <v>435</v>
      </c>
      <c r="H7" s="596" t="s">
        <v>746</v>
      </c>
      <c r="I7" s="596" t="s">
        <v>407</v>
      </c>
      <c r="J7" s="596" t="s">
        <v>435</v>
      </c>
      <c r="K7" s="596" t="s">
        <v>746</v>
      </c>
      <c r="L7" s="577" t="s">
        <v>961</v>
      </c>
      <c r="M7" s="577"/>
      <c r="O7" s="597" t="str">
        <f t="shared" si="0"/>
        <v>幼保連携型認定こども園　千葉女子専門学校附属聖こども園</v>
      </c>
      <c r="P7" s="598" t="str">
        <f>IF(COUNTIF(リスト!A:AC,O7) &gt; 0, "〇", "×")</f>
        <v>〇</v>
      </c>
      <c r="Q7" s="577" t="s">
        <v>393</v>
      </c>
      <c r="R7" s="593" t="str">
        <f t="shared" si="1"/>
        <v>○</v>
      </c>
      <c r="S7" s="577" t="s">
        <v>1178</v>
      </c>
      <c r="T7" s="593" t="str">
        <f t="shared" si="2"/>
        <v>○</v>
      </c>
      <c r="U7" s="577" t="s">
        <v>1178</v>
      </c>
      <c r="V7" s="593" t="str">
        <f t="shared" si="3"/>
        <v>○</v>
      </c>
    </row>
    <row r="8" spans="1:22" ht="21.75" customHeight="1">
      <c r="B8" s="594">
        <v>204</v>
      </c>
      <c r="C8" s="595" t="s">
        <v>1179</v>
      </c>
      <c r="D8" s="596" t="s">
        <v>483</v>
      </c>
      <c r="E8" s="596" t="s">
        <v>1133</v>
      </c>
      <c r="F8" s="596" t="s">
        <v>407</v>
      </c>
      <c r="G8" s="596" t="s">
        <v>1554</v>
      </c>
      <c r="H8" s="596" t="s">
        <v>1323</v>
      </c>
      <c r="I8" s="596" t="s">
        <v>407</v>
      </c>
      <c r="J8" s="596" t="s">
        <v>1554</v>
      </c>
      <c r="K8" s="596" t="s">
        <v>1323</v>
      </c>
      <c r="L8" s="577" t="s">
        <v>961</v>
      </c>
      <c r="M8" s="577"/>
      <c r="O8" s="597" t="str">
        <f t="shared" si="0"/>
        <v>幼保連携型認定こども園　ウィズダムナーサリースクール</v>
      </c>
      <c r="P8" s="598" t="str">
        <f>IF(COUNTIF(リスト!A:AC,O8) &gt; 0, "〇", "×")</f>
        <v>〇</v>
      </c>
      <c r="Q8" s="577" t="s">
        <v>373</v>
      </c>
      <c r="R8" s="593" t="str">
        <f t="shared" si="1"/>
        <v>○</v>
      </c>
      <c r="S8" s="577" t="s">
        <v>1179</v>
      </c>
      <c r="T8" s="593" t="str">
        <f t="shared" si="2"/>
        <v>○</v>
      </c>
      <c r="U8" s="577" t="s">
        <v>1179</v>
      </c>
      <c r="V8" s="593" t="str">
        <f t="shared" si="3"/>
        <v>○</v>
      </c>
    </row>
    <row r="9" spans="1:22" ht="21.75" customHeight="1">
      <c r="B9" s="594">
        <v>205</v>
      </c>
      <c r="C9" s="595" t="s">
        <v>1619</v>
      </c>
      <c r="D9" s="596" t="s">
        <v>484</v>
      </c>
      <c r="E9" s="596" t="s">
        <v>1134</v>
      </c>
      <c r="F9" s="596" t="s">
        <v>411</v>
      </c>
      <c r="G9" s="596" t="s">
        <v>1190</v>
      </c>
      <c r="H9" s="596" t="s">
        <v>421</v>
      </c>
      <c r="I9" s="596" t="s">
        <v>411</v>
      </c>
      <c r="J9" s="596" t="s">
        <v>1190</v>
      </c>
      <c r="K9" s="596" t="s">
        <v>421</v>
      </c>
      <c r="L9" s="577" t="s">
        <v>961</v>
      </c>
      <c r="M9" s="577"/>
      <c r="O9" s="597" t="str">
        <f t="shared" si="0"/>
        <v>認定こども園かしの木学園　カトライアキンダーガルテン</v>
      </c>
      <c r="P9" s="598" t="str">
        <f>IF(COUNTIF(リスト!A:AC,O9) &gt; 0, "〇", "×")</f>
        <v>〇</v>
      </c>
      <c r="Q9" s="577" t="s">
        <v>1621</v>
      </c>
      <c r="R9" s="593" t="str">
        <f t="shared" si="1"/>
        <v>×</v>
      </c>
      <c r="S9" s="577" t="s">
        <v>1619</v>
      </c>
      <c r="T9" s="593" t="str">
        <f t="shared" si="2"/>
        <v>○</v>
      </c>
      <c r="U9" s="577" t="s">
        <v>1180</v>
      </c>
      <c r="V9" s="593" t="str">
        <f t="shared" si="3"/>
        <v>○</v>
      </c>
    </row>
    <row r="10" spans="1:22" ht="21.75" customHeight="1">
      <c r="B10" s="594">
        <v>206</v>
      </c>
      <c r="C10" s="595" t="s">
        <v>1699</v>
      </c>
      <c r="D10" s="596" t="s">
        <v>485</v>
      </c>
      <c r="E10" s="596" t="s">
        <v>1135</v>
      </c>
      <c r="F10" s="596" t="s">
        <v>407</v>
      </c>
      <c r="G10" s="596" t="s">
        <v>410</v>
      </c>
      <c r="H10" s="596" t="s">
        <v>747</v>
      </c>
      <c r="I10" s="596" t="s">
        <v>407</v>
      </c>
      <c r="J10" s="596" t="s">
        <v>410</v>
      </c>
      <c r="K10" s="596" t="s">
        <v>747</v>
      </c>
      <c r="L10" s="577" t="s">
        <v>961</v>
      </c>
      <c r="M10" s="577"/>
      <c r="O10" s="597" t="str">
        <f t="shared" si="0"/>
        <v>認定こども園　小ばと幼稚園</v>
      </c>
      <c r="P10" s="598" t="str">
        <f>IF(COUNTIF(リスト!A:AC,O10) &gt; 0, "〇", "×")</f>
        <v>〇</v>
      </c>
      <c r="Q10" s="577" t="s">
        <v>372</v>
      </c>
      <c r="R10" s="593" t="str">
        <f t="shared" si="1"/>
        <v>○</v>
      </c>
      <c r="S10" s="577" t="s">
        <v>1699</v>
      </c>
      <c r="T10" s="593" t="str">
        <f t="shared" si="2"/>
        <v>○</v>
      </c>
      <c r="U10" s="577" t="s">
        <v>1700</v>
      </c>
      <c r="V10" s="593" t="str">
        <f t="shared" si="3"/>
        <v>○</v>
      </c>
    </row>
    <row r="11" spans="1:22" ht="21.75" customHeight="1">
      <c r="B11" s="594">
        <v>207</v>
      </c>
      <c r="C11" s="595" t="s">
        <v>1701</v>
      </c>
      <c r="D11" s="596" t="s">
        <v>486</v>
      </c>
      <c r="E11" s="596" t="s">
        <v>1136</v>
      </c>
      <c r="F11" s="596" t="s">
        <v>407</v>
      </c>
      <c r="G11" s="596" t="s">
        <v>436</v>
      </c>
      <c r="H11" s="596" t="s">
        <v>748</v>
      </c>
      <c r="I11" s="596" t="s">
        <v>407</v>
      </c>
      <c r="J11" s="596" t="s">
        <v>436</v>
      </c>
      <c r="K11" s="596" t="s">
        <v>748</v>
      </c>
      <c r="L11" s="577" t="s">
        <v>961</v>
      </c>
      <c r="M11" s="577"/>
      <c r="O11" s="597" t="str">
        <f t="shared" si="0"/>
        <v>認定こども園　白梅幼稚園</v>
      </c>
      <c r="P11" s="598" t="str">
        <f>IF(COUNTIF(リスト!A:AC,O11) &gt; 0, "〇", "×")</f>
        <v>〇</v>
      </c>
      <c r="Q11" s="577" t="s">
        <v>376</v>
      </c>
      <c r="R11" s="593" t="str">
        <f t="shared" si="1"/>
        <v>○</v>
      </c>
      <c r="S11" s="577" t="s">
        <v>1701</v>
      </c>
      <c r="T11" s="593" t="str">
        <f t="shared" si="2"/>
        <v>○</v>
      </c>
      <c r="U11" s="577" t="s">
        <v>1702</v>
      </c>
      <c r="V11" s="593" t="str">
        <f t="shared" si="3"/>
        <v>○</v>
      </c>
    </row>
    <row r="12" spans="1:22" ht="21.75" customHeight="1">
      <c r="B12" s="594">
        <v>208</v>
      </c>
      <c r="C12" s="595" t="s">
        <v>1703</v>
      </c>
      <c r="D12" s="596" t="s">
        <v>487</v>
      </c>
      <c r="E12" s="596" t="s">
        <v>416</v>
      </c>
      <c r="F12" s="596" t="s">
        <v>407</v>
      </c>
      <c r="G12" s="596" t="s">
        <v>417</v>
      </c>
      <c r="H12" s="596" t="s">
        <v>749</v>
      </c>
      <c r="I12" s="596" t="s">
        <v>407</v>
      </c>
      <c r="J12" s="596" t="s">
        <v>417</v>
      </c>
      <c r="K12" s="596" t="s">
        <v>749</v>
      </c>
      <c r="L12" s="577" t="s">
        <v>961</v>
      </c>
      <c r="M12" s="577"/>
      <c r="O12" s="597" t="str">
        <f t="shared" si="0"/>
        <v>幼保連携型認定こども園　植草学園大学附属弁天こども園</v>
      </c>
      <c r="P12" s="598" t="str">
        <f>IF(COUNTIF(リスト!A:AC,O12) &gt; 0, "〇", "×")</f>
        <v>〇</v>
      </c>
      <c r="Q12" s="577" t="s">
        <v>370</v>
      </c>
      <c r="R12" s="593" t="str">
        <f t="shared" si="1"/>
        <v>○</v>
      </c>
      <c r="S12" s="577" t="s">
        <v>1703</v>
      </c>
      <c r="T12" s="593" t="str">
        <f t="shared" si="2"/>
        <v>○</v>
      </c>
      <c r="U12" s="577" t="s">
        <v>1704</v>
      </c>
      <c r="V12" s="593" t="str">
        <f t="shared" si="3"/>
        <v>○</v>
      </c>
    </row>
    <row r="13" spans="1:22" ht="21.75" customHeight="1">
      <c r="B13" s="594">
        <v>209</v>
      </c>
      <c r="C13" s="595" t="s">
        <v>369</v>
      </c>
      <c r="D13" s="596" t="s">
        <v>488</v>
      </c>
      <c r="E13" s="596" t="s">
        <v>1137</v>
      </c>
      <c r="F13" s="596" t="s">
        <v>407</v>
      </c>
      <c r="G13" s="596" t="s">
        <v>437</v>
      </c>
      <c r="H13" s="596" t="s">
        <v>750</v>
      </c>
      <c r="I13" s="596" t="s">
        <v>407</v>
      </c>
      <c r="J13" s="596" t="s">
        <v>437</v>
      </c>
      <c r="K13" s="596" t="s">
        <v>750</v>
      </c>
      <c r="L13" s="577" t="s">
        <v>961</v>
      </c>
      <c r="M13" s="577"/>
      <c r="O13" s="597" t="str">
        <f t="shared" si="0"/>
        <v>認定こども園　葵幼稚園</v>
      </c>
      <c r="P13" s="598" t="str">
        <f>IF(COUNTIF(リスト!A:AC,O13) &gt; 0, "〇", "×")</f>
        <v>〇</v>
      </c>
      <c r="Q13" s="577" t="s">
        <v>369</v>
      </c>
      <c r="R13" s="593" t="str">
        <f t="shared" si="1"/>
        <v>○</v>
      </c>
      <c r="S13" s="577" t="s">
        <v>369</v>
      </c>
      <c r="T13" s="593" t="str">
        <f t="shared" si="2"/>
        <v>○</v>
      </c>
      <c r="U13" s="577" t="s">
        <v>369</v>
      </c>
      <c r="V13" s="593" t="str">
        <f t="shared" si="3"/>
        <v>○</v>
      </c>
    </row>
    <row r="14" spans="1:22" ht="21.75" customHeight="1">
      <c r="B14" s="594">
        <v>210</v>
      </c>
      <c r="C14" s="595" t="s">
        <v>380</v>
      </c>
      <c r="D14" s="596" t="s">
        <v>489</v>
      </c>
      <c r="E14" s="596" t="s">
        <v>1138</v>
      </c>
      <c r="F14" s="596" t="s">
        <v>407</v>
      </c>
      <c r="G14" s="596" t="s">
        <v>438</v>
      </c>
      <c r="H14" s="596" t="s">
        <v>751</v>
      </c>
      <c r="I14" s="596" t="s">
        <v>407</v>
      </c>
      <c r="J14" s="596" t="s">
        <v>438</v>
      </c>
      <c r="K14" s="596" t="s">
        <v>751</v>
      </c>
      <c r="L14" s="577" t="s">
        <v>961</v>
      </c>
      <c r="M14" s="577"/>
      <c r="O14" s="597" t="str">
        <f t="shared" si="0"/>
        <v>認定こども園　仁戸名幼稚園</v>
      </c>
      <c r="P14" s="598" t="str">
        <f>IF(COUNTIF(リスト!A:AC,O14) &gt; 0, "〇", "×")</f>
        <v>〇</v>
      </c>
      <c r="Q14" s="577" t="s">
        <v>380</v>
      </c>
      <c r="R14" s="593" t="str">
        <f t="shared" si="1"/>
        <v>○</v>
      </c>
      <c r="S14" s="577" t="s">
        <v>380</v>
      </c>
      <c r="T14" s="593" t="str">
        <f t="shared" si="2"/>
        <v>○</v>
      </c>
      <c r="U14" s="577" t="s">
        <v>380</v>
      </c>
      <c r="V14" s="593" t="str">
        <f t="shared" si="3"/>
        <v>○</v>
      </c>
    </row>
    <row r="15" spans="1:22" ht="21.75" customHeight="1">
      <c r="B15" s="594">
        <v>211</v>
      </c>
      <c r="C15" s="595" t="s">
        <v>381</v>
      </c>
      <c r="D15" s="596" t="s">
        <v>490</v>
      </c>
      <c r="E15" s="596" t="s">
        <v>1136</v>
      </c>
      <c r="F15" s="596" t="s">
        <v>407</v>
      </c>
      <c r="G15" s="596" t="s">
        <v>436</v>
      </c>
      <c r="H15" s="596" t="s">
        <v>748</v>
      </c>
      <c r="I15" s="596" t="s">
        <v>407</v>
      </c>
      <c r="J15" s="596" t="s">
        <v>436</v>
      </c>
      <c r="K15" s="596" t="s">
        <v>748</v>
      </c>
      <c r="L15" s="577" t="s">
        <v>961</v>
      </c>
      <c r="M15" s="577"/>
      <c r="O15" s="597" t="str">
        <f t="shared" si="0"/>
        <v>認定こども園　はまの幼稚園</v>
      </c>
      <c r="P15" s="598" t="str">
        <f>IF(COUNTIF(リスト!A:AC,O15) &gt; 0, "〇", "×")</f>
        <v>〇</v>
      </c>
      <c r="Q15" s="577" t="s">
        <v>381</v>
      </c>
      <c r="R15" s="593" t="str">
        <f t="shared" si="1"/>
        <v>○</v>
      </c>
      <c r="S15" s="577" t="s">
        <v>381</v>
      </c>
      <c r="T15" s="593" t="str">
        <f t="shared" si="2"/>
        <v>○</v>
      </c>
      <c r="U15" s="577" t="s">
        <v>381</v>
      </c>
      <c r="V15" s="593" t="str">
        <f t="shared" si="3"/>
        <v>○</v>
      </c>
    </row>
    <row r="16" spans="1:22" ht="21.75" customHeight="1">
      <c r="B16" s="594">
        <v>212</v>
      </c>
      <c r="C16" s="595" t="s">
        <v>388</v>
      </c>
      <c r="D16" s="596" t="s">
        <v>491</v>
      </c>
      <c r="E16" s="596" t="s">
        <v>1139</v>
      </c>
      <c r="F16" s="596" t="s">
        <v>407</v>
      </c>
      <c r="G16" s="596" t="s">
        <v>753</v>
      </c>
      <c r="H16" s="596" t="s">
        <v>752</v>
      </c>
      <c r="I16" s="596" t="s">
        <v>407</v>
      </c>
      <c r="J16" s="596" t="s">
        <v>753</v>
      </c>
      <c r="K16" s="596" t="s">
        <v>752</v>
      </c>
      <c r="L16" s="577" t="s">
        <v>961</v>
      </c>
      <c r="M16" s="577"/>
      <c r="O16" s="597" t="str">
        <f t="shared" si="0"/>
        <v>認定こども園　ひまわり幼稚園</v>
      </c>
      <c r="P16" s="598" t="str">
        <f>IF(COUNTIF(リスト!A:AC,O16) &gt; 0, "〇", "×")</f>
        <v>〇</v>
      </c>
      <c r="Q16" s="577" t="s">
        <v>388</v>
      </c>
      <c r="R16" s="593" t="str">
        <f t="shared" si="1"/>
        <v>○</v>
      </c>
      <c r="S16" s="577" t="s">
        <v>388</v>
      </c>
      <c r="T16" s="593" t="str">
        <f t="shared" si="2"/>
        <v>○</v>
      </c>
      <c r="U16" s="577" t="s">
        <v>388</v>
      </c>
      <c r="V16" s="593" t="str">
        <f t="shared" si="3"/>
        <v>○</v>
      </c>
    </row>
    <row r="17" spans="1:22" ht="21.75" customHeight="1">
      <c r="B17" s="594">
        <v>213</v>
      </c>
      <c r="C17" s="595" t="s">
        <v>374</v>
      </c>
      <c r="D17" s="596" t="s">
        <v>492</v>
      </c>
      <c r="E17" s="596" t="s">
        <v>1140</v>
      </c>
      <c r="F17" s="596" t="s">
        <v>407</v>
      </c>
      <c r="G17" s="596" t="s">
        <v>755</v>
      </c>
      <c r="H17" s="596" t="s">
        <v>754</v>
      </c>
      <c r="I17" s="596" t="s">
        <v>407</v>
      </c>
      <c r="J17" s="596" t="s">
        <v>755</v>
      </c>
      <c r="K17" s="596" t="s">
        <v>754</v>
      </c>
      <c r="L17" s="577" t="s">
        <v>961</v>
      </c>
      <c r="M17" s="577"/>
      <c r="O17" s="597" t="str">
        <f t="shared" si="0"/>
        <v>認定こども園　みつわ台幼稚園</v>
      </c>
      <c r="P17" s="598" t="str">
        <f>IF(COUNTIF(リスト!A:AC,O17) &gt; 0, "〇", "×")</f>
        <v>〇</v>
      </c>
      <c r="Q17" s="577" t="s">
        <v>374</v>
      </c>
      <c r="R17" s="593" t="str">
        <f t="shared" si="1"/>
        <v>○</v>
      </c>
      <c r="S17" s="577" t="s">
        <v>374</v>
      </c>
      <c r="T17" s="593" t="str">
        <f t="shared" si="2"/>
        <v>○</v>
      </c>
      <c r="U17" s="577" t="s">
        <v>374</v>
      </c>
      <c r="V17" s="593" t="str">
        <f t="shared" si="3"/>
        <v>○</v>
      </c>
    </row>
    <row r="18" spans="1:22" ht="21.75" customHeight="1">
      <c r="B18" s="594">
        <v>214</v>
      </c>
      <c r="C18" s="595" t="s">
        <v>385</v>
      </c>
      <c r="D18" s="596" t="s">
        <v>493</v>
      </c>
      <c r="E18" s="596" t="s">
        <v>1141</v>
      </c>
      <c r="F18" s="596" t="s">
        <v>407</v>
      </c>
      <c r="G18" s="596" t="s">
        <v>422</v>
      </c>
      <c r="H18" s="596" t="s">
        <v>831</v>
      </c>
      <c r="I18" s="596" t="s">
        <v>407</v>
      </c>
      <c r="J18" s="596" t="s">
        <v>422</v>
      </c>
      <c r="K18" s="596" t="s">
        <v>831</v>
      </c>
      <c r="L18" s="577" t="s">
        <v>961</v>
      </c>
      <c r="M18" s="577"/>
      <c r="O18" s="597" t="str">
        <f t="shared" si="0"/>
        <v>認定こども園　キッズビレッジ</v>
      </c>
      <c r="P18" s="598" t="str">
        <f>IF(COUNTIF(リスト!A:AC,O18) &gt; 0, "〇", "×")</f>
        <v>〇</v>
      </c>
      <c r="Q18" s="577" t="s">
        <v>385</v>
      </c>
      <c r="R18" s="593" t="str">
        <f t="shared" si="1"/>
        <v>○</v>
      </c>
      <c r="S18" s="577" t="s">
        <v>385</v>
      </c>
      <c r="T18" s="593" t="str">
        <f t="shared" si="2"/>
        <v>○</v>
      </c>
      <c r="U18" s="577" t="s">
        <v>385</v>
      </c>
      <c r="V18" s="593" t="str">
        <f t="shared" si="3"/>
        <v>○</v>
      </c>
    </row>
    <row r="19" spans="1:22" ht="21.75" customHeight="1">
      <c r="B19" s="594">
        <v>215</v>
      </c>
      <c r="C19" s="595" t="s">
        <v>375</v>
      </c>
      <c r="D19" s="596" t="s">
        <v>494</v>
      </c>
      <c r="E19" s="596" t="s">
        <v>1142</v>
      </c>
      <c r="F19" s="596" t="s">
        <v>407</v>
      </c>
      <c r="G19" s="596" t="s">
        <v>757</v>
      </c>
      <c r="H19" s="596" t="s">
        <v>756</v>
      </c>
      <c r="I19" s="596" t="s">
        <v>407</v>
      </c>
      <c r="J19" s="596" t="s">
        <v>757</v>
      </c>
      <c r="K19" s="596" t="s">
        <v>756</v>
      </c>
      <c r="L19" s="577" t="s">
        <v>961</v>
      </c>
      <c r="M19" s="577"/>
      <c r="O19" s="597" t="str">
        <f t="shared" si="0"/>
        <v>認定こども園　ほまれ幼稚園</v>
      </c>
      <c r="P19" s="598" t="str">
        <f>IF(COUNTIF(リスト!A:AC,O19) &gt; 0, "〇", "×")</f>
        <v>〇</v>
      </c>
      <c r="Q19" s="577" t="s">
        <v>375</v>
      </c>
      <c r="R19" s="593" t="str">
        <f t="shared" si="1"/>
        <v>○</v>
      </c>
      <c r="S19" s="577" t="s">
        <v>375</v>
      </c>
      <c r="T19" s="593" t="str">
        <f t="shared" si="2"/>
        <v>○</v>
      </c>
      <c r="U19" s="577" t="s">
        <v>375</v>
      </c>
      <c r="V19" s="593" t="str">
        <f t="shared" si="3"/>
        <v>○</v>
      </c>
    </row>
    <row r="20" spans="1:22" ht="21.75" customHeight="1">
      <c r="B20" s="594">
        <v>216</v>
      </c>
      <c r="C20" s="595" t="s">
        <v>378</v>
      </c>
      <c r="D20" s="596" t="s">
        <v>495</v>
      </c>
      <c r="E20" s="596" t="s">
        <v>1143</v>
      </c>
      <c r="F20" s="596" t="s">
        <v>407</v>
      </c>
      <c r="G20" s="596" t="s">
        <v>439</v>
      </c>
      <c r="H20" s="596" t="s">
        <v>758</v>
      </c>
      <c r="I20" s="596" t="s">
        <v>407</v>
      </c>
      <c r="J20" s="596" t="s">
        <v>439</v>
      </c>
      <c r="K20" s="596" t="s">
        <v>758</v>
      </c>
      <c r="L20" s="577" t="s">
        <v>961</v>
      </c>
      <c r="M20" s="577"/>
      <c r="O20" s="597" t="str">
        <f t="shared" si="0"/>
        <v>認定こども園　あいりす幼稚園</v>
      </c>
      <c r="P20" s="598" t="str">
        <f>IF(COUNTIF(リスト!A:AC,O20) &gt; 0, "〇", "×")</f>
        <v>〇</v>
      </c>
      <c r="Q20" s="577" t="s">
        <v>378</v>
      </c>
      <c r="R20" s="593" t="str">
        <f t="shared" si="1"/>
        <v>○</v>
      </c>
      <c r="S20" s="577" t="s">
        <v>378</v>
      </c>
      <c r="T20" s="593" t="str">
        <f t="shared" si="2"/>
        <v>○</v>
      </c>
      <c r="U20" s="577" t="s">
        <v>378</v>
      </c>
      <c r="V20" s="593" t="str">
        <f t="shared" si="3"/>
        <v>○</v>
      </c>
    </row>
    <row r="21" spans="1:22" ht="21.75" customHeight="1">
      <c r="B21" s="594">
        <v>217</v>
      </c>
      <c r="C21" s="595" t="s">
        <v>386</v>
      </c>
      <c r="D21" s="596" t="s">
        <v>496</v>
      </c>
      <c r="E21" s="596" t="s">
        <v>1144</v>
      </c>
      <c r="F21" s="596" t="s">
        <v>407</v>
      </c>
      <c r="G21" s="596" t="s">
        <v>440</v>
      </c>
      <c r="H21" s="596" t="s">
        <v>759</v>
      </c>
      <c r="I21" s="596" t="s">
        <v>407</v>
      </c>
      <c r="J21" s="596" t="s">
        <v>440</v>
      </c>
      <c r="K21" s="596" t="s">
        <v>759</v>
      </c>
      <c r="L21" s="577" t="s">
        <v>961</v>
      </c>
      <c r="M21" s="577"/>
      <c r="O21" s="597" t="str">
        <f t="shared" si="0"/>
        <v>認定こども園　高洲幼稚園</v>
      </c>
      <c r="P21" s="598" t="str">
        <f>IF(COUNTIF(リスト!A:AC,O21) &gt; 0, "〇", "×")</f>
        <v>〇</v>
      </c>
      <c r="Q21" s="577" t="s">
        <v>386</v>
      </c>
      <c r="R21" s="593" t="str">
        <f t="shared" si="1"/>
        <v>○</v>
      </c>
      <c r="S21" s="577" t="s">
        <v>386</v>
      </c>
      <c r="T21" s="593" t="str">
        <f t="shared" si="2"/>
        <v>○</v>
      </c>
      <c r="U21" s="577" t="s">
        <v>386</v>
      </c>
      <c r="V21" s="593" t="str">
        <f t="shared" si="3"/>
        <v>○</v>
      </c>
    </row>
    <row r="22" spans="1:22" ht="21.75" customHeight="1">
      <c r="B22" s="594">
        <v>218</v>
      </c>
      <c r="C22" s="595" t="s">
        <v>392</v>
      </c>
      <c r="D22" s="596" t="s">
        <v>497</v>
      </c>
      <c r="E22" s="596" t="s">
        <v>1145</v>
      </c>
      <c r="F22" s="596" t="s">
        <v>407</v>
      </c>
      <c r="G22" s="596" t="s">
        <v>441</v>
      </c>
      <c r="H22" s="596" t="s">
        <v>760</v>
      </c>
      <c r="I22" s="596" t="s">
        <v>407</v>
      </c>
      <c r="J22" s="596" t="s">
        <v>441</v>
      </c>
      <c r="K22" s="596" t="s">
        <v>760</v>
      </c>
      <c r="L22" s="577" t="s">
        <v>961</v>
      </c>
      <c r="M22" s="577"/>
      <c r="O22" s="597" t="str">
        <f t="shared" si="0"/>
        <v>認定こども園　高浜幼稚園</v>
      </c>
      <c r="P22" s="598" t="str">
        <f>IF(COUNTIF(リスト!A:AC,O22) &gt; 0, "〇", "×")</f>
        <v>〇</v>
      </c>
      <c r="Q22" s="577" t="s">
        <v>392</v>
      </c>
      <c r="R22" s="593" t="str">
        <f t="shared" si="1"/>
        <v>○</v>
      </c>
      <c r="S22" s="577" t="s">
        <v>392</v>
      </c>
      <c r="T22" s="593" t="str">
        <f t="shared" si="2"/>
        <v>○</v>
      </c>
      <c r="U22" s="577" t="s">
        <v>392</v>
      </c>
      <c r="V22" s="593" t="str">
        <f t="shared" si="3"/>
        <v>○</v>
      </c>
    </row>
    <row r="23" spans="1:22" ht="21.75" customHeight="1">
      <c r="B23" s="594">
        <v>219</v>
      </c>
      <c r="C23" s="595" t="s">
        <v>397</v>
      </c>
      <c r="D23" s="596" t="s">
        <v>498</v>
      </c>
      <c r="E23" s="596" t="s">
        <v>1146</v>
      </c>
      <c r="F23" s="596" t="s">
        <v>407</v>
      </c>
      <c r="G23" s="596" t="s">
        <v>423</v>
      </c>
      <c r="H23" s="596" t="s">
        <v>1324</v>
      </c>
      <c r="I23" s="596" t="s">
        <v>407</v>
      </c>
      <c r="J23" s="596" t="s">
        <v>423</v>
      </c>
      <c r="K23" s="596" t="s">
        <v>1324</v>
      </c>
      <c r="L23" s="577" t="s">
        <v>961</v>
      </c>
      <c r="M23" s="577"/>
      <c r="O23" s="597" t="str">
        <f t="shared" si="0"/>
        <v>認定こども園　千葉さざなみ幼稚園</v>
      </c>
      <c r="P23" s="598" t="str">
        <f>IF(COUNTIF(リスト!A:AC,O23) &gt; 0, "〇", "×")</f>
        <v>〇</v>
      </c>
      <c r="Q23" s="577" t="s">
        <v>397</v>
      </c>
      <c r="R23" s="593" t="str">
        <f t="shared" si="1"/>
        <v>○</v>
      </c>
      <c r="S23" s="577" t="s">
        <v>397</v>
      </c>
      <c r="T23" s="593" t="str">
        <f t="shared" si="2"/>
        <v>○</v>
      </c>
      <c r="U23" s="577" t="s">
        <v>397</v>
      </c>
      <c r="V23" s="593" t="str">
        <f t="shared" si="3"/>
        <v>○</v>
      </c>
    </row>
    <row r="24" spans="1:22" ht="21.75" customHeight="1">
      <c r="B24" s="594">
        <v>220</v>
      </c>
      <c r="C24" s="595" t="s">
        <v>399</v>
      </c>
      <c r="D24" s="596" t="s">
        <v>499</v>
      </c>
      <c r="E24" s="596" t="s">
        <v>1147</v>
      </c>
      <c r="F24" s="596" t="s">
        <v>407</v>
      </c>
      <c r="G24" s="596" t="s">
        <v>442</v>
      </c>
      <c r="H24" s="596" t="s">
        <v>761</v>
      </c>
      <c r="I24" s="596" t="s">
        <v>407</v>
      </c>
      <c r="J24" s="596" t="s">
        <v>442</v>
      </c>
      <c r="K24" s="596" t="s">
        <v>761</v>
      </c>
      <c r="L24" s="577" t="s">
        <v>961</v>
      </c>
      <c r="M24" s="577"/>
      <c r="O24" s="597" t="str">
        <f t="shared" si="0"/>
        <v>認定こども園　真砂幼稚園</v>
      </c>
      <c r="P24" s="598" t="str">
        <f>IF(COUNTIF(リスト!A:AC,O24) &gt; 0, "〇", "×")</f>
        <v>〇</v>
      </c>
      <c r="Q24" s="577" t="s">
        <v>399</v>
      </c>
      <c r="R24" s="593" t="str">
        <f t="shared" si="1"/>
        <v>○</v>
      </c>
      <c r="S24" s="577" t="s">
        <v>399</v>
      </c>
      <c r="T24" s="593" t="str">
        <f t="shared" si="2"/>
        <v>○</v>
      </c>
      <c r="U24" s="577" t="s">
        <v>399</v>
      </c>
      <c r="V24" s="593" t="str">
        <f t="shared" si="3"/>
        <v>○</v>
      </c>
    </row>
    <row r="25" spans="1:22" ht="21.75" customHeight="1">
      <c r="B25" s="594">
        <v>221</v>
      </c>
      <c r="C25" s="599" t="s">
        <v>1181</v>
      </c>
      <c r="D25" s="596" t="s">
        <v>500</v>
      </c>
      <c r="E25" s="596" t="s">
        <v>412</v>
      </c>
      <c r="F25" s="596" t="s">
        <v>407</v>
      </c>
      <c r="G25" s="596" t="s">
        <v>413</v>
      </c>
      <c r="H25" s="596" t="s">
        <v>414</v>
      </c>
      <c r="I25" s="596" t="s">
        <v>407</v>
      </c>
      <c r="J25" s="596" t="s">
        <v>413</v>
      </c>
      <c r="K25" s="596" t="s">
        <v>414</v>
      </c>
      <c r="L25" s="577" t="s">
        <v>961</v>
      </c>
      <c r="M25" s="577"/>
      <c r="O25" s="597" t="str">
        <f t="shared" si="0"/>
        <v>認定こども園　千葉明徳短期大学附属幼稚園</v>
      </c>
      <c r="P25" s="598" t="str">
        <f>IF(COUNTIF(リスト!A:AC,O25) &gt; 0, "〇", "×")</f>
        <v>〇</v>
      </c>
      <c r="Q25" s="577" t="s">
        <v>1622</v>
      </c>
      <c r="R25" s="593" t="str">
        <f t="shared" si="1"/>
        <v>○</v>
      </c>
      <c r="S25" s="577" t="s">
        <v>1181</v>
      </c>
      <c r="T25" s="593" t="str">
        <f t="shared" si="2"/>
        <v>○</v>
      </c>
      <c r="U25" s="577" t="s">
        <v>1181</v>
      </c>
      <c r="V25" s="593" t="str">
        <f t="shared" si="3"/>
        <v>○</v>
      </c>
    </row>
    <row r="26" spans="1:22" ht="21.75" customHeight="1">
      <c r="B26" s="594">
        <v>222</v>
      </c>
      <c r="C26" s="599" t="s">
        <v>1182</v>
      </c>
      <c r="D26" s="596" t="s">
        <v>501</v>
      </c>
      <c r="E26" s="596" t="s">
        <v>1148</v>
      </c>
      <c r="F26" s="596" t="s">
        <v>407</v>
      </c>
      <c r="G26" s="596" t="s">
        <v>425</v>
      </c>
      <c r="H26" s="596" t="s">
        <v>424</v>
      </c>
      <c r="I26" s="596" t="s">
        <v>407</v>
      </c>
      <c r="J26" s="596" t="s">
        <v>425</v>
      </c>
      <c r="K26" s="596" t="s">
        <v>424</v>
      </c>
      <c r="L26" s="577" t="s">
        <v>961</v>
      </c>
      <c r="M26" s="577"/>
      <c r="O26" s="597" t="str">
        <f t="shared" si="0"/>
        <v>認定こども園　登戸幼稚園</v>
      </c>
      <c r="P26" s="598" t="str">
        <f>IF(COUNTIF(リスト!A:AC,O26) &gt; 0, "〇", "×")</f>
        <v>〇</v>
      </c>
      <c r="Q26" s="577" t="s">
        <v>1623</v>
      </c>
      <c r="R26" s="593" t="str">
        <f t="shared" si="1"/>
        <v>○</v>
      </c>
      <c r="S26" s="577" t="s">
        <v>1182</v>
      </c>
      <c r="T26" s="593" t="str">
        <f t="shared" si="2"/>
        <v>○</v>
      </c>
      <c r="U26" s="577" t="s">
        <v>1182</v>
      </c>
      <c r="V26" s="593" t="str">
        <f t="shared" si="3"/>
        <v>○</v>
      </c>
    </row>
    <row r="27" spans="1:22" ht="21.75" customHeight="1">
      <c r="B27" s="594">
        <v>223</v>
      </c>
      <c r="C27" s="599" t="s">
        <v>1183</v>
      </c>
      <c r="D27" s="596" t="s">
        <v>1127</v>
      </c>
      <c r="E27" s="596" t="s">
        <v>1149</v>
      </c>
      <c r="F27" s="596" t="s">
        <v>407</v>
      </c>
      <c r="G27" s="596" t="s">
        <v>762</v>
      </c>
      <c r="H27" s="596" t="s">
        <v>443</v>
      </c>
      <c r="I27" s="596" t="s">
        <v>407</v>
      </c>
      <c r="J27" s="596" t="s">
        <v>762</v>
      </c>
      <c r="K27" s="596" t="s">
        <v>443</v>
      </c>
      <c r="L27" s="577" t="s">
        <v>961</v>
      </c>
      <c r="M27" s="577"/>
      <c r="O27" s="597" t="str">
        <f t="shared" si="0"/>
        <v>認定こども園　さつきが丘幼稚園</v>
      </c>
      <c r="P27" s="598" t="str">
        <f>IF(COUNTIF(リスト!A:AC,O27) &gt; 0, "〇", "×")</f>
        <v>〇</v>
      </c>
      <c r="Q27" s="577" t="s">
        <v>1624</v>
      </c>
      <c r="R27" s="593" t="str">
        <f t="shared" si="1"/>
        <v>○</v>
      </c>
      <c r="S27" s="577" t="s">
        <v>1183</v>
      </c>
      <c r="T27" s="593" t="str">
        <f t="shared" si="2"/>
        <v>○</v>
      </c>
      <c r="U27" s="577" t="s">
        <v>1183</v>
      </c>
      <c r="V27" s="593" t="str">
        <f t="shared" si="3"/>
        <v>○</v>
      </c>
    </row>
    <row r="28" spans="1:22" ht="21.75" customHeight="1">
      <c r="B28" s="594">
        <v>224</v>
      </c>
      <c r="C28" s="599" t="s">
        <v>1184</v>
      </c>
      <c r="D28" s="596" t="s">
        <v>502</v>
      </c>
      <c r="E28" s="596" t="s">
        <v>1150</v>
      </c>
      <c r="F28" s="596" t="s">
        <v>407</v>
      </c>
      <c r="G28" s="596" t="s">
        <v>428</v>
      </c>
      <c r="H28" s="596" t="s">
        <v>1325</v>
      </c>
      <c r="I28" s="596" t="s">
        <v>407</v>
      </c>
      <c r="J28" s="596" t="s">
        <v>428</v>
      </c>
      <c r="K28" s="596" t="s">
        <v>1325</v>
      </c>
      <c r="L28" s="577" t="s">
        <v>961</v>
      </c>
      <c r="M28" s="577"/>
      <c r="O28" s="597" t="str">
        <f t="shared" si="0"/>
        <v>認定こども園　まこと第三幼稚園</v>
      </c>
      <c r="P28" s="598" t="str">
        <f>IF(COUNTIF(リスト!A:AC,O28) &gt; 0, "〇", "×")</f>
        <v>〇</v>
      </c>
      <c r="Q28" s="577" t="s">
        <v>1625</v>
      </c>
      <c r="R28" s="593" t="str">
        <f t="shared" si="1"/>
        <v>○</v>
      </c>
      <c r="S28" s="577" t="s">
        <v>1184</v>
      </c>
      <c r="T28" s="593" t="str">
        <f t="shared" si="2"/>
        <v>○</v>
      </c>
      <c r="U28" s="577" t="s">
        <v>1184</v>
      </c>
      <c r="V28" s="593" t="str">
        <f t="shared" si="3"/>
        <v>○</v>
      </c>
    </row>
    <row r="29" spans="1:22" ht="21.75" customHeight="1">
      <c r="B29" s="594">
        <v>225</v>
      </c>
      <c r="C29" s="599" t="s">
        <v>1185</v>
      </c>
      <c r="D29" s="596" t="s">
        <v>503</v>
      </c>
      <c r="E29" s="596" t="s">
        <v>1151</v>
      </c>
      <c r="F29" s="596" t="s">
        <v>407</v>
      </c>
      <c r="G29" s="596" t="s">
        <v>444</v>
      </c>
      <c r="H29" s="596" t="s">
        <v>426</v>
      </c>
      <c r="I29" s="596" t="s">
        <v>407</v>
      </c>
      <c r="J29" s="596" t="s">
        <v>444</v>
      </c>
      <c r="K29" s="596" t="s">
        <v>426</v>
      </c>
      <c r="L29" s="577" t="s">
        <v>961</v>
      </c>
      <c r="M29" s="577"/>
      <c r="O29" s="597" t="str">
        <f t="shared" si="0"/>
        <v>認定こども園　稲毛すみれ幼稚園</v>
      </c>
      <c r="P29" s="598" t="str">
        <f>IF(COUNTIF(リスト!A:AC,O29) &gt; 0, "〇", "×")</f>
        <v>〇</v>
      </c>
      <c r="Q29" s="577" t="s">
        <v>1626</v>
      </c>
      <c r="R29" s="593" t="str">
        <f t="shared" si="1"/>
        <v>○</v>
      </c>
      <c r="S29" s="577" t="s">
        <v>1185</v>
      </c>
      <c r="T29" s="593" t="str">
        <f t="shared" si="2"/>
        <v>○</v>
      </c>
      <c r="U29" s="577" t="s">
        <v>1185</v>
      </c>
      <c r="V29" s="593" t="str">
        <f t="shared" si="3"/>
        <v>○</v>
      </c>
    </row>
    <row r="30" spans="1:22" ht="21.75" customHeight="1">
      <c r="B30" s="594">
        <v>226</v>
      </c>
      <c r="C30" s="599" t="s">
        <v>1186</v>
      </c>
      <c r="D30" s="596" t="s">
        <v>504</v>
      </c>
      <c r="E30" s="596" t="s">
        <v>1134</v>
      </c>
      <c r="F30" s="596" t="s">
        <v>411</v>
      </c>
      <c r="G30" s="596" t="s">
        <v>1190</v>
      </c>
      <c r="H30" s="596" t="s">
        <v>421</v>
      </c>
      <c r="I30" s="596" t="s">
        <v>411</v>
      </c>
      <c r="J30" s="596" t="s">
        <v>1190</v>
      </c>
      <c r="K30" s="596" t="s">
        <v>421</v>
      </c>
      <c r="L30" s="577" t="s">
        <v>961</v>
      </c>
      <c r="M30" s="577"/>
      <c r="O30" s="597" t="str">
        <f t="shared" si="0"/>
        <v>認定こども園　かしの木学園　かしの木園</v>
      </c>
      <c r="P30" s="598" t="str">
        <f>IF(COUNTIF(リスト!A:AC,O30) &gt; 0, "〇", "×")</f>
        <v>〇</v>
      </c>
      <c r="Q30" s="577" t="s">
        <v>1627</v>
      </c>
      <c r="R30" s="593" t="str">
        <f t="shared" si="1"/>
        <v>○</v>
      </c>
      <c r="S30" s="577" t="s">
        <v>1186</v>
      </c>
      <c r="T30" s="593" t="str">
        <f t="shared" si="2"/>
        <v>○</v>
      </c>
      <c r="U30" s="577" t="s">
        <v>1186</v>
      </c>
      <c r="V30" s="593" t="str">
        <f t="shared" si="3"/>
        <v>○</v>
      </c>
    </row>
    <row r="31" spans="1:22" s="371" customFormat="1" ht="21.75" customHeight="1">
      <c r="A31" s="575"/>
      <c r="B31" s="594">
        <v>227</v>
      </c>
      <c r="C31" s="599" t="s">
        <v>763</v>
      </c>
      <c r="D31" s="596" t="s">
        <v>505</v>
      </c>
      <c r="E31" s="596" t="s">
        <v>1144</v>
      </c>
      <c r="F31" s="596" t="s">
        <v>407</v>
      </c>
      <c r="G31" s="596" t="s">
        <v>440</v>
      </c>
      <c r="H31" s="596" t="s">
        <v>759</v>
      </c>
      <c r="I31" s="596" t="s">
        <v>407</v>
      </c>
      <c r="J31" s="596" t="s">
        <v>440</v>
      </c>
      <c r="K31" s="596" t="s">
        <v>759</v>
      </c>
      <c r="L31" s="577" t="s">
        <v>961</v>
      </c>
      <c r="N31" s="600"/>
      <c r="O31" s="597" t="str">
        <f t="shared" si="0"/>
        <v>認定こども園　松ヶ丘幼稚園</v>
      </c>
      <c r="P31" s="598" t="str">
        <f>IF(COUNTIF(リスト!A:AC,O31) &gt; 0, "〇", "×")</f>
        <v>〇</v>
      </c>
      <c r="Q31" s="371" t="s">
        <v>763</v>
      </c>
      <c r="R31" s="593" t="str">
        <f t="shared" si="1"/>
        <v>○</v>
      </c>
      <c r="S31" s="371" t="s">
        <v>763</v>
      </c>
      <c r="T31" s="593" t="str">
        <f t="shared" si="2"/>
        <v>○</v>
      </c>
      <c r="U31" s="371" t="s">
        <v>763</v>
      </c>
      <c r="V31" s="593" t="str">
        <f t="shared" si="3"/>
        <v>○</v>
      </c>
    </row>
    <row r="32" spans="1:22" s="371" customFormat="1" ht="21.75" customHeight="1">
      <c r="A32" s="575"/>
      <c r="B32" s="594">
        <v>228</v>
      </c>
      <c r="C32" s="599" t="s">
        <v>401</v>
      </c>
      <c r="D32" s="596" t="s">
        <v>506</v>
      </c>
      <c r="E32" s="596" t="s">
        <v>1152</v>
      </c>
      <c r="F32" s="596" t="s">
        <v>407</v>
      </c>
      <c r="G32" s="596" t="s">
        <v>445</v>
      </c>
      <c r="H32" s="596" t="s">
        <v>764</v>
      </c>
      <c r="I32" s="596" t="s">
        <v>407</v>
      </c>
      <c r="J32" s="596" t="s">
        <v>445</v>
      </c>
      <c r="K32" s="596" t="s">
        <v>764</v>
      </c>
      <c r="L32" s="577" t="s">
        <v>961</v>
      </c>
      <c r="N32" s="600"/>
      <c r="O32" s="597" t="str">
        <f t="shared" si="0"/>
        <v>認定こども園　都幼稚園</v>
      </c>
      <c r="P32" s="598" t="str">
        <f>IF(COUNTIF(リスト!A:AC,O32) &gt; 0, "〇", "×")</f>
        <v>〇</v>
      </c>
      <c r="Q32" s="371" t="s">
        <v>401</v>
      </c>
      <c r="R32" s="593" t="str">
        <f t="shared" si="1"/>
        <v>○</v>
      </c>
      <c r="S32" s="371" t="s">
        <v>401</v>
      </c>
      <c r="T32" s="593" t="str">
        <f t="shared" si="2"/>
        <v>○</v>
      </c>
      <c r="U32" s="371" t="s">
        <v>401</v>
      </c>
      <c r="V32" s="593" t="str">
        <f t="shared" si="3"/>
        <v>○</v>
      </c>
    </row>
    <row r="33" spans="2:22" ht="21.75" customHeight="1">
      <c r="B33" s="594">
        <v>229</v>
      </c>
      <c r="C33" s="599" t="s">
        <v>765</v>
      </c>
      <c r="D33" s="596" t="s">
        <v>507</v>
      </c>
      <c r="E33" s="596" t="s">
        <v>1153</v>
      </c>
      <c r="F33" s="596" t="s">
        <v>407</v>
      </c>
      <c r="G33" s="596" t="s">
        <v>1327</v>
      </c>
      <c r="H33" s="596" t="s">
        <v>766</v>
      </c>
      <c r="I33" s="596" t="s">
        <v>407</v>
      </c>
      <c r="J33" s="596" t="s">
        <v>1327</v>
      </c>
      <c r="K33" s="596" t="s">
        <v>766</v>
      </c>
      <c r="L33" s="577" t="s">
        <v>961</v>
      </c>
      <c r="M33" s="577"/>
      <c r="O33" s="597" t="str">
        <f t="shared" si="0"/>
        <v>認定こども園　山王幼稚園</v>
      </c>
      <c r="P33" s="598" t="str">
        <f>IF(COUNTIF(リスト!A:AC,O33) &gt; 0, "〇", "×")</f>
        <v>〇</v>
      </c>
      <c r="Q33" s="577" t="s">
        <v>765</v>
      </c>
      <c r="R33" s="593" t="str">
        <f t="shared" si="1"/>
        <v>○</v>
      </c>
      <c r="S33" s="577" t="s">
        <v>765</v>
      </c>
      <c r="T33" s="593" t="str">
        <f t="shared" si="2"/>
        <v>○</v>
      </c>
      <c r="U33" s="577" t="s">
        <v>765</v>
      </c>
      <c r="V33" s="593" t="str">
        <f t="shared" si="3"/>
        <v>○</v>
      </c>
    </row>
    <row r="34" spans="2:22" ht="21.75" customHeight="1">
      <c r="B34" s="594">
        <v>230</v>
      </c>
      <c r="C34" s="599" t="s">
        <v>767</v>
      </c>
      <c r="D34" s="596" t="s">
        <v>508</v>
      </c>
      <c r="E34" s="596" t="s">
        <v>1154</v>
      </c>
      <c r="F34" s="596" t="s">
        <v>407</v>
      </c>
      <c r="G34" s="596" t="s">
        <v>446</v>
      </c>
      <c r="H34" s="596" t="s">
        <v>768</v>
      </c>
      <c r="I34" s="596" t="s">
        <v>407</v>
      </c>
      <c r="J34" s="596" t="s">
        <v>446</v>
      </c>
      <c r="K34" s="596" t="s">
        <v>768</v>
      </c>
      <c r="L34" s="577" t="s">
        <v>961</v>
      </c>
      <c r="M34" s="577"/>
      <c r="O34" s="597" t="str">
        <f t="shared" si="0"/>
        <v>認定こども園　土岐幼稚園</v>
      </c>
      <c r="P34" s="598" t="str">
        <f>IF(COUNTIF(リスト!A:AC,O34) &gt; 0, "〇", "×")</f>
        <v>〇</v>
      </c>
      <c r="Q34" s="577" t="s">
        <v>767</v>
      </c>
      <c r="R34" s="593" t="str">
        <f t="shared" si="1"/>
        <v>○</v>
      </c>
      <c r="S34" s="577" t="s">
        <v>767</v>
      </c>
      <c r="T34" s="593" t="str">
        <f t="shared" si="2"/>
        <v>○</v>
      </c>
      <c r="U34" s="577" t="s">
        <v>767</v>
      </c>
      <c r="V34" s="593" t="str">
        <f t="shared" si="3"/>
        <v>○</v>
      </c>
    </row>
    <row r="35" spans="2:22" ht="21.75" customHeight="1">
      <c r="B35" s="594">
        <v>231</v>
      </c>
      <c r="C35" s="599" t="s">
        <v>769</v>
      </c>
      <c r="D35" s="596" t="s">
        <v>509</v>
      </c>
      <c r="E35" s="596" t="s">
        <v>1155</v>
      </c>
      <c r="F35" s="596" t="s">
        <v>407</v>
      </c>
      <c r="G35" s="596" t="s">
        <v>447</v>
      </c>
      <c r="H35" s="596" t="s">
        <v>770</v>
      </c>
      <c r="I35" s="596" t="s">
        <v>407</v>
      </c>
      <c r="J35" s="596" t="s">
        <v>447</v>
      </c>
      <c r="K35" s="596" t="s">
        <v>770</v>
      </c>
      <c r="L35" s="577" t="s">
        <v>961</v>
      </c>
      <c r="M35" s="577"/>
      <c r="O35" s="597" t="str">
        <f t="shared" si="0"/>
        <v>認定こども園　鏡戸幼稚園</v>
      </c>
      <c r="P35" s="598" t="str">
        <f>IF(COUNTIF(リスト!A:AC,O35) &gt; 0, "〇", "×")</f>
        <v>〇</v>
      </c>
      <c r="Q35" s="577" t="s">
        <v>769</v>
      </c>
      <c r="R35" s="593" t="str">
        <f t="shared" si="1"/>
        <v>○</v>
      </c>
      <c r="S35" s="577" t="s">
        <v>769</v>
      </c>
      <c r="T35" s="593" t="str">
        <f t="shared" si="2"/>
        <v>○</v>
      </c>
      <c r="U35" s="577" t="s">
        <v>769</v>
      </c>
      <c r="V35" s="593" t="str">
        <f t="shared" si="3"/>
        <v>○</v>
      </c>
    </row>
    <row r="36" spans="2:22" ht="21.75" customHeight="1">
      <c r="B36" s="594">
        <v>232</v>
      </c>
      <c r="C36" s="599" t="s">
        <v>1161</v>
      </c>
      <c r="D36" s="596" t="s">
        <v>510</v>
      </c>
      <c r="E36" s="596" t="s">
        <v>1156</v>
      </c>
      <c r="F36" s="596" t="s">
        <v>407</v>
      </c>
      <c r="G36" s="596" t="s">
        <v>448</v>
      </c>
      <c r="H36" s="596" t="s">
        <v>771</v>
      </c>
      <c r="I36" s="596" t="s">
        <v>407</v>
      </c>
      <c r="J36" s="596" t="s">
        <v>448</v>
      </c>
      <c r="K36" s="596" t="s">
        <v>771</v>
      </c>
      <c r="L36" s="577" t="s">
        <v>961</v>
      </c>
      <c r="M36" s="577"/>
      <c r="O36" s="597" t="str">
        <f t="shared" si="0"/>
        <v>認定こども園　敬愛短期大学附属幼稚園</v>
      </c>
      <c r="P36" s="598" t="str">
        <f>IF(COUNTIF(リスト!A:AC,O36) &gt; 0, "〇", "×")</f>
        <v>〇</v>
      </c>
      <c r="Q36" s="577" t="s">
        <v>1161</v>
      </c>
      <c r="R36" s="593" t="str">
        <f t="shared" si="1"/>
        <v>○</v>
      </c>
      <c r="S36" s="577" t="s">
        <v>1161</v>
      </c>
      <c r="T36" s="593" t="str">
        <f t="shared" si="2"/>
        <v>○</v>
      </c>
      <c r="U36" s="577" t="s">
        <v>1161</v>
      </c>
      <c r="V36" s="593" t="str">
        <f t="shared" si="3"/>
        <v>○</v>
      </c>
    </row>
    <row r="37" spans="2:22" ht="21.75" customHeight="1">
      <c r="B37" s="594">
        <v>233</v>
      </c>
      <c r="C37" s="595" t="s">
        <v>772</v>
      </c>
      <c r="D37" s="596" t="s">
        <v>511</v>
      </c>
      <c r="E37" s="596" t="s">
        <v>1150</v>
      </c>
      <c r="F37" s="596" t="s">
        <v>407</v>
      </c>
      <c r="G37" s="596" t="s">
        <v>428</v>
      </c>
      <c r="H37" s="596" t="s">
        <v>427</v>
      </c>
      <c r="I37" s="596" t="s">
        <v>407</v>
      </c>
      <c r="J37" s="596" t="s">
        <v>428</v>
      </c>
      <c r="K37" s="596" t="s">
        <v>427</v>
      </c>
      <c r="L37" s="577" t="s">
        <v>961</v>
      </c>
      <c r="M37" s="577"/>
      <c r="O37" s="597" t="str">
        <f t="shared" si="0"/>
        <v>認定こども園　まこと第二幼稚園</v>
      </c>
      <c r="P37" s="598" t="str">
        <f>IF(COUNTIF(リスト!A:AC,O37) &gt; 0, "〇", "×")</f>
        <v>〇</v>
      </c>
      <c r="Q37" s="577" t="s">
        <v>772</v>
      </c>
      <c r="R37" s="593" t="str">
        <f t="shared" si="1"/>
        <v>○</v>
      </c>
      <c r="S37" s="577" t="s">
        <v>772</v>
      </c>
      <c r="T37" s="593" t="str">
        <f t="shared" si="2"/>
        <v>○</v>
      </c>
      <c r="U37" s="577" t="s">
        <v>772</v>
      </c>
      <c r="V37" s="593" t="str">
        <f t="shared" si="3"/>
        <v>○</v>
      </c>
    </row>
    <row r="38" spans="2:22" ht="21.75" customHeight="1">
      <c r="B38" s="594">
        <v>234</v>
      </c>
      <c r="C38" s="599" t="s">
        <v>773</v>
      </c>
      <c r="D38" s="596" t="s">
        <v>512</v>
      </c>
      <c r="E38" s="596" t="s">
        <v>429</v>
      </c>
      <c r="F38" s="596" t="s">
        <v>407</v>
      </c>
      <c r="G38" s="596" t="s">
        <v>431</v>
      </c>
      <c r="H38" s="596" t="s">
        <v>430</v>
      </c>
      <c r="I38" s="596" t="s">
        <v>407</v>
      </c>
      <c r="J38" s="596" t="s">
        <v>431</v>
      </c>
      <c r="K38" s="596" t="s">
        <v>430</v>
      </c>
      <c r="L38" s="577" t="s">
        <v>961</v>
      </c>
      <c r="M38" s="577"/>
      <c r="O38" s="597" t="str">
        <f t="shared" si="0"/>
        <v>認定こども園　花見川ちぐさ幼稚園</v>
      </c>
      <c r="P38" s="598" t="str">
        <f>IF(COUNTIF(リスト!A:AC,O38) &gt; 0, "〇", "×")</f>
        <v>〇</v>
      </c>
      <c r="Q38" s="577" t="s">
        <v>773</v>
      </c>
      <c r="R38" s="593" t="str">
        <f t="shared" si="1"/>
        <v>○</v>
      </c>
      <c r="S38" s="577" t="s">
        <v>773</v>
      </c>
      <c r="T38" s="593" t="str">
        <f t="shared" si="2"/>
        <v>○</v>
      </c>
      <c r="U38" s="577" t="s">
        <v>773</v>
      </c>
      <c r="V38" s="593" t="str">
        <f t="shared" si="3"/>
        <v>○</v>
      </c>
    </row>
    <row r="39" spans="2:22" ht="21.75" customHeight="1">
      <c r="B39" s="594">
        <v>235</v>
      </c>
      <c r="C39" s="599" t="s">
        <v>774</v>
      </c>
      <c r="D39" s="596" t="s">
        <v>513</v>
      </c>
      <c r="E39" s="596" t="s">
        <v>432</v>
      </c>
      <c r="F39" s="596" t="s">
        <v>407</v>
      </c>
      <c r="G39" s="596" t="s">
        <v>413</v>
      </c>
      <c r="H39" s="596" t="s">
        <v>433</v>
      </c>
      <c r="I39" s="596" t="s">
        <v>407</v>
      </c>
      <c r="J39" s="596" t="s">
        <v>413</v>
      </c>
      <c r="K39" s="596" t="s">
        <v>433</v>
      </c>
      <c r="L39" s="577" t="s">
        <v>961</v>
      </c>
      <c r="M39" s="577"/>
      <c r="O39" s="597" t="str">
        <f t="shared" si="0"/>
        <v>認定こども園　明徳土気こども園</v>
      </c>
      <c r="P39" s="598" t="str">
        <f>IF(COUNTIF(リスト!A:AC,O39) &gt; 0, "〇", "×")</f>
        <v>〇</v>
      </c>
      <c r="Q39" s="577" t="s">
        <v>774</v>
      </c>
      <c r="R39" s="593" t="str">
        <f t="shared" si="1"/>
        <v>○</v>
      </c>
      <c r="S39" s="577" t="s">
        <v>774</v>
      </c>
      <c r="T39" s="593" t="str">
        <f t="shared" si="2"/>
        <v>○</v>
      </c>
      <c r="U39" s="577" t="s">
        <v>774</v>
      </c>
      <c r="V39" s="593" t="str">
        <f t="shared" si="3"/>
        <v>○</v>
      </c>
    </row>
    <row r="40" spans="2:22" ht="21.75" customHeight="1">
      <c r="B40" s="594">
        <v>236</v>
      </c>
      <c r="C40" s="595" t="s">
        <v>813</v>
      </c>
      <c r="D40" s="596" t="s">
        <v>789</v>
      </c>
      <c r="E40" s="596" t="s">
        <v>1157</v>
      </c>
      <c r="F40" s="596" t="s">
        <v>407</v>
      </c>
      <c r="G40" s="596" t="s">
        <v>800</v>
      </c>
      <c r="H40" s="596" t="s">
        <v>799</v>
      </c>
      <c r="I40" s="596" t="s">
        <v>407</v>
      </c>
      <c r="J40" s="596" t="s">
        <v>800</v>
      </c>
      <c r="K40" s="596" t="s">
        <v>799</v>
      </c>
      <c r="L40" s="577" t="s">
        <v>961</v>
      </c>
      <c r="M40" s="577"/>
      <c r="O40" s="597" t="str">
        <f t="shared" si="0"/>
        <v>学校法人信愛学園　認定こども園のぞみ幼稚園</v>
      </c>
      <c r="P40" s="598" t="str">
        <f>IF(COUNTIF(リスト!A:AC,O40) &gt; 0, "〇", "×")</f>
        <v>〇</v>
      </c>
      <c r="Q40" s="577" t="s">
        <v>813</v>
      </c>
      <c r="R40" s="593" t="str">
        <f t="shared" si="1"/>
        <v>○</v>
      </c>
      <c r="S40" s="577" t="s">
        <v>813</v>
      </c>
      <c r="T40" s="593" t="str">
        <f t="shared" si="2"/>
        <v>○</v>
      </c>
      <c r="U40" s="577" t="s">
        <v>813</v>
      </c>
      <c r="V40" s="593" t="str">
        <f t="shared" si="3"/>
        <v>○</v>
      </c>
    </row>
    <row r="41" spans="2:22" ht="21.75" customHeight="1">
      <c r="B41" s="594">
        <v>237</v>
      </c>
      <c r="C41" s="595" t="s">
        <v>814</v>
      </c>
      <c r="D41" s="596" t="s">
        <v>790</v>
      </c>
      <c r="E41" s="596" t="s">
        <v>1157</v>
      </c>
      <c r="F41" s="596" t="s">
        <v>407</v>
      </c>
      <c r="G41" s="596" t="s">
        <v>800</v>
      </c>
      <c r="H41" s="596" t="s">
        <v>799</v>
      </c>
      <c r="I41" s="596" t="s">
        <v>407</v>
      </c>
      <c r="J41" s="596" t="s">
        <v>800</v>
      </c>
      <c r="K41" s="596" t="s">
        <v>799</v>
      </c>
      <c r="L41" s="577" t="s">
        <v>961</v>
      </c>
      <c r="M41" s="577"/>
      <c r="O41" s="597" t="str">
        <f t="shared" si="0"/>
        <v>学校法人信愛学園　認定こども園へいわ幼稚園</v>
      </c>
      <c r="P41" s="598" t="str">
        <f>IF(COUNTIF(リスト!A:AC,O41) &gt; 0, "〇", "×")</f>
        <v>〇</v>
      </c>
      <c r="Q41" s="577" t="s">
        <v>814</v>
      </c>
      <c r="R41" s="593" t="str">
        <f t="shared" si="1"/>
        <v>○</v>
      </c>
      <c r="S41" s="577" t="s">
        <v>814</v>
      </c>
      <c r="T41" s="593" t="str">
        <f t="shared" si="2"/>
        <v>○</v>
      </c>
      <c r="U41" s="577" t="s">
        <v>814</v>
      </c>
      <c r="V41" s="593" t="str">
        <f t="shared" si="3"/>
        <v>○</v>
      </c>
    </row>
    <row r="42" spans="2:22" ht="21.75" customHeight="1">
      <c r="B42" s="594">
        <v>238</v>
      </c>
      <c r="C42" s="595" t="s">
        <v>1187</v>
      </c>
      <c r="D42" s="596" t="s">
        <v>514</v>
      </c>
      <c r="E42" s="596" t="s">
        <v>971</v>
      </c>
      <c r="F42" s="596" t="s">
        <v>776</v>
      </c>
      <c r="G42" s="596" t="s">
        <v>777</v>
      </c>
      <c r="H42" s="596" t="s">
        <v>775</v>
      </c>
      <c r="I42" s="596" t="s">
        <v>776</v>
      </c>
      <c r="J42" s="596" t="s">
        <v>777</v>
      </c>
      <c r="K42" s="596" t="s">
        <v>775</v>
      </c>
      <c r="L42" s="577" t="s">
        <v>961</v>
      </c>
      <c r="M42" s="577"/>
      <c r="O42" s="597" t="str">
        <f t="shared" si="0"/>
        <v>認定こども園　双葉幼稚園</v>
      </c>
      <c r="P42" s="598" t="str">
        <f>IF(COUNTIF(リスト!A:AC,O42) &gt; 0, "〇", "×")</f>
        <v>〇</v>
      </c>
      <c r="Q42" s="577" t="s">
        <v>1628</v>
      </c>
      <c r="R42" s="593" t="str">
        <f t="shared" si="1"/>
        <v>×</v>
      </c>
      <c r="S42" s="577" t="s">
        <v>1187</v>
      </c>
      <c r="T42" s="593" t="str">
        <f t="shared" si="2"/>
        <v>○</v>
      </c>
      <c r="U42" s="577" t="s">
        <v>1187</v>
      </c>
      <c r="V42" s="593" t="str">
        <f t="shared" si="3"/>
        <v>○</v>
      </c>
    </row>
    <row r="43" spans="2:22" ht="21.75" customHeight="1">
      <c r="B43" s="594">
        <v>239</v>
      </c>
      <c r="C43" s="595" t="s">
        <v>1188</v>
      </c>
      <c r="D43" s="596" t="s">
        <v>972</v>
      </c>
      <c r="E43" s="596" t="s">
        <v>973</v>
      </c>
      <c r="F43" s="596" t="s">
        <v>407</v>
      </c>
      <c r="G43" s="596" t="s">
        <v>975</v>
      </c>
      <c r="H43" s="596" t="s">
        <v>974</v>
      </c>
      <c r="I43" s="596" t="s">
        <v>407</v>
      </c>
      <c r="J43" s="596" t="s">
        <v>975</v>
      </c>
      <c r="K43" s="596" t="s">
        <v>974</v>
      </c>
      <c r="L43" s="577" t="s">
        <v>961</v>
      </c>
      <c r="M43" s="577"/>
      <c r="O43" s="597" t="str">
        <f t="shared" si="0"/>
        <v>認定こども園　青い鳥第二幼稚園</v>
      </c>
      <c r="P43" s="598" t="str">
        <f>IF(COUNTIF(リスト!A:AC,O43) &gt; 0, "〇", "×")</f>
        <v>〇</v>
      </c>
      <c r="Q43" s="577" t="s">
        <v>1629</v>
      </c>
      <c r="R43" s="593" t="str">
        <f t="shared" si="1"/>
        <v>×</v>
      </c>
      <c r="S43" s="577" t="s">
        <v>1188</v>
      </c>
      <c r="T43" s="593" t="str">
        <f t="shared" si="2"/>
        <v>○</v>
      </c>
      <c r="U43" s="577" t="s">
        <v>1188</v>
      </c>
      <c r="V43" s="593" t="str">
        <f t="shared" si="3"/>
        <v>○</v>
      </c>
    </row>
    <row r="44" spans="2:22" ht="21.75" customHeight="1">
      <c r="B44" s="594">
        <v>240</v>
      </c>
      <c r="C44" s="595" t="s">
        <v>976</v>
      </c>
      <c r="D44" s="596" t="s">
        <v>479</v>
      </c>
      <c r="E44" s="596" t="s">
        <v>408</v>
      </c>
      <c r="F44" s="596" t="s">
        <v>407</v>
      </c>
      <c r="G44" s="596" t="s">
        <v>409</v>
      </c>
      <c r="H44" s="596" t="s">
        <v>778</v>
      </c>
      <c r="I44" s="596" t="s">
        <v>407</v>
      </c>
      <c r="J44" s="596" t="s">
        <v>409</v>
      </c>
      <c r="K44" s="596" t="s">
        <v>778</v>
      </c>
      <c r="L44" s="577" t="s">
        <v>961</v>
      </c>
      <c r="M44" s="577"/>
      <c r="O44" s="597" t="str">
        <f t="shared" si="0"/>
        <v>幼保連携型認定こども園　ふたば保育園</v>
      </c>
      <c r="P44" s="598" t="str">
        <f>IF(COUNTIF(リスト!A:AC,O44) &gt; 0, "〇", "×")</f>
        <v>〇</v>
      </c>
      <c r="Q44" s="577" t="s">
        <v>976</v>
      </c>
      <c r="R44" s="593" t="str">
        <f t="shared" si="1"/>
        <v>○</v>
      </c>
      <c r="S44" s="577" t="s">
        <v>976</v>
      </c>
      <c r="T44" s="593" t="str">
        <f t="shared" si="2"/>
        <v>○</v>
      </c>
      <c r="U44" s="577" t="s">
        <v>976</v>
      </c>
      <c r="V44" s="593" t="str">
        <f t="shared" si="3"/>
        <v>○</v>
      </c>
    </row>
    <row r="45" spans="2:22" ht="21.75" customHeight="1">
      <c r="B45" s="594">
        <v>241</v>
      </c>
      <c r="C45" s="595" t="s">
        <v>977</v>
      </c>
      <c r="D45" s="596" t="s">
        <v>515</v>
      </c>
      <c r="E45" s="596" t="s">
        <v>779</v>
      </c>
      <c r="F45" s="596" t="s">
        <v>407</v>
      </c>
      <c r="G45" s="596" t="s">
        <v>979</v>
      </c>
      <c r="H45" s="596" t="s">
        <v>978</v>
      </c>
      <c r="I45" s="596" t="s">
        <v>407</v>
      </c>
      <c r="J45" s="596" t="s">
        <v>979</v>
      </c>
      <c r="K45" s="596" t="s">
        <v>978</v>
      </c>
      <c r="L45" s="577" t="s">
        <v>961</v>
      </c>
      <c r="M45" s="577"/>
      <c r="O45" s="597" t="str">
        <f t="shared" si="0"/>
        <v>認定こども園　おゆみ野南幼稚園</v>
      </c>
      <c r="P45" s="598" t="str">
        <f>IF(COUNTIF(リスト!A:AC,O45) &gt; 0, "〇", "×")</f>
        <v>〇</v>
      </c>
      <c r="Q45" s="577" t="s">
        <v>977</v>
      </c>
      <c r="R45" s="593" t="str">
        <f t="shared" si="1"/>
        <v>○</v>
      </c>
      <c r="S45" s="577" t="s">
        <v>977</v>
      </c>
      <c r="T45" s="593" t="str">
        <f t="shared" si="2"/>
        <v>○</v>
      </c>
      <c r="U45" s="577" t="s">
        <v>977</v>
      </c>
      <c r="V45" s="593" t="str">
        <f t="shared" si="3"/>
        <v>○</v>
      </c>
    </row>
    <row r="46" spans="2:22" ht="21.75" customHeight="1">
      <c r="B46" s="594">
        <v>242</v>
      </c>
      <c r="C46" s="595" t="s">
        <v>1162</v>
      </c>
      <c r="D46" s="596" t="s">
        <v>1128</v>
      </c>
      <c r="E46" s="596" t="s">
        <v>1158</v>
      </c>
      <c r="F46" s="596" t="s">
        <v>407</v>
      </c>
      <c r="G46" s="596" t="s">
        <v>1159</v>
      </c>
      <c r="H46" s="596" t="s">
        <v>1189</v>
      </c>
      <c r="I46" s="596" t="s">
        <v>407</v>
      </c>
      <c r="J46" s="596" t="s">
        <v>1159</v>
      </c>
      <c r="K46" s="596" t="s">
        <v>1189</v>
      </c>
      <c r="L46" s="577" t="s">
        <v>961</v>
      </c>
      <c r="M46" s="577"/>
      <c r="O46" s="597" t="str">
        <f t="shared" si="0"/>
        <v>認定こども園　土気中央幼稚園</v>
      </c>
      <c r="P46" s="598" t="str">
        <f>IF(COUNTIF(リスト!A:AC,O46) &gt; 0, "〇", "×")</f>
        <v>〇</v>
      </c>
      <c r="Q46" s="577" t="s">
        <v>1630</v>
      </c>
      <c r="R46" s="593" t="str">
        <f t="shared" si="1"/>
        <v>×</v>
      </c>
      <c r="S46" s="577" t="s">
        <v>1162</v>
      </c>
      <c r="T46" s="593" t="str">
        <f t="shared" si="2"/>
        <v>○</v>
      </c>
      <c r="U46" s="577" t="s">
        <v>1162</v>
      </c>
      <c r="V46" s="593" t="str">
        <f t="shared" si="3"/>
        <v>○</v>
      </c>
    </row>
    <row r="47" spans="2:22" ht="21.75" customHeight="1">
      <c r="B47" s="594">
        <v>243</v>
      </c>
      <c r="C47" s="595" t="s">
        <v>1163</v>
      </c>
      <c r="D47" s="596" t="s">
        <v>1129</v>
      </c>
      <c r="E47" s="596" t="s">
        <v>1158</v>
      </c>
      <c r="F47" s="596" t="s">
        <v>407</v>
      </c>
      <c r="G47" s="596" t="s">
        <v>1159</v>
      </c>
      <c r="H47" s="596" t="s">
        <v>1189</v>
      </c>
      <c r="I47" s="596" t="s">
        <v>407</v>
      </c>
      <c r="J47" s="596" t="s">
        <v>1159</v>
      </c>
      <c r="K47" s="596" t="s">
        <v>1189</v>
      </c>
      <c r="L47" s="577" t="s">
        <v>961</v>
      </c>
      <c r="M47" s="577"/>
      <c r="O47" s="597" t="str">
        <f t="shared" si="0"/>
        <v>認定こども園　あすみ中央幼稚園</v>
      </c>
      <c r="P47" s="598" t="str">
        <f>IF(COUNTIF(リスト!A:AC,O47) &gt; 0, "〇", "×")</f>
        <v>〇</v>
      </c>
      <c r="Q47" s="577" t="s">
        <v>1631</v>
      </c>
      <c r="R47" s="593" t="str">
        <f t="shared" si="1"/>
        <v>×</v>
      </c>
      <c r="S47" s="577" t="s">
        <v>1163</v>
      </c>
      <c r="T47" s="593" t="str">
        <f t="shared" si="2"/>
        <v>○</v>
      </c>
      <c r="U47" s="577" t="s">
        <v>1163</v>
      </c>
      <c r="V47" s="593" t="str">
        <f t="shared" si="3"/>
        <v>○</v>
      </c>
    </row>
    <row r="48" spans="2:22" ht="21.75" customHeight="1">
      <c r="B48" s="594">
        <v>244</v>
      </c>
      <c r="C48" s="595" t="s">
        <v>1244</v>
      </c>
      <c r="D48" s="596" t="s">
        <v>1284</v>
      </c>
      <c r="E48" s="596" t="s">
        <v>1321</v>
      </c>
      <c r="F48" s="596" t="s">
        <v>407</v>
      </c>
      <c r="G48" s="596" t="s">
        <v>1245</v>
      </c>
      <c r="H48" s="596" t="s">
        <v>1274</v>
      </c>
      <c r="I48" s="596" t="s">
        <v>407</v>
      </c>
      <c r="J48" s="596" t="s">
        <v>1245</v>
      </c>
      <c r="K48" s="596" t="s">
        <v>1274</v>
      </c>
      <c r="L48" s="577" t="s">
        <v>961</v>
      </c>
      <c r="M48" s="577"/>
      <c r="O48" s="597" t="str">
        <f t="shared" si="0"/>
        <v>みのり認定こども園</v>
      </c>
      <c r="P48" s="598" t="str">
        <f>IF(COUNTIF(リスト!A:AC,O48) &gt; 0, "〇", "×")</f>
        <v>〇</v>
      </c>
      <c r="Q48" s="577" t="s">
        <v>1244</v>
      </c>
      <c r="R48" s="593" t="str">
        <f t="shared" si="1"/>
        <v>○</v>
      </c>
      <c r="S48" s="577" t="s">
        <v>1244</v>
      </c>
      <c r="T48" s="593" t="str">
        <f t="shared" si="2"/>
        <v>○</v>
      </c>
      <c r="U48" s="577" t="s">
        <v>1244</v>
      </c>
      <c r="V48" s="593" t="str">
        <f t="shared" si="3"/>
        <v>○</v>
      </c>
    </row>
    <row r="49" spans="1:22" ht="21.75" customHeight="1">
      <c r="B49" s="594">
        <v>245</v>
      </c>
      <c r="C49" s="595" t="s">
        <v>1246</v>
      </c>
      <c r="D49" s="596" t="s">
        <v>1285</v>
      </c>
      <c r="E49" s="596" t="s">
        <v>1247</v>
      </c>
      <c r="F49" s="596" t="s">
        <v>407</v>
      </c>
      <c r="G49" s="596" t="s">
        <v>1248</v>
      </c>
      <c r="H49" s="596" t="s">
        <v>1275</v>
      </c>
      <c r="I49" s="596" t="s">
        <v>407</v>
      </c>
      <c r="J49" s="596" t="s">
        <v>1248</v>
      </c>
      <c r="K49" s="596" t="s">
        <v>1275</v>
      </c>
      <c r="L49" s="577" t="s">
        <v>961</v>
      </c>
      <c r="M49" s="577"/>
      <c r="O49" s="597" t="str">
        <f t="shared" si="0"/>
        <v>幼保連携型認定こども園　しらぎく</v>
      </c>
      <c r="P49" s="598" t="str">
        <f>IF(COUNTIF(リスト!A:AC,O49) &gt; 0, "〇", "×")</f>
        <v>〇</v>
      </c>
      <c r="Q49" s="577" t="s">
        <v>1246</v>
      </c>
      <c r="R49" s="593" t="str">
        <f t="shared" si="1"/>
        <v>○</v>
      </c>
      <c r="S49" s="577" t="s">
        <v>1246</v>
      </c>
      <c r="T49" s="593" t="str">
        <f t="shared" si="2"/>
        <v>○</v>
      </c>
      <c r="U49" s="577" t="s">
        <v>1246</v>
      </c>
      <c r="V49" s="593" t="str">
        <f t="shared" si="3"/>
        <v>○</v>
      </c>
    </row>
    <row r="50" spans="1:22" ht="21.75" customHeight="1">
      <c r="B50" s="594">
        <v>246</v>
      </c>
      <c r="C50" s="595" t="s">
        <v>1320</v>
      </c>
      <c r="D50" s="596" t="s">
        <v>1286</v>
      </c>
      <c r="E50" s="596" t="s">
        <v>1249</v>
      </c>
      <c r="F50" s="596" t="s">
        <v>407</v>
      </c>
      <c r="G50" s="596" t="s">
        <v>1250</v>
      </c>
      <c r="H50" s="596" t="s">
        <v>1276</v>
      </c>
      <c r="I50" s="596" t="s">
        <v>407</v>
      </c>
      <c r="J50" s="596" t="s">
        <v>1250</v>
      </c>
      <c r="K50" s="596" t="s">
        <v>1276</v>
      </c>
      <c r="L50" s="577" t="s">
        <v>961</v>
      </c>
      <c r="M50" s="577"/>
      <c r="O50" s="597" t="str">
        <f t="shared" si="0"/>
        <v>幼保連携型認定こども園　若梅こども園</v>
      </c>
      <c r="P50" s="598" t="str">
        <f>IF(COUNTIF(リスト!A:AC,O50) &gt; 0, "〇", "×")</f>
        <v>〇</v>
      </c>
      <c r="Q50" s="577" t="s">
        <v>1632</v>
      </c>
      <c r="R50" s="593" t="str">
        <f t="shared" si="1"/>
        <v>×</v>
      </c>
      <c r="S50" s="577" t="s">
        <v>1320</v>
      </c>
      <c r="T50" s="593" t="str">
        <f t="shared" si="2"/>
        <v>○</v>
      </c>
      <c r="U50" s="577" t="s">
        <v>1320</v>
      </c>
      <c r="V50" s="593" t="str">
        <f t="shared" si="3"/>
        <v>○</v>
      </c>
    </row>
    <row r="51" spans="1:22" ht="21.75" customHeight="1">
      <c r="B51" s="594">
        <v>247</v>
      </c>
      <c r="C51" s="595" t="s">
        <v>1251</v>
      </c>
      <c r="D51" s="596" t="s">
        <v>1287</v>
      </c>
      <c r="E51" s="596" t="s">
        <v>1252</v>
      </c>
      <c r="F51" s="596" t="s">
        <v>407</v>
      </c>
      <c r="G51" s="596" t="s">
        <v>1253</v>
      </c>
      <c r="H51" s="596" t="s">
        <v>1277</v>
      </c>
      <c r="I51" s="596" t="s">
        <v>407</v>
      </c>
      <c r="J51" s="596" t="s">
        <v>1253</v>
      </c>
      <c r="K51" s="596" t="s">
        <v>1277</v>
      </c>
      <c r="L51" s="577" t="s">
        <v>961</v>
      </c>
      <c r="M51" s="577"/>
      <c r="O51" s="597" t="str">
        <f t="shared" si="0"/>
        <v>認定こども園　梅乃園幼稚園</v>
      </c>
      <c r="P51" s="598" t="str">
        <f>IF(COUNTIF(リスト!A:AC,O51) &gt; 0, "〇", "×")</f>
        <v>〇</v>
      </c>
      <c r="Q51" s="577" t="s">
        <v>1251</v>
      </c>
      <c r="R51" s="593" t="str">
        <f t="shared" si="1"/>
        <v>○</v>
      </c>
      <c r="S51" s="577" t="s">
        <v>1251</v>
      </c>
      <c r="T51" s="593" t="str">
        <f t="shared" si="2"/>
        <v>○</v>
      </c>
      <c r="U51" s="577" t="s">
        <v>1251</v>
      </c>
      <c r="V51" s="593" t="str">
        <f t="shared" si="3"/>
        <v>○</v>
      </c>
    </row>
    <row r="52" spans="1:22" ht="21.75" customHeight="1">
      <c r="B52" s="594">
        <v>248</v>
      </c>
      <c r="C52" s="595" t="s">
        <v>1254</v>
      </c>
      <c r="D52" s="596" t="s">
        <v>1288</v>
      </c>
      <c r="E52" s="596" t="s">
        <v>1255</v>
      </c>
      <c r="F52" s="596" t="s">
        <v>407</v>
      </c>
      <c r="G52" s="596" t="s">
        <v>1328</v>
      </c>
      <c r="H52" s="596" t="s">
        <v>1326</v>
      </c>
      <c r="I52" s="596" t="s">
        <v>407</v>
      </c>
      <c r="J52" s="596" t="s">
        <v>1328</v>
      </c>
      <c r="K52" s="596" t="s">
        <v>1326</v>
      </c>
      <c r="L52" s="577" t="s">
        <v>961</v>
      </c>
      <c r="M52" s="577"/>
      <c r="O52" s="597" t="str">
        <f t="shared" si="0"/>
        <v>幼保連携型認定こども園　ChaCha Children Makuhari</v>
      </c>
      <c r="P52" s="598" t="str">
        <f>IF(COUNTIF(リスト!A:AC,O52) &gt; 0, "〇", "×")</f>
        <v>〇</v>
      </c>
      <c r="Q52" s="577" t="s">
        <v>1254</v>
      </c>
      <c r="R52" s="593" t="str">
        <f t="shared" si="1"/>
        <v>○</v>
      </c>
      <c r="S52" s="577" t="s">
        <v>1254</v>
      </c>
      <c r="T52" s="593" t="str">
        <f t="shared" si="2"/>
        <v>○</v>
      </c>
      <c r="U52" s="577" t="s">
        <v>1254</v>
      </c>
      <c r="V52" s="593" t="str">
        <f t="shared" si="3"/>
        <v>○</v>
      </c>
    </row>
    <row r="53" spans="1:22" ht="21.75" customHeight="1">
      <c r="B53" s="594">
        <v>249</v>
      </c>
      <c r="C53" s="595" t="s">
        <v>1256</v>
      </c>
      <c r="D53" s="596" t="s">
        <v>1289</v>
      </c>
      <c r="E53" s="596" t="s">
        <v>1322</v>
      </c>
      <c r="F53" s="596" t="s">
        <v>1257</v>
      </c>
      <c r="G53" s="596" t="s">
        <v>1258</v>
      </c>
      <c r="H53" s="596" t="s">
        <v>1278</v>
      </c>
      <c r="I53" s="596" t="s">
        <v>1257</v>
      </c>
      <c r="J53" s="596" t="s">
        <v>1258</v>
      </c>
      <c r="K53" s="596" t="s">
        <v>1278</v>
      </c>
      <c r="L53" s="577" t="s">
        <v>961</v>
      </c>
      <c r="M53" s="577"/>
      <c r="O53" s="597" t="str">
        <f t="shared" si="0"/>
        <v>幼保連携型認定こども園　さざれ幼稚園</v>
      </c>
      <c r="P53" s="598" t="str">
        <f>IF(COUNTIF(リスト!A:AC,O53) &gt; 0, "〇", "×")</f>
        <v>〇</v>
      </c>
      <c r="Q53" s="577" t="s">
        <v>1256</v>
      </c>
      <c r="R53" s="593" t="str">
        <f t="shared" si="1"/>
        <v>○</v>
      </c>
      <c r="S53" s="577" t="s">
        <v>1256</v>
      </c>
      <c r="T53" s="593" t="str">
        <f t="shared" si="2"/>
        <v>○</v>
      </c>
      <c r="U53" s="577" t="s">
        <v>1256</v>
      </c>
      <c r="V53" s="593" t="str">
        <f t="shared" si="3"/>
        <v>○</v>
      </c>
    </row>
    <row r="54" spans="1:22" ht="21.75" customHeight="1">
      <c r="B54" s="594">
        <v>250</v>
      </c>
      <c r="C54" s="595" t="s">
        <v>1259</v>
      </c>
      <c r="D54" s="596" t="s">
        <v>1290</v>
      </c>
      <c r="E54" s="596" t="s">
        <v>1260</v>
      </c>
      <c r="F54" s="596" t="s">
        <v>407</v>
      </c>
      <c r="G54" s="596" t="s">
        <v>1261</v>
      </c>
      <c r="H54" s="596" t="s">
        <v>1279</v>
      </c>
      <c r="I54" s="596" t="s">
        <v>407</v>
      </c>
      <c r="J54" s="596" t="s">
        <v>1261</v>
      </c>
      <c r="K54" s="596" t="s">
        <v>1279</v>
      </c>
      <c r="L54" s="577" t="s">
        <v>961</v>
      </c>
      <c r="M54" s="577"/>
      <c r="O54" s="597" t="str">
        <f t="shared" si="0"/>
        <v>認定こども園　大巌寺幼稚園</v>
      </c>
      <c r="P54" s="598" t="str">
        <f>IF(COUNTIF(リスト!A:AC,O54) &gt; 0, "〇", "×")</f>
        <v>〇</v>
      </c>
      <c r="Q54" s="577" t="s">
        <v>1259</v>
      </c>
      <c r="R54" s="593" t="str">
        <f t="shared" si="1"/>
        <v>○</v>
      </c>
      <c r="S54" s="577" t="s">
        <v>1259</v>
      </c>
      <c r="T54" s="593" t="str">
        <f t="shared" si="2"/>
        <v>○</v>
      </c>
      <c r="U54" s="577" t="s">
        <v>1259</v>
      </c>
      <c r="V54" s="593" t="str">
        <f t="shared" si="3"/>
        <v>○</v>
      </c>
    </row>
    <row r="55" spans="1:22" ht="21.75" customHeight="1">
      <c r="B55" s="594">
        <v>251</v>
      </c>
      <c r="C55" s="601" t="s">
        <v>1604</v>
      </c>
      <c r="D55" s="596" t="s">
        <v>1291</v>
      </c>
      <c r="E55" s="596" t="s">
        <v>1263</v>
      </c>
      <c r="F55" s="596" t="s">
        <v>407</v>
      </c>
      <c r="G55" s="596" t="s">
        <v>1264</v>
      </c>
      <c r="H55" s="596" t="s">
        <v>1280</v>
      </c>
      <c r="I55" s="596" t="s">
        <v>407</v>
      </c>
      <c r="J55" s="596" t="s">
        <v>1264</v>
      </c>
      <c r="K55" s="596" t="s">
        <v>1280</v>
      </c>
      <c r="L55" s="577" t="s">
        <v>961</v>
      </c>
      <c r="M55" s="577"/>
      <c r="O55" s="597" t="str">
        <f t="shared" si="0"/>
        <v>幼保連携型認定こども園　チューリップこども園</v>
      </c>
      <c r="P55" s="598" t="str">
        <f>IF(COUNTIF(リスト!A:AC,O55) &gt; 0, "〇", "×")</f>
        <v>〇</v>
      </c>
      <c r="Q55" s="577" t="s">
        <v>1262</v>
      </c>
      <c r="R55" s="593" t="str">
        <f t="shared" si="1"/>
        <v>×</v>
      </c>
      <c r="S55" s="577" t="s">
        <v>1262</v>
      </c>
      <c r="T55" s="593" t="str">
        <f t="shared" si="2"/>
        <v>×</v>
      </c>
      <c r="U55" s="577" t="s">
        <v>1262</v>
      </c>
      <c r="V55" s="593" t="str">
        <f t="shared" si="3"/>
        <v>×</v>
      </c>
    </row>
    <row r="56" spans="1:22" ht="21.75" customHeight="1">
      <c r="B56" s="594">
        <v>252</v>
      </c>
      <c r="C56" s="595" t="s">
        <v>1265</v>
      </c>
      <c r="D56" s="596" t="s">
        <v>1292</v>
      </c>
      <c r="E56" s="596" t="s">
        <v>1266</v>
      </c>
      <c r="F56" s="596" t="s">
        <v>407</v>
      </c>
      <c r="G56" s="596" t="s">
        <v>1267</v>
      </c>
      <c r="H56" s="596" t="s">
        <v>1281</v>
      </c>
      <c r="I56" s="596" t="s">
        <v>407</v>
      </c>
      <c r="J56" s="596" t="s">
        <v>1267</v>
      </c>
      <c r="K56" s="596" t="s">
        <v>1281</v>
      </c>
      <c r="L56" s="577" t="s">
        <v>961</v>
      </c>
      <c r="M56" s="577"/>
      <c r="O56" s="597" t="str">
        <f t="shared" si="0"/>
        <v>認定こども園　あやめ台幼稚園</v>
      </c>
      <c r="P56" s="598" t="str">
        <f>IF(COUNTIF(リスト!A:AC,O56) &gt; 0, "〇", "×")</f>
        <v>〇</v>
      </c>
      <c r="Q56" s="577" t="s">
        <v>1265</v>
      </c>
      <c r="R56" s="593" t="str">
        <f t="shared" si="1"/>
        <v>○</v>
      </c>
      <c r="S56" s="577" t="s">
        <v>1265</v>
      </c>
      <c r="T56" s="593" t="str">
        <f t="shared" si="2"/>
        <v>○</v>
      </c>
      <c r="U56" s="577" t="s">
        <v>1265</v>
      </c>
      <c r="V56" s="593" t="str">
        <f t="shared" si="3"/>
        <v>○</v>
      </c>
    </row>
    <row r="57" spans="1:22" ht="21.75" customHeight="1">
      <c r="B57" s="594">
        <v>253</v>
      </c>
      <c r="C57" s="595" t="s">
        <v>1268</v>
      </c>
      <c r="D57" s="596" t="s">
        <v>1293</v>
      </c>
      <c r="E57" s="596" t="s">
        <v>1269</v>
      </c>
      <c r="F57" s="596" t="s">
        <v>407</v>
      </c>
      <c r="G57" s="596" t="s">
        <v>1270</v>
      </c>
      <c r="H57" s="596" t="s">
        <v>1282</v>
      </c>
      <c r="I57" s="596" t="s">
        <v>407</v>
      </c>
      <c r="J57" s="596" t="s">
        <v>1270</v>
      </c>
      <c r="K57" s="596" t="s">
        <v>1282</v>
      </c>
      <c r="L57" s="577" t="s">
        <v>961</v>
      </c>
      <c r="M57" s="577"/>
      <c r="O57" s="597" t="str">
        <f t="shared" si="0"/>
        <v>認定こども園　弥生幼稚園</v>
      </c>
      <c r="P57" s="598" t="str">
        <f>IF(COUNTIF(リスト!A:AC,O57) &gt; 0, "〇", "×")</f>
        <v>〇</v>
      </c>
      <c r="Q57" s="577" t="s">
        <v>1268</v>
      </c>
      <c r="R57" s="593" t="str">
        <f t="shared" si="1"/>
        <v>○</v>
      </c>
      <c r="S57" s="577" t="s">
        <v>1268</v>
      </c>
      <c r="T57" s="593" t="str">
        <f t="shared" si="2"/>
        <v>○</v>
      </c>
      <c r="U57" s="577" t="s">
        <v>1268</v>
      </c>
      <c r="V57" s="593" t="str">
        <f t="shared" si="3"/>
        <v>○</v>
      </c>
    </row>
    <row r="58" spans="1:22" ht="21.75" customHeight="1">
      <c r="B58" s="594">
        <v>254</v>
      </c>
      <c r="C58" s="595" t="s">
        <v>1271</v>
      </c>
      <c r="D58" s="596" t="s">
        <v>1294</v>
      </c>
      <c r="E58" s="596" t="s">
        <v>1272</v>
      </c>
      <c r="F58" s="596" t="s">
        <v>407</v>
      </c>
      <c r="G58" s="596" t="s">
        <v>1273</v>
      </c>
      <c r="H58" s="596" t="s">
        <v>1283</v>
      </c>
      <c r="I58" s="596" t="s">
        <v>407</v>
      </c>
      <c r="J58" s="596" t="s">
        <v>1273</v>
      </c>
      <c r="K58" s="596" t="s">
        <v>1283</v>
      </c>
      <c r="L58" s="577" t="s">
        <v>961</v>
      </c>
      <c r="M58" s="577"/>
      <c r="O58" s="597" t="str">
        <f t="shared" si="0"/>
        <v>認定こども園　園生幼稚園</v>
      </c>
      <c r="P58" s="598" t="str">
        <f>IF(COUNTIF(リスト!A:AC,O58) &gt; 0, "〇", "×")</f>
        <v>〇</v>
      </c>
      <c r="Q58" s="577" t="s">
        <v>1271</v>
      </c>
      <c r="R58" s="593" t="str">
        <f t="shared" si="1"/>
        <v>○</v>
      </c>
      <c r="S58" s="577" t="s">
        <v>1271</v>
      </c>
      <c r="T58" s="593" t="str">
        <f t="shared" si="2"/>
        <v>○</v>
      </c>
      <c r="U58" s="577" t="s">
        <v>1271</v>
      </c>
      <c r="V58" s="593" t="str">
        <f t="shared" si="3"/>
        <v>○</v>
      </c>
    </row>
    <row r="59" spans="1:22" ht="21.75" customHeight="1">
      <c r="B59" s="594">
        <v>255</v>
      </c>
      <c r="C59" s="595" t="s">
        <v>1601</v>
      </c>
      <c r="D59" s="596" t="s">
        <v>1633</v>
      </c>
      <c r="E59" s="596" t="s">
        <v>1638</v>
      </c>
      <c r="F59" s="596" t="s">
        <v>407</v>
      </c>
      <c r="G59" s="596" t="s">
        <v>428</v>
      </c>
      <c r="H59" s="596" t="s">
        <v>1657</v>
      </c>
      <c r="I59" s="596" t="s">
        <v>407</v>
      </c>
      <c r="J59" s="596" t="s">
        <v>428</v>
      </c>
      <c r="K59" s="596" t="s">
        <v>1646</v>
      </c>
      <c r="L59" s="577" t="s">
        <v>961</v>
      </c>
      <c r="M59" s="577" t="s">
        <v>1656</v>
      </c>
      <c r="O59" s="597" t="str">
        <f t="shared" ref="O59:O63" si="4">C59</f>
        <v>認定こども園　まこと東幼稚園</v>
      </c>
      <c r="P59" s="598" t="str">
        <f>IF(COUNTIF(リスト!A:AC,O59) &gt; 0, "〇", "×")</f>
        <v>〇</v>
      </c>
      <c r="Q59" s="577" t="s">
        <v>1601</v>
      </c>
      <c r="R59" s="593" t="str">
        <f t="shared" si="1"/>
        <v>○</v>
      </c>
      <c r="S59" s="577" t="s">
        <v>1601</v>
      </c>
      <c r="T59" s="593" t="str">
        <f t="shared" si="2"/>
        <v>○</v>
      </c>
      <c r="V59" s="593" t="str">
        <f t="shared" si="3"/>
        <v>×</v>
      </c>
    </row>
    <row r="60" spans="1:22" ht="21.75" customHeight="1">
      <c r="B60" s="594">
        <v>256</v>
      </c>
      <c r="C60" s="595" t="s">
        <v>1599</v>
      </c>
      <c r="D60" s="596" t="s">
        <v>1634</v>
      </c>
      <c r="E60" s="596" t="s">
        <v>1639</v>
      </c>
      <c r="F60" s="596" t="s">
        <v>407</v>
      </c>
      <c r="G60" s="596" t="s">
        <v>1647</v>
      </c>
      <c r="H60" s="596" t="s">
        <v>1648</v>
      </c>
      <c r="I60" s="596" t="s">
        <v>407</v>
      </c>
      <c r="J60" s="596" t="s">
        <v>1647</v>
      </c>
      <c r="K60" s="596" t="s">
        <v>1648</v>
      </c>
      <c r="L60" s="577" t="s">
        <v>961</v>
      </c>
      <c r="M60" s="577"/>
      <c r="O60" s="597" t="str">
        <f t="shared" si="4"/>
        <v>認定こども園　こてはし台幼稚園</v>
      </c>
      <c r="P60" s="598" t="str">
        <f>IF(COUNTIF(リスト!A:AC,O60) &gt; 0, "〇", "×")</f>
        <v>〇</v>
      </c>
      <c r="Q60" s="577" t="s">
        <v>1599</v>
      </c>
      <c r="R60" s="593" t="str">
        <f t="shared" si="1"/>
        <v>○</v>
      </c>
      <c r="S60" s="577" t="s">
        <v>1599</v>
      </c>
      <c r="T60" s="593" t="str">
        <f t="shared" si="2"/>
        <v>○</v>
      </c>
      <c r="V60" s="593" t="str">
        <f t="shared" si="3"/>
        <v>×</v>
      </c>
    </row>
    <row r="61" spans="1:22" ht="21.75" customHeight="1">
      <c r="B61" s="594">
        <v>257</v>
      </c>
      <c r="C61" s="595" t="s">
        <v>1600</v>
      </c>
      <c r="D61" s="596" t="s">
        <v>1635</v>
      </c>
      <c r="E61" s="596" t="s">
        <v>1640</v>
      </c>
      <c r="F61" s="596" t="s">
        <v>407</v>
      </c>
      <c r="G61" s="596" t="s">
        <v>1649</v>
      </c>
      <c r="H61" s="596" t="s">
        <v>1650</v>
      </c>
      <c r="I61" s="596" t="s">
        <v>407</v>
      </c>
      <c r="J61" s="596" t="s">
        <v>1649</v>
      </c>
      <c r="K61" s="596" t="s">
        <v>1650</v>
      </c>
      <c r="L61" s="577" t="s">
        <v>961</v>
      </c>
      <c r="M61" s="577"/>
      <c r="O61" s="597" t="str">
        <f t="shared" si="4"/>
        <v>認定こども園　稲毛幼稚園</v>
      </c>
      <c r="P61" s="598" t="str">
        <f>IF(COUNTIF(リスト!A:AC,O61) &gt; 0, "〇", "×")</f>
        <v>〇</v>
      </c>
      <c r="Q61" s="577" t="s">
        <v>1600</v>
      </c>
      <c r="R61" s="593" t="str">
        <f t="shared" si="1"/>
        <v>○</v>
      </c>
      <c r="S61" s="577" t="s">
        <v>1600</v>
      </c>
      <c r="T61" s="593" t="str">
        <f t="shared" si="2"/>
        <v>○</v>
      </c>
      <c r="V61" s="593" t="str">
        <f t="shared" si="3"/>
        <v>×</v>
      </c>
    </row>
    <row r="62" spans="1:22" ht="21.75" customHeight="1">
      <c r="B62" s="594">
        <v>258</v>
      </c>
      <c r="C62" s="595" t="s">
        <v>1602</v>
      </c>
      <c r="D62" s="596" t="s">
        <v>1636</v>
      </c>
      <c r="E62" s="596" t="s">
        <v>1641</v>
      </c>
      <c r="F62" s="596" t="s">
        <v>1658</v>
      </c>
      <c r="G62" s="596" t="s">
        <v>1659</v>
      </c>
      <c r="H62" s="596" t="s">
        <v>1653</v>
      </c>
      <c r="I62" s="596" t="s">
        <v>1651</v>
      </c>
      <c r="J62" s="596" t="s">
        <v>1652</v>
      </c>
      <c r="K62" s="596" t="s">
        <v>1653</v>
      </c>
      <c r="L62" s="577" t="s">
        <v>961</v>
      </c>
      <c r="M62" s="577" t="s">
        <v>1656</v>
      </c>
      <c r="O62" s="597" t="str">
        <f t="shared" si="4"/>
        <v>幼保連携型認定こども園　すずらん保育園</v>
      </c>
      <c r="P62" s="598" t="str">
        <f>IF(COUNTIF(リスト!A:AC,O62) &gt; 0, "〇", "×")</f>
        <v>〇</v>
      </c>
      <c r="Q62" s="577" t="s">
        <v>1602</v>
      </c>
      <c r="R62" s="593" t="str">
        <f t="shared" si="1"/>
        <v>○</v>
      </c>
      <c r="S62" s="577" t="s">
        <v>1602</v>
      </c>
      <c r="T62" s="593" t="str">
        <f t="shared" si="2"/>
        <v>○</v>
      </c>
      <c r="V62" s="593" t="str">
        <f t="shared" si="3"/>
        <v>×</v>
      </c>
    </row>
    <row r="63" spans="1:22" ht="21.75" customHeight="1">
      <c r="B63" s="594">
        <v>259</v>
      </c>
      <c r="C63" s="595" t="s">
        <v>1605</v>
      </c>
      <c r="D63" s="596" t="s">
        <v>1637</v>
      </c>
      <c r="E63" s="596" t="s">
        <v>1642</v>
      </c>
      <c r="F63" s="596" t="s">
        <v>407</v>
      </c>
      <c r="G63" s="596" t="s">
        <v>1654</v>
      </c>
      <c r="H63" s="596" t="s">
        <v>1655</v>
      </c>
      <c r="I63" s="596" t="s">
        <v>407</v>
      </c>
      <c r="J63" s="596" t="s">
        <v>1654</v>
      </c>
      <c r="K63" s="596" t="s">
        <v>1655</v>
      </c>
      <c r="L63" s="577" t="s">
        <v>961</v>
      </c>
      <c r="M63" s="577"/>
      <c r="O63" s="597" t="str">
        <f t="shared" si="4"/>
        <v>認定こども園　子鹿幼稚園</v>
      </c>
      <c r="P63" s="598" t="str">
        <f>IF(COUNTIF(リスト!A:AC,O63) &gt; 0, "〇", "×")</f>
        <v>〇</v>
      </c>
      <c r="Q63" s="577" t="s">
        <v>1605</v>
      </c>
      <c r="R63" s="593" t="str">
        <f t="shared" si="1"/>
        <v>○</v>
      </c>
      <c r="S63" s="577" t="s">
        <v>1605</v>
      </c>
      <c r="T63" s="593" t="str">
        <f t="shared" si="2"/>
        <v>○</v>
      </c>
      <c r="V63" s="593" t="str">
        <f t="shared" si="3"/>
        <v>×</v>
      </c>
    </row>
    <row r="64" spans="1:22" ht="33.75" customHeight="1">
      <c r="A64" s="602" t="s">
        <v>1126</v>
      </c>
      <c r="B64" s="603"/>
      <c r="C64" s="604"/>
      <c r="D64" s="603"/>
      <c r="E64" s="603"/>
      <c r="F64" s="603"/>
      <c r="G64" s="603"/>
      <c r="H64" s="603"/>
      <c r="I64" s="603"/>
      <c r="J64" s="603"/>
      <c r="K64" s="603"/>
      <c r="L64" s="603"/>
      <c r="M64" s="603"/>
      <c r="N64" s="603"/>
      <c r="O64" s="603"/>
      <c r="P64" s="605"/>
      <c r="Q64" s="605"/>
    </row>
  </sheetData>
  <sheetProtection algorithmName="SHA-512" hashValue="ezkdebbiBX0FcL/5hmBPPuXRirBpTp2gJ1JWKlBeL4MFN4qJec1RnHvh8bhP8AlOlvbMkT1mTEx34mNkpUGnrw==" saltValue="9EHlvX+qAPSk2VZOKm2ZKw==" spinCount="100000" sheet="1" selectLockedCells="1" selectUnlockedCells="1"/>
  <autoFilter ref="A4:Y64" xr:uid="{6F319070-D50D-4048-B9B9-0524341C9BAF}"/>
  <mergeCells count="1">
    <mergeCell ref="E2:K2"/>
  </mergeCells>
  <phoneticPr fontId="1"/>
  <printOptions horizontalCentered="1"/>
  <pageMargins left="0" right="0" top="0.39370078740157483" bottom="0.39370078740157483" header="0.31496062992125984" footer="0.31496062992125984"/>
  <pageSetup paperSize="9" scale="68" fitToHeight="0" orientation="landscape"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BF491-0D41-4A2F-96C1-0925B0C1C473}">
  <sheetPr>
    <tabColor rgb="FF7030A0"/>
  </sheetPr>
  <dimension ref="A1:AH43"/>
  <sheetViews>
    <sheetView showGridLines="0" view="pageBreakPreview" topLeftCell="A18" zoomScale="85" zoomScaleNormal="100" zoomScaleSheetLayoutView="85" workbookViewId="0">
      <selection activeCell="P23" sqref="P23:S23"/>
    </sheetView>
  </sheetViews>
  <sheetFormatPr defaultColWidth="9" defaultRowHeight="13"/>
  <cols>
    <col min="1" max="1" width="1" style="136" customWidth="1"/>
    <col min="2" max="21" width="4.5" style="136" customWidth="1"/>
    <col min="22" max="22" width="3.83203125" style="136" customWidth="1"/>
    <col min="23" max="25" width="6.25" style="136" customWidth="1"/>
    <col min="26" max="27" width="8.33203125" style="136" customWidth="1"/>
    <col min="28" max="28" width="4.75" style="136" customWidth="1"/>
    <col min="29" max="29" width="8" style="136" customWidth="1"/>
    <col min="30" max="30" width="10.25" style="136" customWidth="1"/>
    <col min="31" max="31" width="17.5" style="136" customWidth="1"/>
    <col min="32" max="32" width="5.83203125" style="136" customWidth="1"/>
    <col min="33" max="33" width="5.75" style="136" customWidth="1"/>
    <col min="34" max="34" width="5.58203125" style="136" customWidth="1"/>
    <col min="35" max="16384" width="9" style="136"/>
  </cols>
  <sheetData>
    <row r="1" spans="1:34" ht="23.15" customHeight="1">
      <c r="A1" s="197" t="s">
        <v>477</v>
      </c>
      <c r="B1" s="197"/>
      <c r="C1" s="197"/>
      <c r="D1" s="197"/>
      <c r="E1" s="197"/>
      <c r="F1" s="197"/>
      <c r="G1" s="197"/>
      <c r="H1" s="197"/>
      <c r="I1" s="197"/>
      <c r="J1" s="197"/>
      <c r="K1" s="197"/>
      <c r="L1" s="197"/>
      <c r="N1" s="197"/>
      <c r="O1" s="930"/>
      <c r="P1" s="930"/>
      <c r="Q1" s="930"/>
      <c r="R1" s="930"/>
      <c r="S1" s="197"/>
      <c r="T1" s="197"/>
      <c r="U1" s="197">
        <f>V1</f>
        <v>0</v>
      </c>
      <c r="V1" s="198">
        <f>様式１!M1</f>
        <v>0</v>
      </c>
      <c r="W1" s="197"/>
      <c r="X1" s="197" t="s">
        <v>817</v>
      </c>
      <c r="Y1" s="934"/>
      <c r="Z1" s="935"/>
      <c r="AA1" s="935"/>
      <c r="AB1" s="935"/>
      <c r="AC1" s="936"/>
    </row>
    <row r="2" spans="1:34" ht="23.15" customHeight="1">
      <c r="A2" s="197"/>
      <c r="B2" s="197"/>
      <c r="C2" s="197"/>
      <c r="D2" s="197"/>
      <c r="E2" s="197"/>
      <c r="F2" s="197"/>
      <c r="G2" s="197"/>
      <c r="H2" s="197"/>
      <c r="I2" s="197"/>
      <c r="J2" s="197"/>
      <c r="K2" s="197"/>
      <c r="L2" s="197"/>
      <c r="M2" s="197"/>
      <c r="N2" s="197"/>
      <c r="O2" s="937">
        <v>45931</v>
      </c>
      <c r="P2" s="930"/>
      <c r="Q2" s="930"/>
      <c r="R2" s="930"/>
      <c r="S2" s="930"/>
      <c r="T2" s="930"/>
      <c r="U2" s="197"/>
      <c r="V2" s="197"/>
      <c r="W2" s="197"/>
      <c r="Y2" s="197"/>
      <c r="Z2" s="197"/>
      <c r="AA2" s="197"/>
    </row>
    <row r="3" spans="1:34" ht="2.25" customHeight="1">
      <c r="A3" s="197"/>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row>
    <row r="4" spans="1:34" ht="23.15" customHeight="1">
      <c r="A4" s="197"/>
      <c r="B4" s="197"/>
      <c r="C4" s="197"/>
      <c r="D4" s="197"/>
      <c r="E4" s="197"/>
      <c r="F4" s="197" t="s">
        <v>818</v>
      </c>
      <c r="G4" s="197"/>
      <c r="H4" s="197"/>
      <c r="I4" s="197"/>
      <c r="J4" s="197"/>
      <c r="K4" s="197"/>
      <c r="L4" s="197"/>
      <c r="M4" s="197"/>
      <c r="N4" s="197"/>
      <c r="O4" s="197"/>
      <c r="P4" s="197"/>
      <c r="Q4" s="197"/>
      <c r="R4" s="197"/>
      <c r="S4" s="197"/>
      <c r="U4" s="197"/>
      <c r="V4" s="197"/>
      <c r="W4" s="197"/>
      <c r="X4" s="197"/>
      <c r="Y4" s="197"/>
      <c r="Z4" s="197"/>
      <c r="AA4" s="197"/>
      <c r="AB4" s="197"/>
      <c r="AC4" s="197"/>
      <c r="AD4" s="197"/>
      <c r="AE4" s="197"/>
      <c r="AF4" s="197"/>
      <c r="AG4" s="197"/>
      <c r="AH4" s="197"/>
    </row>
    <row r="5" spans="1:34" ht="23.15" customHeight="1">
      <c r="A5" s="197"/>
      <c r="B5" s="197"/>
      <c r="C5" s="197"/>
      <c r="D5" s="197"/>
      <c r="E5" s="197"/>
      <c r="F5" s="197" t="s">
        <v>819</v>
      </c>
      <c r="G5" s="197"/>
      <c r="H5" s="197"/>
      <c r="I5" s="197"/>
      <c r="J5" s="197"/>
      <c r="K5" s="197"/>
      <c r="L5" s="197"/>
      <c r="M5" s="197"/>
      <c r="N5" s="197"/>
      <c r="O5" s="197"/>
      <c r="P5" s="197"/>
      <c r="Q5" s="197"/>
      <c r="R5" s="197"/>
      <c r="S5" s="197"/>
      <c r="U5" s="197"/>
      <c r="V5" s="197"/>
      <c r="W5" s="197"/>
      <c r="X5" s="197"/>
      <c r="Y5" s="197"/>
      <c r="Z5" s="197"/>
      <c r="AA5" s="197"/>
      <c r="AB5" s="197"/>
      <c r="AC5" s="197"/>
      <c r="AD5" s="197"/>
      <c r="AE5" s="197"/>
      <c r="AF5" s="197"/>
      <c r="AG5" s="197"/>
      <c r="AH5" s="197"/>
    </row>
    <row r="6" spans="1:34" ht="4.5" customHeight="1">
      <c r="A6" s="197"/>
      <c r="B6" s="197"/>
      <c r="C6" s="197"/>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197"/>
      <c r="AG6" s="197"/>
      <c r="AH6" s="197"/>
    </row>
    <row r="7" spans="1:34" ht="23.15" customHeight="1">
      <c r="A7" s="197"/>
      <c r="B7" s="938" t="s">
        <v>820</v>
      </c>
      <c r="C7" s="938"/>
      <c r="D7" s="938"/>
      <c r="E7" s="938"/>
      <c r="F7" s="938"/>
      <c r="G7" s="197"/>
      <c r="H7" s="197"/>
      <c r="I7" s="197"/>
      <c r="J7" s="197"/>
      <c r="K7" s="197"/>
      <c r="L7" s="197"/>
      <c r="M7" s="197"/>
      <c r="N7" s="197"/>
      <c r="O7" s="197"/>
      <c r="P7" s="197"/>
      <c r="Q7" s="197"/>
      <c r="R7" s="197"/>
      <c r="S7" s="197"/>
    </row>
    <row r="8" spans="1:34" ht="17.149999999999999" customHeight="1">
      <c r="A8" s="197"/>
      <c r="B8" s="197"/>
      <c r="C8" s="197"/>
      <c r="D8" s="197"/>
      <c r="E8" s="197"/>
      <c r="F8" s="197"/>
      <c r="G8" s="197"/>
      <c r="H8" s="197"/>
      <c r="I8" s="197"/>
      <c r="J8" s="939" t="s">
        <v>821</v>
      </c>
      <c r="K8" s="939"/>
      <c r="L8" s="939"/>
      <c r="M8" s="197"/>
      <c r="N8" s="940" t="e">
        <f>VLOOKUP($V$1,補助金用基本データ!$B$5:$K$58,16,0)</f>
        <v>#N/A</v>
      </c>
      <c r="O8" s="940"/>
      <c r="P8" s="940"/>
      <c r="Q8" s="940"/>
      <c r="R8" s="940"/>
      <c r="S8" s="940"/>
      <c r="T8" s="940"/>
      <c r="U8" s="197"/>
      <c r="V8" s="197"/>
      <c r="W8" s="197"/>
      <c r="X8" s="197"/>
      <c r="Y8" s="197"/>
      <c r="Z8" s="197"/>
      <c r="AA8" s="197"/>
      <c r="AB8" s="197"/>
      <c r="AC8" s="197"/>
      <c r="AD8" s="197"/>
      <c r="AE8" s="197"/>
      <c r="AF8" s="197"/>
      <c r="AG8" s="197"/>
      <c r="AH8" s="197"/>
    </row>
    <row r="9" spans="1:34" ht="23.15" customHeight="1">
      <c r="A9" s="197"/>
      <c r="B9" s="197"/>
      <c r="C9" s="197"/>
      <c r="D9" s="197"/>
      <c r="E9" s="197"/>
      <c r="F9" s="197"/>
      <c r="G9" s="197"/>
      <c r="H9" s="197"/>
      <c r="I9" s="197"/>
      <c r="J9" s="939"/>
      <c r="K9" s="939"/>
      <c r="L9" s="939"/>
      <c r="N9" s="940"/>
      <c r="O9" s="940"/>
      <c r="P9" s="940"/>
      <c r="Q9" s="940"/>
      <c r="R9" s="940"/>
      <c r="S9" s="940"/>
      <c r="T9" s="940"/>
      <c r="U9" s="199"/>
      <c r="Z9" s="197"/>
    </row>
    <row r="10" spans="1:34" ht="23.15" customHeight="1">
      <c r="A10" s="197"/>
      <c r="B10" s="197"/>
      <c r="C10" s="197"/>
      <c r="D10" s="197"/>
      <c r="E10" s="197"/>
      <c r="F10" s="197"/>
      <c r="G10" s="197"/>
      <c r="H10" s="197"/>
      <c r="I10" s="197"/>
      <c r="J10" s="939" t="s">
        <v>822</v>
      </c>
      <c r="K10" s="939"/>
      <c r="L10" s="939"/>
      <c r="N10" s="941" t="e">
        <f>VLOOKUP($V$1,補助金用基本データ!$B$5:$K$58,12,0)</f>
        <v>#N/A</v>
      </c>
      <c r="O10" s="941"/>
      <c r="P10" s="941"/>
      <c r="Q10" s="941"/>
      <c r="R10" s="941"/>
      <c r="S10" s="941"/>
      <c r="T10" s="941"/>
      <c r="U10" s="200"/>
      <c r="Z10" s="197"/>
    </row>
    <row r="11" spans="1:34" ht="23.15" customHeight="1">
      <c r="A11" s="197"/>
      <c r="B11" s="197"/>
      <c r="C11" s="197"/>
      <c r="D11" s="197"/>
      <c r="E11" s="197"/>
      <c r="F11" s="197"/>
      <c r="G11" s="197"/>
      <c r="H11" s="197"/>
      <c r="I11" s="197"/>
      <c r="J11" s="942" t="s">
        <v>823</v>
      </c>
      <c r="K11" s="942"/>
      <c r="L11" s="942"/>
      <c r="N11" s="943" t="e">
        <f>VLOOKUP($V$1,補助金用基本データ!$B$5:$K$58,17,0)&amp;"　"&amp;VLOOKUP($V$1,補助金用基本データ!$B$5:$K$58,18,0)</f>
        <v>#N/A</v>
      </c>
      <c r="O11" s="943"/>
      <c r="P11" s="943"/>
      <c r="Q11" s="943"/>
      <c r="R11" s="943"/>
      <c r="S11" s="943"/>
      <c r="T11" s="943"/>
      <c r="U11" s="200"/>
      <c r="W11" s="201" t="e">
        <f>VLOOKUP($V$1,個別データ!$C$5:$AP$64,個別データ!AP1,0)</f>
        <v>#N/A</v>
      </c>
      <c r="Z11" s="197"/>
    </row>
    <row r="12" spans="1:34" ht="23.15" customHeight="1">
      <c r="A12" s="197"/>
      <c r="B12" s="197"/>
      <c r="C12" s="197"/>
      <c r="D12" s="197"/>
      <c r="E12" s="197"/>
      <c r="F12" s="197"/>
      <c r="G12" s="197"/>
      <c r="H12" s="197"/>
      <c r="I12" s="197"/>
      <c r="J12" s="939" t="s">
        <v>824</v>
      </c>
      <c r="K12" s="939"/>
      <c r="L12" s="939"/>
      <c r="N12" s="202" t="s">
        <v>825</v>
      </c>
      <c r="O12" s="944" t="e">
        <f>VLOOKUP($V$1,補助金用基本データ!$B$5:$K$58,2,0)</f>
        <v>#N/A</v>
      </c>
      <c r="P12" s="944"/>
      <c r="Q12" s="944"/>
      <c r="R12" s="944"/>
      <c r="S12" s="944"/>
      <c r="T12" s="944"/>
      <c r="U12" s="200" t="s">
        <v>826</v>
      </c>
      <c r="W12" s="203" t="e">
        <f>VLOOKUP($V$1,個別データ!$C$5:$AP$64,個別データ!AM1,0)</f>
        <v>#N/A</v>
      </c>
      <c r="Z12" s="197"/>
    </row>
    <row r="13" spans="1:34" ht="23.15" customHeight="1">
      <c r="A13" s="197"/>
      <c r="B13" s="197"/>
      <c r="C13" s="197"/>
      <c r="D13" s="197"/>
      <c r="E13" s="197"/>
      <c r="F13" s="197"/>
      <c r="G13" s="197"/>
      <c r="H13" s="980" t="s">
        <v>1319</v>
      </c>
      <c r="I13" s="980"/>
      <c r="J13" s="980"/>
      <c r="K13" s="980"/>
      <c r="L13" s="980"/>
      <c r="N13" s="981">
        <f>①基本情報!M4</f>
        <v>0</v>
      </c>
      <c r="O13" s="981"/>
      <c r="P13" s="981"/>
      <c r="Q13" s="981"/>
      <c r="R13" s="981"/>
      <c r="S13" s="981"/>
      <c r="T13" s="981"/>
      <c r="U13" s="200"/>
      <c r="W13" s="203"/>
      <c r="Z13" s="197"/>
    </row>
    <row r="14" spans="1:34" ht="5.25" customHeight="1">
      <c r="A14" s="197"/>
      <c r="B14" s="197"/>
      <c r="C14" s="197"/>
      <c r="D14" s="197"/>
      <c r="E14" s="197"/>
      <c r="F14" s="197"/>
      <c r="G14" s="197"/>
      <c r="H14" s="197"/>
      <c r="I14" s="197"/>
      <c r="J14" s="197"/>
      <c r="K14" s="197"/>
      <c r="L14" s="197"/>
      <c r="M14" s="197"/>
      <c r="T14" s="197"/>
      <c r="U14" s="197"/>
      <c r="V14" s="197"/>
      <c r="W14" s="197"/>
      <c r="X14" s="197"/>
      <c r="Y14" s="197"/>
      <c r="Z14" s="197"/>
      <c r="AA14" s="197"/>
      <c r="AB14" s="197"/>
      <c r="AC14" s="197"/>
      <c r="AD14" s="197"/>
      <c r="AE14" s="197"/>
      <c r="AF14" s="197"/>
      <c r="AG14" s="197"/>
      <c r="AH14" s="197"/>
    </row>
    <row r="15" spans="1:34" ht="23.15" customHeight="1">
      <c r="B15" s="945" t="e">
        <f>CONCATENATE("　",DBCS(W12),"付け千葉市指令こ幼運第",W11,"により交付決定のあった補助金の分割事前交付を次のとおり受けたいので、千葉市施設型給付対象施設運営事業補助金交付要綱第８条の規定により請求します。")</f>
        <v>#N/A</v>
      </c>
      <c r="C15" s="946"/>
      <c r="D15" s="946"/>
      <c r="E15" s="946"/>
      <c r="F15" s="946"/>
      <c r="G15" s="946"/>
      <c r="H15" s="946"/>
      <c r="I15" s="946"/>
      <c r="J15" s="946"/>
      <c r="K15" s="946"/>
      <c r="L15" s="946"/>
      <c r="M15" s="946"/>
      <c r="N15" s="946"/>
      <c r="O15" s="946"/>
      <c r="P15" s="946"/>
      <c r="Q15" s="946"/>
      <c r="R15" s="946"/>
      <c r="S15" s="946"/>
      <c r="T15" s="946"/>
      <c r="U15" s="197"/>
      <c r="V15" s="197"/>
      <c r="W15" s="197"/>
      <c r="X15" s="197"/>
      <c r="Y15" s="197"/>
      <c r="Z15" s="197"/>
      <c r="AA15" s="197"/>
      <c r="AB15" s="197"/>
      <c r="AC15" s="197"/>
      <c r="AD15" s="197"/>
      <c r="AE15" s="197"/>
      <c r="AF15" s="197"/>
      <c r="AG15" s="197"/>
      <c r="AH15" s="197"/>
    </row>
    <row r="16" spans="1:34" ht="23.15" customHeight="1">
      <c r="B16" s="946"/>
      <c r="C16" s="946"/>
      <c r="D16" s="946"/>
      <c r="E16" s="946"/>
      <c r="F16" s="946"/>
      <c r="G16" s="946"/>
      <c r="H16" s="946"/>
      <c r="I16" s="946"/>
      <c r="J16" s="946"/>
      <c r="K16" s="946"/>
      <c r="L16" s="946"/>
      <c r="M16" s="946"/>
      <c r="N16" s="946"/>
      <c r="O16" s="946"/>
      <c r="P16" s="946"/>
      <c r="Q16" s="946"/>
      <c r="R16" s="946"/>
      <c r="S16" s="946"/>
      <c r="T16" s="946"/>
      <c r="U16" s="197"/>
      <c r="V16" s="197"/>
      <c r="W16" s="197"/>
      <c r="X16" s="197"/>
      <c r="Y16" s="197"/>
      <c r="Z16" s="197"/>
      <c r="AA16" s="197"/>
      <c r="AB16" s="197"/>
      <c r="AC16" s="197"/>
      <c r="AD16" s="197"/>
      <c r="AE16" s="197"/>
      <c r="AF16" s="197"/>
      <c r="AG16" s="197"/>
      <c r="AH16" s="197"/>
    </row>
    <row r="17" spans="1:34" ht="23.15" customHeight="1">
      <c r="A17" s="197"/>
      <c r="B17" s="946"/>
      <c r="C17" s="946"/>
      <c r="D17" s="946"/>
      <c r="E17" s="946"/>
      <c r="F17" s="946"/>
      <c r="G17" s="946"/>
      <c r="H17" s="946"/>
      <c r="I17" s="946"/>
      <c r="J17" s="946"/>
      <c r="K17" s="946"/>
      <c r="L17" s="946"/>
      <c r="M17" s="946"/>
      <c r="N17" s="946"/>
      <c r="O17" s="946"/>
      <c r="P17" s="946"/>
      <c r="Q17" s="946"/>
      <c r="R17" s="946"/>
      <c r="S17" s="946"/>
      <c r="T17" s="946"/>
      <c r="U17" s="197"/>
      <c r="V17" s="197"/>
      <c r="W17" s="197"/>
      <c r="X17" s="197"/>
      <c r="Y17" s="197"/>
      <c r="Z17" s="197"/>
      <c r="AA17" s="197"/>
      <c r="AB17" s="197"/>
      <c r="AC17" s="197"/>
      <c r="AD17" s="197"/>
      <c r="AE17" s="197"/>
      <c r="AF17" s="197"/>
      <c r="AG17" s="197"/>
      <c r="AH17" s="197"/>
    </row>
    <row r="18" spans="1:34" ht="59.25" customHeight="1">
      <c r="A18" s="197"/>
      <c r="B18" s="933" t="e">
        <f>IF(F39&lt;=W39,"","今回入力した数字を基にした交付決定額（Ｗ列～AA列）が、令和7年4月に交付決定した額（以下の「補助金の交付決定額」欄の数字）を下回っていますので、戻入となる可能性があることをご了承ください。")</f>
        <v>#N/A</v>
      </c>
      <c r="C18" s="933"/>
      <c r="D18" s="933"/>
      <c r="E18" s="933"/>
      <c r="F18" s="933"/>
      <c r="G18" s="933"/>
      <c r="H18" s="933"/>
      <c r="I18" s="933"/>
      <c r="J18" s="933"/>
      <c r="K18" s="933"/>
      <c r="L18" s="933"/>
      <c r="M18" s="933"/>
      <c r="N18" s="933"/>
      <c r="O18" s="933"/>
      <c r="P18" s="933"/>
      <c r="Q18" s="933"/>
      <c r="R18" s="933"/>
      <c r="S18" s="933"/>
      <c r="T18" s="933"/>
      <c r="U18" s="197"/>
      <c r="V18" s="197"/>
      <c r="W18" s="197"/>
      <c r="X18" s="197"/>
      <c r="Y18" s="197"/>
      <c r="Z18" s="197"/>
      <c r="AA18" s="197"/>
      <c r="AB18" s="197"/>
      <c r="AC18" s="197"/>
      <c r="AD18" s="197"/>
      <c r="AE18" s="197"/>
      <c r="AF18" s="197"/>
      <c r="AG18" s="197"/>
      <c r="AH18" s="197"/>
    </row>
    <row r="19" spans="1:34" ht="23.15" customHeight="1">
      <c r="B19" s="938" t="s">
        <v>827</v>
      </c>
      <c r="C19" s="938"/>
      <c r="D19" s="938"/>
      <c r="E19" s="938"/>
      <c r="F19" s="197"/>
      <c r="G19" s="197"/>
      <c r="H19" s="949" t="e">
        <f>P39</f>
        <v>#N/A</v>
      </c>
      <c r="I19" s="949"/>
      <c r="J19" s="949"/>
      <c r="K19" s="949"/>
      <c r="L19" s="949" t="e">
        <v>#N/A</v>
      </c>
      <c r="M19" s="949"/>
      <c r="N19" s="949"/>
      <c r="O19" s="949"/>
      <c r="P19" s="197"/>
      <c r="Q19" s="197"/>
      <c r="R19" s="197"/>
      <c r="S19" s="197"/>
      <c r="T19" s="197"/>
      <c r="U19" s="197"/>
      <c r="W19" s="197"/>
      <c r="Z19" s="197"/>
      <c r="AA19" s="204"/>
      <c r="AB19" s="204"/>
      <c r="AC19" s="204"/>
      <c r="AD19" s="204"/>
      <c r="AF19" s="197"/>
      <c r="AG19" s="197"/>
      <c r="AH19" s="197"/>
    </row>
    <row r="20" spans="1:34" ht="27.75" customHeight="1" thickBot="1">
      <c r="A20" s="197"/>
      <c r="B20" s="197"/>
      <c r="C20" s="197"/>
      <c r="D20" s="197"/>
      <c r="E20" s="197"/>
      <c r="F20" s="197"/>
      <c r="G20" s="197"/>
      <c r="H20" s="197"/>
      <c r="I20" s="197"/>
      <c r="J20" s="197"/>
      <c r="K20" s="197"/>
      <c r="L20" s="197"/>
      <c r="M20" s="197"/>
      <c r="N20" s="197"/>
      <c r="O20" s="197"/>
      <c r="P20" s="197"/>
      <c r="Q20" s="197"/>
      <c r="R20" s="197"/>
      <c r="S20" s="197"/>
      <c r="T20" s="197"/>
      <c r="U20" s="197"/>
      <c r="V20" s="197"/>
      <c r="W20" s="197"/>
      <c r="X20" s="197"/>
      <c r="Y20" s="197"/>
      <c r="Z20" s="197"/>
      <c r="AA20" s="197"/>
      <c r="AB20" s="197"/>
      <c r="AC20" s="197"/>
      <c r="AD20" s="197"/>
      <c r="AE20" s="197"/>
      <c r="AF20" s="197"/>
      <c r="AG20" s="197"/>
      <c r="AH20" s="197"/>
    </row>
    <row r="21" spans="1:34" ht="27.75" customHeight="1" thickTop="1" thickBot="1">
      <c r="A21" s="197"/>
      <c r="B21" s="950" t="s">
        <v>273</v>
      </c>
      <c r="C21" s="950"/>
      <c r="D21" s="950"/>
      <c r="E21" s="951"/>
      <c r="F21" s="952" t="s">
        <v>276</v>
      </c>
      <c r="G21" s="952"/>
      <c r="H21" s="952"/>
      <c r="I21" s="952"/>
      <c r="J21" s="952"/>
      <c r="K21" s="953" t="s">
        <v>277</v>
      </c>
      <c r="L21" s="953"/>
      <c r="M21" s="953"/>
      <c r="N21" s="953"/>
      <c r="O21" s="954"/>
      <c r="P21" s="966" t="s">
        <v>478</v>
      </c>
      <c r="Q21" s="967"/>
      <c r="R21" s="967"/>
      <c r="S21" s="967"/>
      <c r="T21" s="968"/>
      <c r="U21" s="197"/>
      <c r="V21" s="197"/>
      <c r="W21" s="955" t="s">
        <v>828</v>
      </c>
      <c r="X21" s="955"/>
      <c r="Y21" s="955"/>
      <c r="Z21" s="955"/>
      <c r="AA21" s="955"/>
      <c r="AB21" s="197"/>
      <c r="AC21" s="197"/>
    </row>
    <row r="22" spans="1:34" ht="27" customHeight="1" thickTop="1">
      <c r="A22" s="197"/>
      <c r="B22" s="956" t="s">
        <v>734</v>
      </c>
      <c r="C22" s="957"/>
      <c r="D22" s="957"/>
      <c r="E22" s="958"/>
      <c r="F22" s="969"/>
      <c r="G22" s="970"/>
      <c r="H22" s="970"/>
      <c r="I22" s="970"/>
      <c r="J22" s="206"/>
      <c r="K22" s="934" t="e">
        <f>VLOOKUP(V1,個別データ!$C$5:$AQ$64,個別データ!AN1,0)</f>
        <v>#N/A</v>
      </c>
      <c r="L22" s="935"/>
      <c r="M22" s="935"/>
      <c r="N22" s="935"/>
      <c r="O22" s="936"/>
      <c r="P22" s="205"/>
      <c r="Q22" s="197"/>
      <c r="R22" s="197"/>
      <c r="S22" s="197"/>
      <c r="T22" s="206"/>
      <c r="U22" s="197"/>
      <c r="V22" s="197"/>
      <c r="W22" s="205"/>
      <c r="X22" s="197"/>
      <c r="Y22" s="197"/>
      <c r="Z22" s="197"/>
      <c r="AA22" s="206"/>
      <c r="AB22" s="197"/>
      <c r="AC22" s="197"/>
    </row>
    <row r="23" spans="1:34" ht="27" customHeight="1">
      <c r="A23" s="197"/>
      <c r="B23" s="959"/>
      <c r="C23" s="960"/>
      <c r="D23" s="960"/>
      <c r="E23" s="961"/>
      <c r="F23" s="962" t="e">
        <f>VLOOKUP(V1,個別データ!$C$5:$AC$64,13,0)</f>
        <v>#N/A</v>
      </c>
      <c r="G23" s="963"/>
      <c r="H23" s="963"/>
      <c r="I23" s="963"/>
      <c r="J23" s="207" t="s">
        <v>274</v>
      </c>
      <c r="K23" s="962" t="e">
        <f>VLOOKUP(V1,個別データ!$C$5:$AC$64,21,0)</f>
        <v>#N/A</v>
      </c>
      <c r="L23" s="963"/>
      <c r="M23" s="963"/>
      <c r="N23" s="963"/>
      <c r="O23" s="208" t="s">
        <v>598</v>
      </c>
      <c r="P23" s="964" t="e">
        <f>F23-K23</f>
        <v>#N/A</v>
      </c>
      <c r="Q23" s="965"/>
      <c r="R23" s="965"/>
      <c r="S23" s="965"/>
      <c r="T23" s="208" t="s">
        <v>274</v>
      </c>
      <c r="U23" s="197" t="e">
        <f>IF(F23&lt;(K23+P23),"✕","")</f>
        <v>#N/A</v>
      </c>
      <c r="V23" s="197"/>
      <c r="W23" s="947" t="e">
        <f>⑤基本加算１!J30</f>
        <v>#N/A</v>
      </c>
      <c r="X23" s="948"/>
      <c r="Y23" s="948"/>
      <c r="Z23" s="948"/>
      <c r="AA23" s="207" t="s">
        <v>274</v>
      </c>
      <c r="AB23" s="197"/>
      <c r="AC23" s="197"/>
    </row>
    <row r="24" spans="1:34" ht="27" customHeight="1">
      <c r="A24" s="197"/>
      <c r="B24" s="956" t="s">
        <v>735</v>
      </c>
      <c r="C24" s="957"/>
      <c r="D24" s="957"/>
      <c r="E24" s="958"/>
      <c r="F24" s="971" t="s">
        <v>1002</v>
      </c>
      <c r="G24" s="972"/>
      <c r="H24" s="972"/>
      <c r="I24" s="972"/>
      <c r="J24" s="211"/>
      <c r="K24" s="934" t="e">
        <f>K22</f>
        <v>#N/A</v>
      </c>
      <c r="L24" s="935"/>
      <c r="M24" s="935"/>
      <c r="N24" s="935"/>
      <c r="O24" s="936"/>
      <c r="P24" s="212"/>
      <c r="Q24" s="213"/>
      <c r="R24" s="213"/>
      <c r="S24" s="213"/>
      <c r="T24" s="211"/>
      <c r="U24" s="197"/>
      <c r="V24" s="197"/>
      <c r="W24" s="209" t="s">
        <v>829</v>
      </c>
      <c r="X24" s="210"/>
      <c r="Y24" s="210"/>
      <c r="Z24" s="210"/>
      <c r="AA24" s="211"/>
      <c r="AB24" s="197"/>
      <c r="AC24" s="197"/>
    </row>
    <row r="25" spans="1:34" ht="27" customHeight="1">
      <c r="A25" s="197"/>
      <c r="B25" s="959"/>
      <c r="C25" s="960"/>
      <c r="D25" s="960"/>
      <c r="E25" s="961"/>
      <c r="F25" s="962" t="e">
        <f>VLOOKUP(V1,個別データ!$C$5:$AC$64,14,0)</f>
        <v>#N/A</v>
      </c>
      <c r="G25" s="963"/>
      <c r="H25" s="963"/>
      <c r="I25" s="963"/>
      <c r="J25" s="207" t="s">
        <v>274</v>
      </c>
      <c r="K25" s="962" t="e">
        <f>VLOOKUP(V1,個別データ!$C$5:$AC$64,22,0)</f>
        <v>#N/A</v>
      </c>
      <c r="L25" s="963"/>
      <c r="M25" s="963"/>
      <c r="N25" s="963"/>
      <c r="O25" s="208" t="s">
        <v>598</v>
      </c>
      <c r="P25" s="964" t="e">
        <f>F25-K25</f>
        <v>#N/A</v>
      </c>
      <c r="Q25" s="965"/>
      <c r="R25" s="965"/>
      <c r="S25" s="965"/>
      <c r="T25" s="208" t="s">
        <v>274</v>
      </c>
      <c r="U25" s="197" t="e">
        <f>IF(F25&lt;(K25+P25),"✕","")</f>
        <v>#N/A</v>
      </c>
      <c r="V25" s="197"/>
      <c r="W25" s="947">
        <f>⑥基本加算２!J30</f>
        <v>0</v>
      </c>
      <c r="X25" s="948"/>
      <c r="Y25" s="948"/>
      <c r="Z25" s="948"/>
      <c r="AA25" s="207" t="s">
        <v>274</v>
      </c>
      <c r="AB25" s="197"/>
      <c r="AC25" s="197"/>
    </row>
    <row r="26" spans="1:34" ht="27" customHeight="1">
      <c r="A26" s="197"/>
      <c r="B26" s="956" t="s">
        <v>736</v>
      </c>
      <c r="C26" s="957"/>
      <c r="D26" s="957"/>
      <c r="E26" s="958"/>
      <c r="F26" s="971" t="s">
        <v>1002</v>
      </c>
      <c r="G26" s="972"/>
      <c r="H26" s="972"/>
      <c r="I26" s="972"/>
      <c r="J26" s="211"/>
      <c r="K26" s="934" t="e">
        <f>K24</f>
        <v>#N/A</v>
      </c>
      <c r="L26" s="935"/>
      <c r="M26" s="935"/>
      <c r="N26" s="935"/>
      <c r="O26" s="936"/>
      <c r="P26" s="212"/>
      <c r="Q26" s="213"/>
      <c r="R26" s="213"/>
      <c r="S26" s="213"/>
      <c r="T26" s="211"/>
      <c r="U26" s="197"/>
      <c r="V26" s="197"/>
      <c r="W26" s="209" t="s">
        <v>829</v>
      </c>
      <c r="X26" s="210"/>
      <c r="Y26" s="210"/>
      <c r="Z26" s="210"/>
      <c r="AA26" s="211"/>
      <c r="AB26" s="197"/>
      <c r="AC26" s="197"/>
    </row>
    <row r="27" spans="1:34" ht="27" customHeight="1">
      <c r="A27" s="197"/>
      <c r="B27" s="959"/>
      <c r="C27" s="960"/>
      <c r="D27" s="960"/>
      <c r="E27" s="961"/>
      <c r="F27" s="962" t="e">
        <f>VLOOKUP(V1,個別データ!$C$5:$AC$64,15,0)</f>
        <v>#N/A</v>
      </c>
      <c r="G27" s="963"/>
      <c r="H27" s="963"/>
      <c r="I27" s="963"/>
      <c r="J27" s="207" t="s">
        <v>274</v>
      </c>
      <c r="K27" s="962" t="e">
        <f>VLOOKUP(V1,個別データ!$C$5:$AC$64,23,0)</f>
        <v>#N/A</v>
      </c>
      <c r="L27" s="963"/>
      <c r="M27" s="963"/>
      <c r="N27" s="963"/>
      <c r="O27" s="208" t="s">
        <v>598</v>
      </c>
      <c r="P27" s="964" t="e">
        <f>F27-K27</f>
        <v>#N/A</v>
      </c>
      <c r="Q27" s="965"/>
      <c r="R27" s="965"/>
      <c r="S27" s="965"/>
      <c r="T27" s="208" t="s">
        <v>274</v>
      </c>
      <c r="U27" s="197" t="e">
        <f>IF(F27&lt;(K27+P27),"✕","")</f>
        <v>#N/A</v>
      </c>
      <c r="V27" s="197"/>
      <c r="W27" s="947">
        <f>⑦基本加算３!J30</f>
        <v>0</v>
      </c>
      <c r="X27" s="948"/>
      <c r="Y27" s="948"/>
      <c r="Z27" s="948"/>
      <c r="AA27" s="207" t="s">
        <v>274</v>
      </c>
      <c r="AB27" s="197"/>
      <c r="AC27" s="197"/>
    </row>
    <row r="28" spans="1:34" ht="27" customHeight="1">
      <c r="A28" s="197"/>
      <c r="B28" s="956" t="s">
        <v>737</v>
      </c>
      <c r="C28" s="957"/>
      <c r="D28" s="957"/>
      <c r="E28" s="958"/>
      <c r="F28" s="971" t="s">
        <v>1002</v>
      </c>
      <c r="G28" s="972"/>
      <c r="H28" s="972"/>
      <c r="I28" s="972"/>
      <c r="J28" s="211"/>
      <c r="K28" s="934" t="e">
        <f>K26</f>
        <v>#N/A</v>
      </c>
      <c r="L28" s="935"/>
      <c r="M28" s="935"/>
      <c r="N28" s="935"/>
      <c r="O28" s="936"/>
      <c r="P28" s="212"/>
      <c r="Q28" s="213"/>
      <c r="R28" s="213"/>
      <c r="S28" s="213"/>
      <c r="T28" s="211"/>
      <c r="U28" s="197"/>
      <c r="V28" s="197"/>
      <c r="W28" s="209" t="s">
        <v>829</v>
      </c>
      <c r="X28" s="210"/>
      <c r="Y28" s="210"/>
      <c r="Z28" s="210"/>
      <c r="AA28" s="211"/>
      <c r="AB28" s="197"/>
      <c r="AC28" s="197"/>
    </row>
    <row r="29" spans="1:34" ht="27" customHeight="1">
      <c r="A29" s="197"/>
      <c r="B29" s="959"/>
      <c r="C29" s="960"/>
      <c r="D29" s="960"/>
      <c r="E29" s="961"/>
      <c r="F29" s="962" t="e">
        <f>VLOOKUP(V1,個別データ!$C$5:$AC$64,16,0)</f>
        <v>#N/A</v>
      </c>
      <c r="G29" s="963"/>
      <c r="H29" s="963"/>
      <c r="I29" s="963"/>
      <c r="J29" s="207" t="s">
        <v>274</v>
      </c>
      <c r="K29" s="962" t="e">
        <f>VLOOKUP(V1,個別データ!$C$5:$AC$64,24,0)</f>
        <v>#N/A</v>
      </c>
      <c r="L29" s="963"/>
      <c r="M29" s="963"/>
      <c r="N29" s="963"/>
      <c r="O29" s="208" t="s">
        <v>598</v>
      </c>
      <c r="P29" s="964" t="e">
        <f>F29-K29</f>
        <v>#N/A</v>
      </c>
      <c r="Q29" s="965"/>
      <c r="R29" s="965"/>
      <c r="S29" s="965"/>
      <c r="T29" s="208" t="s">
        <v>274</v>
      </c>
      <c r="U29" s="197" t="e">
        <f>IF(F29&lt;(K29+P29),"✕","")</f>
        <v>#N/A</v>
      </c>
      <c r="V29" s="197"/>
      <c r="W29" s="947">
        <f>⑧一般加算１!N78</f>
        <v>0</v>
      </c>
      <c r="X29" s="948"/>
      <c r="Y29" s="948"/>
      <c r="Z29" s="948"/>
      <c r="AA29" s="207" t="s">
        <v>274</v>
      </c>
      <c r="AB29" s="197"/>
      <c r="AC29" s="197"/>
    </row>
    <row r="30" spans="1:34" ht="27" customHeight="1">
      <c r="A30" s="197"/>
      <c r="B30" s="956" t="s">
        <v>738</v>
      </c>
      <c r="C30" s="957"/>
      <c r="D30" s="957"/>
      <c r="E30" s="958"/>
      <c r="F30" s="971" t="s">
        <v>1002</v>
      </c>
      <c r="G30" s="972"/>
      <c r="H30" s="972"/>
      <c r="I30" s="972"/>
      <c r="J30" s="211"/>
      <c r="K30" s="934" t="e">
        <f>K28</f>
        <v>#N/A</v>
      </c>
      <c r="L30" s="935"/>
      <c r="M30" s="935"/>
      <c r="N30" s="935"/>
      <c r="O30" s="936"/>
      <c r="P30" s="212"/>
      <c r="Q30" s="213"/>
      <c r="R30" s="213"/>
      <c r="S30" s="213"/>
      <c r="T30" s="211"/>
      <c r="U30" s="197"/>
      <c r="V30" s="197"/>
      <c r="W30" s="209" t="s">
        <v>829</v>
      </c>
      <c r="X30" s="210"/>
      <c r="Y30" s="210"/>
      <c r="Z30" s="210"/>
      <c r="AA30" s="211"/>
      <c r="AB30" s="197"/>
      <c r="AC30" s="197"/>
    </row>
    <row r="31" spans="1:34" ht="27" customHeight="1">
      <c r="A31" s="197"/>
      <c r="B31" s="959"/>
      <c r="C31" s="960"/>
      <c r="D31" s="960"/>
      <c r="E31" s="961"/>
      <c r="F31" s="962" t="e">
        <f>VLOOKUP(V1,個別データ!$C$5:$AC$64,17,0)</f>
        <v>#N/A</v>
      </c>
      <c r="G31" s="963"/>
      <c r="H31" s="963"/>
      <c r="I31" s="963"/>
      <c r="J31" s="207" t="s">
        <v>274</v>
      </c>
      <c r="K31" s="962" t="e">
        <f>VLOOKUP(V1,個別データ!$C$5:$AC$64,25,0)</f>
        <v>#N/A</v>
      </c>
      <c r="L31" s="963"/>
      <c r="M31" s="963"/>
      <c r="N31" s="963"/>
      <c r="O31" s="208" t="s">
        <v>598</v>
      </c>
      <c r="P31" s="964" t="e">
        <f>F31-K31</f>
        <v>#N/A</v>
      </c>
      <c r="Q31" s="965"/>
      <c r="R31" s="965"/>
      <c r="S31" s="965"/>
      <c r="T31" s="208" t="s">
        <v>274</v>
      </c>
      <c r="U31" s="197" t="e">
        <f>IF(F31&lt;(K31+P31),"✕","")</f>
        <v>#N/A</v>
      </c>
      <c r="V31" s="197"/>
      <c r="W31" s="947">
        <f>⑨一般加算２!N78</f>
        <v>0</v>
      </c>
      <c r="X31" s="948"/>
      <c r="Y31" s="948"/>
      <c r="Z31" s="948"/>
      <c r="AA31" s="207" t="s">
        <v>274</v>
      </c>
      <c r="AB31" s="197"/>
      <c r="AC31" s="197"/>
    </row>
    <row r="32" spans="1:34" ht="27" customHeight="1">
      <c r="A32" s="197"/>
      <c r="B32" s="956" t="s">
        <v>739</v>
      </c>
      <c r="C32" s="957"/>
      <c r="D32" s="957"/>
      <c r="E32" s="958"/>
      <c r="F32" s="971" t="s">
        <v>1002</v>
      </c>
      <c r="G32" s="972"/>
      <c r="H32" s="972"/>
      <c r="I32" s="972"/>
      <c r="J32" s="211"/>
      <c r="K32" s="934" t="e">
        <f>K30</f>
        <v>#N/A</v>
      </c>
      <c r="L32" s="935"/>
      <c r="M32" s="935"/>
      <c r="N32" s="935"/>
      <c r="O32" s="936"/>
      <c r="P32" s="212"/>
      <c r="Q32" s="213"/>
      <c r="R32" s="213"/>
      <c r="S32" s="213"/>
      <c r="T32" s="211"/>
      <c r="U32" s="197"/>
      <c r="V32" s="197"/>
      <c r="W32" s="209" t="s">
        <v>829</v>
      </c>
      <c r="X32" s="210"/>
      <c r="Y32" s="210"/>
      <c r="Z32" s="210"/>
      <c r="AA32" s="211"/>
      <c r="AB32" s="197"/>
      <c r="AC32" s="197"/>
    </row>
    <row r="33" spans="1:29" ht="27" customHeight="1">
      <c r="A33" s="197"/>
      <c r="B33" s="959"/>
      <c r="C33" s="960"/>
      <c r="D33" s="960"/>
      <c r="E33" s="961"/>
      <c r="F33" s="962" t="e">
        <f>VLOOKUP(V1,個別データ!$C$5:$AC$64,18,0)</f>
        <v>#N/A</v>
      </c>
      <c r="G33" s="963"/>
      <c r="H33" s="963"/>
      <c r="I33" s="963"/>
      <c r="J33" s="207" t="s">
        <v>274</v>
      </c>
      <c r="K33" s="962" t="e">
        <f>VLOOKUP(V1,個別データ!$C$5:$AC$64,26,0)</f>
        <v>#N/A</v>
      </c>
      <c r="L33" s="963"/>
      <c r="M33" s="963"/>
      <c r="N33" s="963"/>
      <c r="O33" s="208" t="s">
        <v>598</v>
      </c>
      <c r="P33" s="964" t="e">
        <f>F33-K33</f>
        <v>#N/A</v>
      </c>
      <c r="Q33" s="965"/>
      <c r="R33" s="965"/>
      <c r="S33" s="965"/>
      <c r="T33" s="208" t="s">
        <v>274</v>
      </c>
      <c r="U33" s="197" t="e">
        <f>IF(F33&lt;(K33+P33),"✕","")</f>
        <v>#N/A</v>
      </c>
      <c r="V33" s="197"/>
      <c r="W33" s="973">
        <f>⑩特定加算１!J138</f>
        <v>0</v>
      </c>
      <c r="X33" s="974"/>
      <c r="Y33" s="974"/>
      <c r="Z33" s="974"/>
      <c r="AA33" s="207" t="s">
        <v>274</v>
      </c>
      <c r="AB33" s="197"/>
      <c r="AC33" s="197"/>
    </row>
    <row r="34" spans="1:29" ht="27" customHeight="1">
      <c r="A34" s="197"/>
      <c r="B34" s="956" t="s">
        <v>740</v>
      </c>
      <c r="C34" s="957"/>
      <c r="D34" s="957"/>
      <c r="E34" s="958"/>
      <c r="F34" s="971" t="s">
        <v>1002</v>
      </c>
      <c r="G34" s="972"/>
      <c r="H34" s="972"/>
      <c r="I34" s="972"/>
      <c r="J34" s="211"/>
      <c r="K34" s="934" t="e">
        <f>K32</f>
        <v>#N/A</v>
      </c>
      <c r="L34" s="935"/>
      <c r="M34" s="935"/>
      <c r="N34" s="935"/>
      <c r="O34" s="936"/>
      <c r="P34" s="212"/>
      <c r="Q34" s="213"/>
      <c r="R34" s="213"/>
      <c r="S34" s="213"/>
      <c r="T34" s="211"/>
      <c r="U34" s="197"/>
      <c r="V34" s="197"/>
      <c r="W34" s="209" t="s">
        <v>829</v>
      </c>
      <c r="X34" s="210"/>
      <c r="Y34" s="210"/>
      <c r="Z34" s="210"/>
      <c r="AA34" s="211"/>
      <c r="AB34" s="197"/>
      <c r="AC34" s="197"/>
    </row>
    <row r="35" spans="1:29" ht="27" customHeight="1">
      <c r="A35" s="197"/>
      <c r="B35" s="959"/>
      <c r="C35" s="960"/>
      <c r="D35" s="960"/>
      <c r="E35" s="961"/>
      <c r="F35" s="978" t="e">
        <f>VLOOKUP(V1,個別データ!$C$5:$AC$64,19,0)</f>
        <v>#N/A</v>
      </c>
      <c r="G35" s="979"/>
      <c r="H35" s="979"/>
      <c r="I35" s="979"/>
      <c r="J35" s="207" t="s">
        <v>274</v>
      </c>
      <c r="K35" s="962" t="e">
        <f>VLOOKUP(V1,個別データ!$C$5:$AC$64,27,0)</f>
        <v>#N/A</v>
      </c>
      <c r="L35" s="963"/>
      <c r="M35" s="963"/>
      <c r="N35" s="963"/>
      <c r="O35" s="208" t="s">
        <v>598</v>
      </c>
      <c r="P35" s="964" t="e">
        <f>F35-K35</f>
        <v>#N/A</v>
      </c>
      <c r="Q35" s="965"/>
      <c r="R35" s="965"/>
      <c r="S35" s="965"/>
      <c r="T35" s="208" t="s">
        <v>274</v>
      </c>
      <c r="U35" s="197" t="e">
        <f>IF(F35&lt;(K35+P35),"✕","")</f>
        <v>#N/A</v>
      </c>
      <c r="V35" s="197"/>
      <c r="W35" s="973">
        <f>⑪特定加算２!J66</f>
        <v>0</v>
      </c>
      <c r="X35" s="974"/>
      <c r="Y35" s="974"/>
      <c r="Z35" s="974"/>
      <c r="AA35" s="207" t="s">
        <v>274</v>
      </c>
      <c r="AB35" s="197"/>
      <c r="AC35" s="197"/>
    </row>
    <row r="36" spans="1:29" ht="27" customHeight="1">
      <c r="A36" s="197"/>
      <c r="B36" s="956" t="s">
        <v>1315</v>
      </c>
      <c r="C36" s="957"/>
      <c r="D36" s="957"/>
      <c r="E36" s="958"/>
      <c r="F36" s="971" t="s">
        <v>1002</v>
      </c>
      <c r="G36" s="972"/>
      <c r="H36" s="972"/>
      <c r="I36" s="972"/>
      <c r="J36" s="211"/>
      <c r="K36" s="934" t="e">
        <f>K34</f>
        <v>#N/A</v>
      </c>
      <c r="L36" s="935"/>
      <c r="M36" s="935"/>
      <c r="N36" s="935"/>
      <c r="O36" s="936"/>
      <c r="P36" s="212"/>
      <c r="Q36" s="213"/>
      <c r="R36" s="213"/>
      <c r="S36" s="213"/>
      <c r="T36" s="211"/>
      <c r="U36" s="197"/>
      <c r="V36" s="197"/>
      <c r="W36" s="209" t="s">
        <v>829</v>
      </c>
      <c r="X36" s="210"/>
      <c r="Y36" s="210"/>
      <c r="Z36" s="210"/>
      <c r="AA36" s="211"/>
      <c r="AB36" s="197"/>
      <c r="AC36" s="197"/>
    </row>
    <row r="37" spans="1:29" ht="27" customHeight="1" thickBot="1">
      <c r="A37" s="197"/>
      <c r="B37" s="959"/>
      <c r="C37" s="960"/>
      <c r="D37" s="960"/>
      <c r="E37" s="961"/>
      <c r="F37" s="978" t="e">
        <f>VLOOKUP(V1,個別データ!$C$5:$AC$64,20,0)</f>
        <v>#N/A</v>
      </c>
      <c r="G37" s="979"/>
      <c r="H37" s="979"/>
      <c r="I37" s="979"/>
      <c r="J37" s="207" t="s">
        <v>274</v>
      </c>
      <c r="K37" s="962" t="e">
        <f>VLOOKUP(V1,個別データ!$C$5:$AD$64,28,0)</f>
        <v>#N/A</v>
      </c>
      <c r="L37" s="963"/>
      <c r="M37" s="963"/>
      <c r="N37" s="963"/>
      <c r="O37" s="208" t="s">
        <v>274</v>
      </c>
      <c r="P37" s="964" t="e">
        <f>F37-K37</f>
        <v>#N/A</v>
      </c>
      <c r="Q37" s="965"/>
      <c r="R37" s="965"/>
      <c r="S37" s="965"/>
      <c r="T37" s="208" t="s">
        <v>274</v>
      </c>
      <c r="U37" s="197"/>
      <c r="V37" s="197"/>
      <c r="W37" s="947" t="e">
        <f>(⑫公定価格加算分!E20+⑫公定価格加算分!F36)*-1</f>
        <v>#N/A</v>
      </c>
      <c r="X37" s="948"/>
      <c r="Y37" s="948"/>
      <c r="Z37" s="948"/>
      <c r="AA37" s="208" t="s">
        <v>274</v>
      </c>
      <c r="AB37" s="197"/>
      <c r="AC37" s="197"/>
    </row>
    <row r="38" spans="1:29" ht="27" customHeight="1" thickTop="1">
      <c r="A38" s="197"/>
      <c r="B38" s="950" t="s">
        <v>275</v>
      </c>
      <c r="C38" s="950"/>
      <c r="D38" s="950"/>
      <c r="E38" s="951"/>
      <c r="F38" s="214" t="s">
        <v>829</v>
      </c>
      <c r="G38" s="215"/>
      <c r="H38" s="215"/>
      <c r="I38" s="215"/>
      <c r="J38" s="216"/>
      <c r="K38" s="934" t="e">
        <f>K36</f>
        <v>#N/A</v>
      </c>
      <c r="L38" s="935"/>
      <c r="M38" s="935"/>
      <c r="N38" s="935"/>
      <c r="O38" s="936"/>
      <c r="P38" s="212"/>
      <c r="Q38" s="213"/>
      <c r="R38" s="213"/>
      <c r="S38" s="213"/>
      <c r="T38" s="211"/>
      <c r="U38" s="197"/>
      <c r="V38" s="197"/>
      <c r="W38" s="214" t="s">
        <v>829</v>
      </c>
      <c r="X38" s="215"/>
      <c r="Y38" s="215"/>
      <c r="Z38" s="215"/>
      <c r="AA38" s="216"/>
      <c r="AB38" s="197"/>
      <c r="AC38" s="197"/>
    </row>
    <row r="39" spans="1:29" ht="27" customHeight="1" thickBot="1">
      <c r="A39" s="197"/>
      <c r="B39" s="950"/>
      <c r="C39" s="950"/>
      <c r="D39" s="950"/>
      <c r="E39" s="951"/>
      <c r="F39" s="975" t="e">
        <f>SUM(F35,F33,F31,F29,F27,F25,F23,F37)</f>
        <v>#N/A</v>
      </c>
      <c r="G39" s="976"/>
      <c r="H39" s="976"/>
      <c r="I39" s="976"/>
      <c r="J39" s="217" t="s">
        <v>274</v>
      </c>
      <c r="K39" s="975" t="e">
        <f>SUM(K35,K33,K31,K29,K27,K25,K23,K37)</f>
        <v>#N/A</v>
      </c>
      <c r="L39" s="976"/>
      <c r="M39" s="976"/>
      <c r="N39" s="976"/>
      <c r="O39" s="344" t="s">
        <v>598</v>
      </c>
      <c r="P39" s="977" t="e">
        <f>SUM(P35,P33,P31,P29,P27,P25,P23,P37)</f>
        <v>#N/A</v>
      </c>
      <c r="Q39" s="976"/>
      <c r="R39" s="976"/>
      <c r="S39" s="976"/>
      <c r="T39" s="208" t="s">
        <v>274</v>
      </c>
      <c r="U39" s="197" t="e">
        <f>IF(F39&lt;(K39+P39),"✕","")</f>
        <v>#N/A</v>
      </c>
      <c r="V39" s="197"/>
      <c r="W39" s="931" t="e">
        <f>SUM(W22:Z37)</f>
        <v>#N/A</v>
      </c>
      <c r="X39" s="932"/>
      <c r="Y39" s="932"/>
      <c r="Z39" s="932"/>
      <c r="AA39" s="217" t="s">
        <v>274</v>
      </c>
      <c r="AB39" s="197"/>
      <c r="AC39" s="197"/>
    </row>
    <row r="40" spans="1:29" ht="27" customHeight="1" thickTop="1">
      <c r="A40" s="197"/>
      <c r="B40" s="329"/>
      <c r="C40" s="329"/>
      <c r="D40" s="329"/>
      <c r="E40" s="329"/>
      <c r="F40" s="330"/>
      <c r="G40" s="330"/>
      <c r="H40" s="330"/>
      <c r="I40" s="330"/>
      <c r="J40" s="328"/>
      <c r="K40" s="330"/>
      <c r="L40" s="330"/>
      <c r="M40" s="330"/>
      <c r="N40" s="330"/>
      <c r="O40" s="328"/>
      <c r="P40" s="330"/>
      <c r="Q40" s="330"/>
      <c r="R40" s="330"/>
      <c r="S40" s="330"/>
      <c r="T40" s="328"/>
      <c r="U40" s="197"/>
      <c r="V40" s="197"/>
      <c r="W40" s="197"/>
      <c r="AB40" s="197"/>
      <c r="AC40" s="197"/>
    </row>
    <row r="41" spans="1:29" ht="27" customHeight="1">
      <c r="A41" s="197"/>
      <c r="B41" s="329"/>
      <c r="C41" s="329"/>
      <c r="D41" s="329"/>
      <c r="E41" s="329"/>
      <c r="F41" s="330"/>
      <c r="G41" s="330"/>
      <c r="H41" s="330"/>
      <c r="I41" s="330"/>
      <c r="J41" s="328"/>
      <c r="K41" s="330"/>
      <c r="L41" s="330"/>
      <c r="M41" s="330"/>
      <c r="N41" s="330"/>
      <c r="O41" s="328"/>
      <c r="P41" s="330"/>
      <c r="Q41" s="330"/>
      <c r="R41" s="330"/>
      <c r="S41" s="330"/>
      <c r="T41" s="328"/>
      <c r="U41" s="197"/>
      <c r="V41" s="197"/>
      <c r="W41" s="197"/>
      <c r="AB41" s="197"/>
      <c r="AC41" s="197"/>
    </row>
    <row r="42" spans="1:29" ht="19">
      <c r="B42" s="329"/>
      <c r="C42" s="329"/>
      <c r="D42" s="329"/>
      <c r="E42" s="329"/>
      <c r="F42" s="330"/>
      <c r="G42" s="330"/>
      <c r="H42" s="330"/>
      <c r="I42" s="330"/>
      <c r="J42" s="328"/>
      <c r="K42" s="330"/>
      <c r="L42" s="330"/>
      <c r="M42" s="330"/>
      <c r="N42" s="330"/>
      <c r="O42" s="328"/>
      <c r="P42" s="330"/>
      <c r="Q42" s="330"/>
      <c r="R42" s="330"/>
      <c r="S42" s="330"/>
      <c r="T42" s="328"/>
      <c r="U42" s="197"/>
    </row>
    <row r="43" spans="1:29" ht="19">
      <c r="B43" s="329"/>
      <c r="C43" s="329"/>
      <c r="D43" s="329"/>
      <c r="E43" s="329"/>
      <c r="F43" s="330"/>
      <c r="G43" s="330"/>
      <c r="H43" s="330"/>
      <c r="I43" s="330"/>
      <c r="J43" s="328"/>
      <c r="K43" s="330"/>
      <c r="L43" s="330"/>
      <c r="M43" s="330"/>
      <c r="N43" s="330"/>
      <c r="O43" s="328"/>
      <c r="P43" s="330"/>
      <c r="Q43" s="330"/>
      <c r="R43" s="330"/>
      <c r="S43" s="330"/>
      <c r="T43" s="328"/>
      <c r="U43" s="197"/>
    </row>
  </sheetData>
  <sheetProtection algorithmName="SHA-512" hashValue="CsdcKAyimdIJAy1pdq6aLOLOTj3XUrRAMr3yivYamProBGfWhKzrx2C4x2nQ4Lj7sJGDm5evyTnK2kv+mrsLrQ==" saltValue="UZp1Hgn5+jgpOI7ztDTs+g==" spinCount="100000" sheet="1" objects="1" scenarios="1" selectLockedCells="1"/>
  <mergeCells count="86">
    <mergeCell ref="H13:L13"/>
    <mergeCell ref="N13:T13"/>
    <mergeCell ref="B36:E37"/>
    <mergeCell ref="K36:O36"/>
    <mergeCell ref="F37:I37"/>
    <mergeCell ref="K37:N37"/>
    <mergeCell ref="P37:S37"/>
    <mergeCell ref="F36:I36"/>
    <mergeCell ref="K26:O26"/>
    <mergeCell ref="K24:O24"/>
    <mergeCell ref="K28:O28"/>
    <mergeCell ref="K30:O30"/>
    <mergeCell ref="K32:O32"/>
    <mergeCell ref="K34:O34"/>
    <mergeCell ref="B28:E29"/>
    <mergeCell ref="F29:I29"/>
    <mergeCell ref="W37:Z37"/>
    <mergeCell ref="B34:E35"/>
    <mergeCell ref="F35:I35"/>
    <mergeCell ref="K35:N35"/>
    <mergeCell ref="P35:S35"/>
    <mergeCell ref="W35:Z35"/>
    <mergeCell ref="B38:E39"/>
    <mergeCell ref="F39:I39"/>
    <mergeCell ref="K39:N39"/>
    <mergeCell ref="P39:S39"/>
    <mergeCell ref="F34:I34"/>
    <mergeCell ref="K38:O38"/>
    <mergeCell ref="W33:Z33"/>
    <mergeCell ref="B30:E31"/>
    <mergeCell ref="F31:I31"/>
    <mergeCell ref="K31:N31"/>
    <mergeCell ref="P31:S31"/>
    <mergeCell ref="W31:Z31"/>
    <mergeCell ref="B32:E33"/>
    <mergeCell ref="F33:I33"/>
    <mergeCell ref="K33:N33"/>
    <mergeCell ref="P33:S33"/>
    <mergeCell ref="F30:I30"/>
    <mergeCell ref="F32:I32"/>
    <mergeCell ref="K29:N29"/>
    <mergeCell ref="P29:S29"/>
    <mergeCell ref="F26:I26"/>
    <mergeCell ref="F28:I28"/>
    <mergeCell ref="B26:E27"/>
    <mergeCell ref="F27:I27"/>
    <mergeCell ref="K27:N27"/>
    <mergeCell ref="P27:S27"/>
    <mergeCell ref="F25:I25"/>
    <mergeCell ref="W27:Z27"/>
    <mergeCell ref="P25:S25"/>
    <mergeCell ref="F22:I22"/>
    <mergeCell ref="F24:I24"/>
    <mergeCell ref="K25:N25"/>
    <mergeCell ref="B19:E19"/>
    <mergeCell ref="W29:Z29"/>
    <mergeCell ref="H19:O19"/>
    <mergeCell ref="B21:E21"/>
    <mergeCell ref="F21:J21"/>
    <mergeCell ref="K21:O21"/>
    <mergeCell ref="W25:Z25"/>
    <mergeCell ref="W21:AA21"/>
    <mergeCell ref="B22:E23"/>
    <mergeCell ref="K22:O22"/>
    <mergeCell ref="F23:I23"/>
    <mergeCell ref="K23:N23"/>
    <mergeCell ref="P23:S23"/>
    <mergeCell ref="W23:Z23"/>
    <mergeCell ref="P21:T21"/>
    <mergeCell ref="B24:E25"/>
    <mergeCell ref="O1:P1"/>
    <mergeCell ref="Q1:R1"/>
    <mergeCell ref="W39:Z39"/>
    <mergeCell ref="B18:T18"/>
    <mergeCell ref="Y1:AC1"/>
    <mergeCell ref="O2:T2"/>
    <mergeCell ref="B7:F7"/>
    <mergeCell ref="J8:L9"/>
    <mergeCell ref="N8:T9"/>
    <mergeCell ref="J10:L10"/>
    <mergeCell ref="N10:T10"/>
    <mergeCell ref="J11:L11"/>
    <mergeCell ref="N11:T11"/>
    <mergeCell ref="J12:L12"/>
    <mergeCell ref="O12:T12"/>
    <mergeCell ref="B15:T17"/>
  </mergeCells>
  <phoneticPr fontId="1"/>
  <conditionalFormatting sqref="B18:T18">
    <cfRule type="notContainsBlanks" dxfId="7" priority="1">
      <formula>LEN(TRIM(B18))&gt;0</formula>
    </cfRule>
  </conditionalFormatting>
  <pageMargins left="0.95" right="0.69" top="0.98399999999999999" bottom="0.98399999999999999" header="0.51200000000000001" footer="0.51200000000000001"/>
  <pageSetup paperSize="9" scale="71" orientation="portrait" r:id="rId1"/>
  <headerFooter alignWithMargins="0"/>
  <colBreaks count="1" manualBreakCount="1">
    <brk id="21" max="1048575" man="1"/>
  </colBreaks>
  <ignoredErrors>
    <ignoredError sqref="N9:T9 O8:T8 N12 O10:T10 O11:T11 P12:T12" unlockedFormula="1"/>
  </ignoredErrors>
  <drawing r:id="rId2"/>
  <legacy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FFF6A-A276-4BC1-94DC-BC2F40C696CF}">
  <dimension ref="B2:CQ133"/>
  <sheetViews>
    <sheetView topLeftCell="H1" zoomScale="90" zoomScaleNormal="90" workbookViewId="0">
      <selection activeCell="V10" sqref="V10"/>
    </sheetView>
  </sheetViews>
  <sheetFormatPr defaultRowHeight="15"/>
  <cols>
    <col min="1" max="1" width="4.1640625" style="374" customWidth="1"/>
    <col min="2" max="2" width="7.1640625" style="374" customWidth="1"/>
    <col min="3" max="16" width="8.6640625" style="374"/>
    <col min="17" max="17" width="1.25" style="374" customWidth="1"/>
    <col min="18" max="18" width="20" style="374" bestFit="1" customWidth="1"/>
    <col min="19" max="30" width="5.08203125" style="374" customWidth="1"/>
    <col min="31" max="31" width="19.33203125" style="374" bestFit="1" customWidth="1"/>
    <col min="32" max="43" width="5.08203125" style="374" customWidth="1"/>
    <col min="44" max="44" width="21" style="374" customWidth="1"/>
    <col min="45" max="56" width="5.08203125" style="374" customWidth="1"/>
    <col min="57" max="57" width="16.5" style="374" bestFit="1" customWidth="1"/>
    <col min="58" max="69" width="5.08203125" style="374" customWidth="1"/>
    <col min="70" max="70" width="22.25" style="374" bestFit="1" customWidth="1"/>
    <col min="71" max="82" width="5.08203125" style="374" customWidth="1"/>
    <col min="83" max="83" width="13.58203125" style="374" bestFit="1" customWidth="1"/>
    <col min="84" max="95" width="5.08203125" style="374" customWidth="1"/>
    <col min="96" max="16384" width="8.6640625" style="374"/>
  </cols>
  <sheetData>
    <row r="2" spans="2:88">
      <c r="C2" s="982" t="s">
        <v>921</v>
      </c>
      <c r="D2" s="982"/>
      <c r="E2" s="982" t="s">
        <v>922</v>
      </c>
      <c r="F2" s="982"/>
      <c r="G2" s="982" t="s">
        <v>923</v>
      </c>
      <c r="H2" s="982"/>
      <c r="I2" s="982" t="s">
        <v>924</v>
      </c>
      <c r="J2" s="982"/>
      <c r="K2" s="982" t="s">
        <v>925</v>
      </c>
      <c r="L2" s="982"/>
      <c r="M2" s="982" t="s">
        <v>1378</v>
      </c>
      <c r="N2" s="982"/>
      <c r="O2" s="982" t="s">
        <v>926</v>
      </c>
      <c r="P2" s="982"/>
    </row>
    <row r="3" spans="2:88">
      <c r="C3" s="375" t="s">
        <v>1379</v>
      </c>
      <c r="D3" s="376" t="s">
        <v>1380</v>
      </c>
      <c r="E3" s="376" t="s">
        <v>1379</v>
      </c>
      <c r="F3" s="376" t="s">
        <v>1380</v>
      </c>
      <c r="G3" s="376" t="s">
        <v>1379</v>
      </c>
      <c r="H3" s="376" t="s">
        <v>1380</v>
      </c>
      <c r="I3" s="376" t="s">
        <v>1379</v>
      </c>
      <c r="J3" s="376" t="s">
        <v>1380</v>
      </c>
      <c r="K3" s="376" t="s">
        <v>1379</v>
      </c>
      <c r="L3" s="376" t="s">
        <v>1380</v>
      </c>
      <c r="M3" s="376" t="s">
        <v>1379</v>
      </c>
      <c r="N3" s="376" t="s">
        <v>1380</v>
      </c>
      <c r="O3" s="376" t="s">
        <v>1379</v>
      </c>
      <c r="P3" s="376" t="s">
        <v>1380</v>
      </c>
    </row>
    <row r="4" spans="2:88">
      <c r="B4" s="375" t="s">
        <v>1381</v>
      </c>
      <c r="C4" s="377" t="e">
        <f t="shared" ref="C4:P4" si="0">INDEX(C:C,MATCH("〇",$CF:$CF,0))</f>
        <v>#N/A</v>
      </c>
      <c r="D4" s="377" t="e">
        <f t="shared" si="0"/>
        <v>#N/A</v>
      </c>
      <c r="E4" s="377" t="e">
        <f t="shared" si="0"/>
        <v>#N/A</v>
      </c>
      <c r="F4" s="377" t="e">
        <f t="shared" si="0"/>
        <v>#N/A</v>
      </c>
      <c r="G4" s="377" t="e">
        <f t="shared" si="0"/>
        <v>#N/A</v>
      </c>
      <c r="H4" s="377" t="e">
        <f t="shared" si="0"/>
        <v>#N/A</v>
      </c>
      <c r="I4" s="377" t="e">
        <f t="shared" si="0"/>
        <v>#N/A</v>
      </c>
      <c r="J4" s="377" t="e">
        <f t="shared" si="0"/>
        <v>#N/A</v>
      </c>
      <c r="K4" s="377" t="e">
        <f t="shared" si="0"/>
        <v>#N/A</v>
      </c>
      <c r="L4" s="377" t="e">
        <f t="shared" si="0"/>
        <v>#N/A</v>
      </c>
      <c r="M4" s="377" t="e">
        <f t="shared" si="0"/>
        <v>#N/A</v>
      </c>
      <c r="N4" s="377" t="e">
        <f t="shared" si="0"/>
        <v>#N/A</v>
      </c>
      <c r="O4" s="377" t="e">
        <f t="shared" si="0"/>
        <v>#N/A</v>
      </c>
      <c r="P4" s="377" t="e">
        <f t="shared" si="0"/>
        <v>#N/A</v>
      </c>
    </row>
    <row r="5" spans="2:88">
      <c r="B5" s="375" t="s">
        <v>105</v>
      </c>
      <c r="C5" s="377" t="e">
        <f t="shared" ref="C5:P5" si="1">INDEX(C:C,MATCH("〇",$CG:$CG,0))</f>
        <v>#N/A</v>
      </c>
      <c r="D5" s="377" t="e">
        <f t="shared" si="1"/>
        <v>#N/A</v>
      </c>
      <c r="E5" s="377" t="e">
        <f t="shared" si="1"/>
        <v>#N/A</v>
      </c>
      <c r="F5" s="377" t="e">
        <f t="shared" si="1"/>
        <v>#N/A</v>
      </c>
      <c r="G5" s="377" t="e">
        <f t="shared" si="1"/>
        <v>#N/A</v>
      </c>
      <c r="H5" s="377" t="e">
        <f t="shared" si="1"/>
        <v>#N/A</v>
      </c>
      <c r="I5" s="377" t="e">
        <f t="shared" si="1"/>
        <v>#N/A</v>
      </c>
      <c r="J5" s="377" t="e">
        <f t="shared" si="1"/>
        <v>#N/A</v>
      </c>
      <c r="K5" s="377" t="e">
        <f t="shared" si="1"/>
        <v>#N/A</v>
      </c>
      <c r="L5" s="377" t="e">
        <f t="shared" si="1"/>
        <v>#N/A</v>
      </c>
      <c r="M5" s="377" t="e">
        <f t="shared" si="1"/>
        <v>#N/A</v>
      </c>
      <c r="N5" s="377" t="e">
        <f t="shared" si="1"/>
        <v>#N/A</v>
      </c>
      <c r="O5" s="377" t="e">
        <f t="shared" si="1"/>
        <v>#N/A</v>
      </c>
      <c r="P5" s="377" t="e">
        <f t="shared" si="1"/>
        <v>#N/A</v>
      </c>
    </row>
    <row r="6" spans="2:88">
      <c r="B6" s="375" t="s">
        <v>106</v>
      </c>
      <c r="C6" s="377" t="e">
        <f t="shared" ref="C6:P6" si="2">INDEX(C:C,MATCH("〇",$CH:$CH,0))</f>
        <v>#N/A</v>
      </c>
      <c r="D6" s="377" t="e">
        <f t="shared" si="2"/>
        <v>#N/A</v>
      </c>
      <c r="E6" s="377" t="e">
        <f t="shared" si="2"/>
        <v>#N/A</v>
      </c>
      <c r="F6" s="377" t="e">
        <f t="shared" si="2"/>
        <v>#N/A</v>
      </c>
      <c r="G6" s="377" t="e">
        <f t="shared" si="2"/>
        <v>#N/A</v>
      </c>
      <c r="H6" s="377" t="e">
        <f t="shared" si="2"/>
        <v>#N/A</v>
      </c>
      <c r="I6" s="377" t="e">
        <f t="shared" si="2"/>
        <v>#N/A</v>
      </c>
      <c r="J6" s="377" t="e">
        <f t="shared" si="2"/>
        <v>#N/A</v>
      </c>
      <c r="K6" s="377" t="e">
        <f t="shared" si="2"/>
        <v>#N/A</v>
      </c>
      <c r="L6" s="377" t="e">
        <f t="shared" si="2"/>
        <v>#N/A</v>
      </c>
      <c r="M6" s="377" t="e">
        <f t="shared" si="2"/>
        <v>#N/A</v>
      </c>
      <c r="N6" s="377" t="e">
        <f t="shared" si="2"/>
        <v>#N/A</v>
      </c>
      <c r="O6" s="377" t="e">
        <f t="shared" si="2"/>
        <v>#N/A</v>
      </c>
      <c r="P6" s="377" t="e">
        <f t="shared" si="2"/>
        <v>#N/A</v>
      </c>
    </row>
    <row r="7" spans="2:88">
      <c r="B7" s="375" t="s">
        <v>107</v>
      </c>
      <c r="C7" s="377" t="e">
        <f t="shared" ref="C7:P7" si="3">INDEX(C:C,MATCH("〇",$CI:$CI,0))</f>
        <v>#N/A</v>
      </c>
      <c r="D7" s="377" t="e">
        <f t="shared" si="3"/>
        <v>#N/A</v>
      </c>
      <c r="E7" s="377" t="e">
        <f t="shared" si="3"/>
        <v>#N/A</v>
      </c>
      <c r="F7" s="377" t="e">
        <f t="shared" si="3"/>
        <v>#N/A</v>
      </c>
      <c r="G7" s="377" t="e">
        <f t="shared" si="3"/>
        <v>#N/A</v>
      </c>
      <c r="H7" s="377" t="e">
        <f t="shared" si="3"/>
        <v>#N/A</v>
      </c>
      <c r="I7" s="377" t="e">
        <f t="shared" si="3"/>
        <v>#N/A</v>
      </c>
      <c r="J7" s="377" t="e">
        <f t="shared" si="3"/>
        <v>#N/A</v>
      </c>
      <c r="K7" s="377" t="e">
        <f t="shared" si="3"/>
        <v>#N/A</v>
      </c>
      <c r="L7" s="377" t="e">
        <f t="shared" si="3"/>
        <v>#N/A</v>
      </c>
      <c r="M7" s="377" t="e">
        <f t="shared" si="3"/>
        <v>#N/A</v>
      </c>
      <c r="N7" s="377" t="e">
        <f t="shared" si="3"/>
        <v>#N/A</v>
      </c>
      <c r="O7" s="377" t="e">
        <f t="shared" si="3"/>
        <v>#N/A</v>
      </c>
      <c r="P7" s="377" t="e">
        <f t="shared" si="3"/>
        <v>#N/A</v>
      </c>
    </row>
    <row r="8" spans="2:88">
      <c r="B8" s="375" t="s">
        <v>108</v>
      </c>
      <c r="C8" s="377" t="e">
        <f t="shared" ref="C8:P8" si="4">INDEX(C:C,MATCH("〇",$CJ:$CJ,0))</f>
        <v>#N/A</v>
      </c>
      <c r="D8" s="377" t="e">
        <f t="shared" si="4"/>
        <v>#N/A</v>
      </c>
      <c r="E8" s="377" t="e">
        <f t="shared" si="4"/>
        <v>#N/A</v>
      </c>
      <c r="F8" s="377" t="e">
        <f t="shared" si="4"/>
        <v>#N/A</v>
      </c>
      <c r="G8" s="377" t="e">
        <f t="shared" si="4"/>
        <v>#N/A</v>
      </c>
      <c r="H8" s="377" t="e">
        <f t="shared" si="4"/>
        <v>#N/A</v>
      </c>
      <c r="I8" s="377" t="e">
        <f t="shared" si="4"/>
        <v>#N/A</v>
      </c>
      <c r="J8" s="377" t="e">
        <f t="shared" si="4"/>
        <v>#N/A</v>
      </c>
      <c r="K8" s="377" t="e">
        <f t="shared" si="4"/>
        <v>#N/A</v>
      </c>
      <c r="L8" s="377" t="e">
        <f t="shared" si="4"/>
        <v>#N/A</v>
      </c>
      <c r="M8" s="377" t="e">
        <f t="shared" si="4"/>
        <v>#N/A</v>
      </c>
      <c r="N8" s="377" t="e">
        <f t="shared" si="4"/>
        <v>#N/A</v>
      </c>
      <c r="O8" s="377" t="e">
        <f t="shared" si="4"/>
        <v>#N/A</v>
      </c>
      <c r="P8" s="377" t="e">
        <f t="shared" si="4"/>
        <v>#N/A</v>
      </c>
    </row>
    <row r="9" spans="2:88">
      <c r="B9" s="375" t="s">
        <v>109</v>
      </c>
      <c r="C9" s="377" t="e">
        <f t="shared" ref="C9:P9" si="5">INDEX(C:C,MATCH("〇",$CK:$CK,0))</f>
        <v>#N/A</v>
      </c>
      <c r="D9" s="377" t="e">
        <f t="shared" si="5"/>
        <v>#N/A</v>
      </c>
      <c r="E9" s="377" t="e">
        <f t="shared" si="5"/>
        <v>#N/A</v>
      </c>
      <c r="F9" s="377" t="e">
        <f t="shared" si="5"/>
        <v>#N/A</v>
      </c>
      <c r="G9" s="377" t="e">
        <f t="shared" si="5"/>
        <v>#N/A</v>
      </c>
      <c r="H9" s="377" t="e">
        <f t="shared" si="5"/>
        <v>#N/A</v>
      </c>
      <c r="I9" s="377" t="e">
        <f t="shared" si="5"/>
        <v>#N/A</v>
      </c>
      <c r="J9" s="377" t="e">
        <f t="shared" si="5"/>
        <v>#N/A</v>
      </c>
      <c r="K9" s="377" t="e">
        <f t="shared" si="5"/>
        <v>#N/A</v>
      </c>
      <c r="L9" s="377" t="e">
        <f t="shared" si="5"/>
        <v>#N/A</v>
      </c>
      <c r="M9" s="377" t="e">
        <f t="shared" si="5"/>
        <v>#N/A</v>
      </c>
      <c r="N9" s="377" t="e">
        <f t="shared" si="5"/>
        <v>#N/A</v>
      </c>
      <c r="O9" s="377" t="e">
        <f t="shared" si="5"/>
        <v>#N/A</v>
      </c>
      <c r="P9" s="377" t="e">
        <f t="shared" si="5"/>
        <v>#N/A</v>
      </c>
    </row>
    <row r="10" spans="2:88">
      <c r="B10" s="375" t="s">
        <v>110</v>
      </c>
      <c r="C10" s="377" t="e">
        <f t="shared" ref="C10:P10" si="6">INDEX(C:C,MATCH("〇",$CL:$CL,0))</f>
        <v>#N/A</v>
      </c>
      <c r="D10" s="377" t="e">
        <f t="shared" si="6"/>
        <v>#N/A</v>
      </c>
      <c r="E10" s="377" t="e">
        <f t="shared" si="6"/>
        <v>#N/A</v>
      </c>
      <c r="F10" s="377" t="e">
        <f t="shared" si="6"/>
        <v>#N/A</v>
      </c>
      <c r="G10" s="377" t="e">
        <f t="shared" si="6"/>
        <v>#N/A</v>
      </c>
      <c r="H10" s="377" t="e">
        <f t="shared" si="6"/>
        <v>#N/A</v>
      </c>
      <c r="I10" s="377" t="e">
        <f t="shared" si="6"/>
        <v>#N/A</v>
      </c>
      <c r="J10" s="377" t="e">
        <f t="shared" si="6"/>
        <v>#N/A</v>
      </c>
      <c r="K10" s="377" t="e">
        <f t="shared" si="6"/>
        <v>#N/A</v>
      </c>
      <c r="L10" s="377" t="e">
        <f t="shared" si="6"/>
        <v>#N/A</v>
      </c>
      <c r="M10" s="377" t="e">
        <f t="shared" si="6"/>
        <v>#N/A</v>
      </c>
      <c r="N10" s="377" t="e">
        <f t="shared" si="6"/>
        <v>#N/A</v>
      </c>
      <c r="O10" s="377" t="e">
        <f t="shared" si="6"/>
        <v>#N/A</v>
      </c>
      <c r="P10" s="377" t="e">
        <f t="shared" si="6"/>
        <v>#N/A</v>
      </c>
    </row>
    <row r="11" spans="2:88">
      <c r="B11" s="375" t="s">
        <v>111</v>
      </c>
      <c r="C11" s="377" t="e">
        <f t="shared" ref="C11:P11" si="7">INDEX(C:C,MATCH("〇",$CM:$CM,0))</f>
        <v>#N/A</v>
      </c>
      <c r="D11" s="377" t="e">
        <f t="shared" si="7"/>
        <v>#N/A</v>
      </c>
      <c r="E11" s="377" t="e">
        <f t="shared" si="7"/>
        <v>#N/A</v>
      </c>
      <c r="F11" s="377" t="e">
        <f t="shared" si="7"/>
        <v>#N/A</v>
      </c>
      <c r="G11" s="377" t="e">
        <f t="shared" si="7"/>
        <v>#N/A</v>
      </c>
      <c r="H11" s="377" t="e">
        <f t="shared" si="7"/>
        <v>#N/A</v>
      </c>
      <c r="I11" s="377" t="e">
        <f t="shared" si="7"/>
        <v>#N/A</v>
      </c>
      <c r="J11" s="377" t="e">
        <f t="shared" si="7"/>
        <v>#N/A</v>
      </c>
      <c r="K11" s="377" t="e">
        <f t="shared" si="7"/>
        <v>#N/A</v>
      </c>
      <c r="L11" s="377" t="e">
        <f t="shared" si="7"/>
        <v>#N/A</v>
      </c>
      <c r="M11" s="377" t="e">
        <f t="shared" si="7"/>
        <v>#N/A</v>
      </c>
      <c r="N11" s="377" t="e">
        <f t="shared" si="7"/>
        <v>#N/A</v>
      </c>
      <c r="O11" s="377" t="e">
        <f t="shared" si="7"/>
        <v>#N/A</v>
      </c>
      <c r="P11" s="377" t="e">
        <f t="shared" si="7"/>
        <v>#N/A</v>
      </c>
      <c r="CJ11" s="378"/>
    </row>
    <row r="12" spans="2:88">
      <c r="B12" s="375" t="s">
        <v>112</v>
      </c>
      <c r="C12" s="377" t="e">
        <f t="shared" ref="C12:P12" si="8">INDEX(C:C,MATCH("〇",$CN:$CN,0))</f>
        <v>#N/A</v>
      </c>
      <c r="D12" s="377" t="e">
        <f t="shared" si="8"/>
        <v>#N/A</v>
      </c>
      <c r="E12" s="377" t="e">
        <f t="shared" si="8"/>
        <v>#N/A</v>
      </c>
      <c r="F12" s="377" t="e">
        <f t="shared" si="8"/>
        <v>#N/A</v>
      </c>
      <c r="G12" s="377" t="e">
        <f t="shared" si="8"/>
        <v>#N/A</v>
      </c>
      <c r="H12" s="377" t="e">
        <f t="shared" si="8"/>
        <v>#N/A</v>
      </c>
      <c r="I12" s="377" t="e">
        <f t="shared" si="8"/>
        <v>#N/A</v>
      </c>
      <c r="J12" s="377" t="e">
        <f t="shared" si="8"/>
        <v>#N/A</v>
      </c>
      <c r="K12" s="377" t="e">
        <f t="shared" si="8"/>
        <v>#N/A</v>
      </c>
      <c r="L12" s="377" t="e">
        <f t="shared" si="8"/>
        <v>#N/A</v>
      </c>
      <c r="M12" s="377" t="e">
        <f t="shared" si="8"/>
        <v>#N/A</v>
      </c>
      <c r="N12" s="377" t="e">
        <f t="shared" si="8"/>
        <v>#N/A</v>
      </c>
      <c r="O12" s="377" t="e">
        <f t="shared" si="8"/>
        <v>#N/A</v>
      </c>
      <c r="P12" s="377" t="e">
        <f t="shared" si="8"/>
        <v>#N/A</v>
      </c>
    </row>
    <row r="13" spans="2:88">
      <c r="B13" s="375" t="s">
        <v>113</v>
      </c>
      <c r="C13" s="377" t="e">
        <f t="shared" ref="C13:P13" si="9">INDEX(C:C,MATCH("〇",$CO:$CO,0))</f>
        <v>#N/A</v>
      </c>
      <c r="D13" s="377" t="e">
        <f t="shared" si="9"/>
        <v>#N/A</v>
      </c>
      <c r="E13" s="377" t="e">
        <f t="shared" si="9"/>
        <v>#N/A</v>
      </c>
      <c r="F13" s="377" t="e">
        <f t="shared" si="9"/>
        <v>#N/A</v>
      </c>
      <c r="G13" s="377" t="e">
        <f t="shared" si="9"/>
        <v>#N/A</v>
      </c>
      <c r="H13" s="377" t="e">
        <f t="shared" si="9"/>
        <v>#N/A</v>
      </c>
      <c r="I13" s="377" t="e">
        <f t="shared" si="9"/>
        <v>#N/A</v>
      </c>
      <c r="J13" s="377" t="e">
        <f t="shared" si="9"/>
        <v>#N/A</v>
      </c>
      <c r="K13" s="377" t="e">
        <f t="shared" si="9"/>
        <v>#N/A</v>
      </c>
      <c r="L13" s="377" t="e">
        <f t="shared" si="9"/>
        <v>#N/A</v>
      </c>
      <c r="M13" s="377" t="e">
        <f t="shared" si="9"/>
        <v>#N/A</v>
      </c>
      <c r="N13" s="377" t="e">
        <f t="shared" si="9"/>
        <v>#N/A</v>
      </c>
      <c r="O13" s="377" t="e">
        <f t="shared" si="9"/>
        <v>#N/A</v>
      </c>
      <c r="P13" s="377" t="e">
        <f t="shared" si="9"/>
        <v>#N/A</v>
      </c>
    </row>
    <row r="14" spans="2:88">
      <c r="B14" s="375" t="s">
        <v>114</v>
      </c>
      <c r="C14" s="377" t="e">
        <f t="shared" ref="C14:P14" si="10">INDEX(C:C,MATCH("〇",$CP:$CP,0))</f>
        <v>#N/A</v>
      </c>
      <c r="D14" s="377" t="e">
        <f t="shared" si="10"/>
        <v>#N/A</v>
      </c>
      <c r="E14" s="377" t="e">
        <f t="shared" si="10"/>
        <v>#N/A</v>
      </c>
      <c r="F14" s="377" t="e">
        <f t="shared" si="10"/>
        <v>#N/A</v>
      </c>
      <c r="G14" s="377" t="e">
        <f t="shared" si="10"/>
        <v>#N/A</v>
      </c>
      <c r="H14" s="377" t="e">
        <f t="shared" si="10"/>
        <v>#N/A</v>
      </c>
      <c r="I14" s="377" t="e">
        <f t="shared" si="10"/>
        <v>#N/A</v>
      </c>
      <c r="J14" s="377" t="e">
        <f t="shared" si="10"/>
        <v>#N/A</v>
      </c>
      <c r="K14" s="377" t="e">
        <f t="shared" si="10"/>
        <v>#N/A</v>
      </c>
      <c r="L14" s="377" t="e">
        <f t="shared" si="10"/>
        <v>#N/A</v>
      </c>
      <c r="M14" s="377" t="e">
        <f t="shared" si="10"/>
        <v>#N/A</v>
      </c>
      <c r="N14" s="377" t="e">
        <f t="shared" si="10"/>
        <v>#N/A</v>
      </c>
      <c r="O14" s="377" t="e">
        <f t="shared" si="10"/>
        <v>#N/A</v>
      </c>
      <c r="P14" s="377" t="e">
        <f t="shared" si="10"/>
        <v>#N/A</v>
      </c>
    </row>
    <row r="15" spans="2:88">
      <c r="B15" s="375" t="s">
        <v>115</v>
      </c>
      <c r="C15" s="377" t="e">
        <f t="shared" ref="C15:P15" si="11">INDEX(C:C,MATCH("〇",$CQ:$CQ,0))</f>
        <v>#N/A</v>
      </c>
      <c r="D15" s="377" t="e">
        <f t="shared" si="11"/>
        <v>#N/A</v>
      </c>
      <c r="E15" s="377" t="e">
        <f t="shared" si="11"/>
        <v>#N/A</v>
      </c>
      <c r="F15" s="377" t="e">
        <f t="shared" si="11"/>
        <v>#N/A</v>
      </c>
      <c r="G15" s="377" t="e">
        <f t="shared" si="11"/>
        <v>#N/A</v>
      </c>
      <c r="H15" s="377" t="e">
        <f t="shared" si="11"/>
        <v>#N/A</v>
      </c>
      <c r="I15" s="377" t="e">
        <f t="shared" si="11"/>
        <v>#N/A</v>
      </c>
      <c r="J15" s="377" t="e">
        <f t="shared" si="11"/>
        <v>#N/A</v>
      </c>
      <c r="K15" s="377" t="e">
        <f t="shared" si="11"/>
        <v>#N/A</v>
      </c>
      <c r="L15" s="377" t="e">
        <f t="shared" si="11"/>
        <v>#N/A</v>
      </c>
      <c r="M15" s="377" t="e">
        <f t="shared" si="11"/>
        <v>#N/A</v>
      </c>
      <c r="N15" s="377" t="e">
        <f t="shared" si="11"/>
        <v>#N/A</v>
      </c>
      <c r="O15" s="377" t="e">
        <f t="shared" si="11"/>
        <v>#N/A</v>
      </c>
      <c r="P15" s="377" t="e">
        <f t="shared" si="11"/>
        <v>#N/A</v>
      </c>
    </row>
    <row r="16" spans="2:88">
      <c r="R16" s="374" t="s">
        <v>1382</v>
      </c>
      <c r="AE16" s="374" t="s">
        <v>1383</v>
      </c>
      <c r="AR16" s="374" t="s">
        <v>1382</v>
      </c>
      <c r="BE16" s="374" t="s">
        <v>1382</v>
      </c>
      <c r="BR16" s="374" t="s">
        <v>1382</v>
      </c>
      <c r="CE16" s="374" t="s">
        <v>1382</v>
      </c>
    </row>
    <row r="17" spans="3:95" ht="15.5" thickBot="1">
      <c r="C17" s="982" t="s">
        <v>921</v>
      </c>
      <c r="D17" s="982"/>
      <c r="E17" s="982" t="s">
        <v>922</v>
      </c>
      <c r="F17" s="982"/>
      <c r="G17" s="982" t="s">
        <v>923</v>
      </c>
      <c r="H17" s="982"/>
      <c r="I17" s="982" t="s">
        <v>924</v>
      </c>
      <c r="J17" s="982"/>
      <c r="K17" s="982" t="s">
        <v>925</v>
      </c>
      <c r="L17" s="982"/>
      <c r="M17" s="982" t="s">
        <v>1378</v>
      </c>
      <c r="N17" s="982"/>
      <c r="O17" s="982" t="s">
        <v>926</v>
      </c>
      <c r="P17" s="982"/>
      <c r="R17" s="379" t="s">
        <v>1384</v>
      </c>
      <c r="S17" s="380" t="s">
        <v>1381</v>
      </c>
      <c r="T17" s="380" t="s">
        <v>105</v>
      </c>
      <c r="U17" s="380" t="s">
        <v>106</v>
      </c>
      <c r="V17" s="380" t="s">
        <v>107</v>
      </c>
      <c r="W17" s="380" t="s">
        <v>108</v>
      </c>
      <c r="X17" s="380" t="s">
        <v>109</v>
      </c>
      <c r="Y17" s="380" t="s">
        <v>110</v>
      </c>
      <c r="Z17" s="380" t="s">
        <v>111</v>
      </c>
      <c r="AA17" s="380" t="s">
        <v>112</v>
      </c>
      <c r="AB17" s="380" t="s">
        <v>113</v>
      </c>
      <c r="AC17" s="380" t="s">
        <v>114</v>
      </c>
      <c r="AD17" s="380" t="s">
        <v>115</v>
      </c>
      <c r="AE17" s="379" t="s">
        <v>1385</v>
      </c>
      <c r="AF17" s="380" t="s">
        <v>1381</v>
      </c>
      <c r="AG17" s="380" t="s">
        <v>105</v>
      </c>
      <c r="AH17" s="380" t="s">
        <v>106</v>
      </c>
      <c r="AI17" s="380" t="s">
        <v>107</v>
      </c>
      <c r="AJ17" s="380" t="s">
        <v>108</v>
      </c>
      <c r="AK17" s="380" t="s">
        <v>109</v>
      </c>
      <c r="AL17" s="380" t="s">
        <v>110</v>
      </c>
      <c r="AM17" s="380" t="s">
        <v>111</v>
      </c>
      <c r="AN17" s="380" t="s">
        <v>112</v>
      </c>
      <c r="AO17" s="380" t="s">
        <v>113</v>
      </c>
      <c r="AP17" s="380" t="s">
        <v>114</v>
      </c>
      <c r="AQ17" s="380" t="s">
        <v>115</v>
      </c>
      <c r="AR17" s="379" t="s">
        <v>1386</v>
      </c>
      <c r="AS17" s="380" t="s">
        <v>1381</v>
      </c>
      <c r="AT17" s="380" t="s">
        <v>105</v>
      </c>
      <c r="AU17" s="380" t="s">
        <v>106</v>
      </c>
      <c r="AV17" s="380" t="s">
        <v>107</v>
      </c>
      <c r="AW17" s="380" t="s">
        <v>108</v>
      </c>
      <c r="AX17" s="380" t="s">
        <v>109</v>
      </c>
      <c r="AY17" s="380" t="s">
        <v>110</v>
      </c>
      <c r="AZ17" s="380" t="s">
        <v>111</v>
      </c>
      <c r="BA17" s="380" t="s">
        <v>112</v>
      </c>
      <c r="BB17" s="380" t="s">
        <v>113</v>
      </c>
      <c r="BC17" s="380" t="s">
        <v>114</v>
      </c>
      <c r="BD17" s="380" t="s">
        <v>115</v>
      </c>
      <c r="BE17" s="379" t="s">
        <v>1387</v>
      </c>
      <c r="BF17" s="380" t="s">
        <v>1381</v>
      </c>
      <c r="BG17" s="380" t="s">
        <v>105</v>
      </c>
      <c r="BH17" s="380" t="s">
        <v>106</v>
      </c>
      <c r="BI17" s="380" t="s">
        <v>107</v>
      </c>
      <c r="BJ17" s="380" t="s">
        <v>108</v>
      </c>
      <c r="BK17" s="380" t="s">
        <v>109</v>
      </c>
      <c r="BL17" s="380" t="s">
        <v>110</v>
      </c>
      <c r="BM17" s="380" t="s">
        <v>111</v>
      </c>
      <c r="BN17" s="380" t="s">
        <v>112</v>
      </c>
      <c r="BO17" s="380" t="s">
        <v>113</v>
      </c>
      <c r="BP17" s="380" t="s">
        <v>114</v>
      </c>
      <c r="BQ17" s="380" t="s">
        <v>115</v>
      </c>
      <c r="BR17" s="379" t="s">
        <v>1388</v>
      </c>
      <c r="BS17" s="380" t="s">
        <v>1381</v>
      </c>
      <c r="BT17" s="380" t="s">
        <v>105</v>
      </c>
      <c r="BU17" s="380" t="s">
        <v>106</v>
      </c>
      <c r="BV17" s="380" t="s">
        <v>107</v>
      </c>
      <c r="BW17" s="380" t="s">
        <v>108</v>
      </c>
      <c r="BX17" s="380" t="s">
        <v>109</v>
      </c>
      <c r="BY17" s="380" t="s">
        <v>110</v>
      </c>
      <c r="BZ17" s="380" t="s">
        <v>111</v>
      </c>
      <c r="CA17" s="380" t="s">
        <v>112</v>
      </c>
      <c r="CB17" s="380" t="s">
        <v>113</v>
      </c>
      <c r="CC17" s="380" t="s">
        <v>114</v>
      </c>
      <c r="CD17" s="380" t="s">
        <v>115</v>
      </c>
      <c r="CE17" s="379" t="s">
        <v>1389</v>
      </c>
      <c r="CF17" s="380" t="s">
        <v>1381</v>
      </c>
      <c r="CG17" s="380" t="s">
        <v>105</v>
      </c>
      <c r="CH17" s="380" t="s">
        <v>106</v>
      </c>
      <c r="CI17" s="380" t="s">
        <v>107</v>
      </c>
      <c r="CJ17" s="380" t="s">
        <v>108</v>
      </c>
      <c r="CK17" s="380" t="s">
        <v>109</v>
      </c>
      <c r="CL17" s="380" t="s">
        <v>110</v>
      </c>
      <c r="CM17" s="380" t="s">
        <v>111</v>
      </c>
      <c r="CN17" s="380" t="s">
        <v>112</v>
      </c>
      <c r="CO17" s="380" t="s">
        <v>113</v>
      </c>
      <c r="CP17" s="380" t="s">
        <v>114</v>
      </c>
      <c r="CQ17" s="380" t="s">
        <v>115</v>
      </c>
    </row>
    <row r="18" spans="3:95" ht="16" thickTop="1" thickBot="1">
      <c r="C18" s="375" t="s">
        <v>1379</v>
      </c>
      <c r="D18" s="376" t="s">
        <v>1380</v>
      </c>
      <c r="E18" s="376" t="s">
        <v>1379</v>
      </c>
      <c r="F18" s="376" t="s">
        <v>1380</v>
      </c>
      <c r="G18" s="376" t="s">
        <v>1379</v>
      </c>
      <c r="H18" s="376" t="s">
        <v>1380</v>
      </c>
      <c r="I18" s="376" t="s">
        <v>1379</v>
      </c>
      <c r="J18" s="376" t="s">
        <v>1380</v>
      </c>
      <c r="K18" s="376" t="s">
        <v>1379</v>
      </c>
      <c r="L18" s="376" t="s">
        <v>1380</v>
      </c>
      <c r="M18" s="376" t="s">
        <v>1379</v>
      </c>
      <c r="N18" s="376" t="s">
        <v>1380</v>
      </c>
      <c r="O18" s="376" t="s">
        <v>1379</v>
      </c>
      <c r="P18" s="376" t="s">
        <v>1380</v>
      </c>
      <c r="R18" s="381"/>
      <c r="S18" s="381" t="e">
        <f>補助転記!F7</f>
        <v>#DIV/0!</v>
      </c>
      <c r="T18" s="381" t="e">
        <f>補助転記!F8</f>
        <v>#DIV/0!</v>
      </c>
      <c r="U18" s="381" t="e">
        <f>補助転記!F9</f>
        <v>#DIV/0!</v>
      </c>
      <c r="V18" s="381" t="e">
        <f>補助転記!F10</f>
        <v>#DIV/0!</v>
      </c>
      <c r="W18" s="381" t="e">
        <f>補助転記!F11</f>
        <v>#DIV/0!</v>
      </c>
      <c r="X18" s="381" t="e">
        <f>補助転記!F12</f>
        <v>#DIV/0!</v>
      </c>
      <c r="Y18" s="381" t="e">
        <f>補助転記!F13</f>
        <v>#DIV/0!</v>
      </c>
      <c r="Z18" s="381" t="e">
        <f>補助転記!F14</f>
        <v>#DIV/0!</v>
      </c>
      <c r="AA18" s="381" t="e">
        <f>補助転記!F15</f>
        <v>#DIV/0!</v>
      </c>
      <c r="AB18" s="381" t="e">
        <f>補助転記!F16</f>
        <v>#DIV/0!</v>
      </c>
      <c r="AC18" s="381" t="e">
        <f>補助転記!F17</f>
        <v>#DIV/0!</v>
      </c>
      <c r="AD18" s="381" t="e">
        <f>補助転記!F18</f>
        <v>#DIV/0!</v>
      </c>
      <c r="AE18" s="381"/>
      <c r="AF18" s="381">
        <f>①基本情報!F27</f>
        <v>0</v>
      </c>
      <c r="AG18" s="381">
        <f>①基本情報!G27</f>
        <v>0</v>
      </c>
      <c r="AH18" s="381">
        <f>①基本情報!H27</f>
        <v>0</v>
      </c>
      <c r="AI18" s="381">
        <f>①基本情報!I27</f>
        <v>0</v>
      </c>
      <c r="AJ18" s="381">
        <f>①基本情報!J27</f>
        <v>0</v>
      </c>
      <c r="AK18" s="381">
        <f>①基本情報!K27</f>
        <v>0</v>
      </c>
      <c r="AL18" s="381">
        <f>①基本情報!L27</f>
        <v>0</v>
      </c>
      <c r="AM18" s="381">
        <f>①基本情報!M27</f>
        <v>0</v>
      </c>
      <c r="AN18" s="381">
        <f>①基本情報!N27</f>
        <v>0</v>
      </c>
      <c r="AO18" s="381">
        <f>①基本情報!O27</f>
        <v>0</v>
      </c>
      <c r="AP18" s="381">
        <f>①基本情報!P27</f>
        <v>0</v>
      </c>
      <c r="AQ18" s="381">
        <f>①基本情報!Q27</f>
        <v>0</v>
      </c>
      <c r="AR18" s="381"/>
      <c r="AS18" s="381">
        <f>IF(補助転記!AB7&gt;35,1,0)</f>
        <v>0</v>
      </c>
      <c r="AT18" s="381">
        <f>IF(補助転記!AB8&gt;35,1,0)</f>
        <v>0</v>
      </c>
      <c r="AU18" s="381">
        <f>IF(補助転記!AB9&gt;35,1,0)</f>
        <v>0</v>
      </c>
      <c r="AV18" s="381">
        <f>IF(補助転記!AB10&gt;35,1,0)</f>
        <v>0</v>
      </c>
      <c r="AW18" s="381">
        <f>IF(補助転記!AB11&gt;35,1,0)</f>
        <v>0</v>
      </c>
      <c r="AX18" s="381">
        <f>IF(補助転記!AB12&gt;35,1,0)</f>
        <v>0</v>
      </c>
      <c r="AY18" s="381">
        <f>IF(補助転記!AB13&gt;35,1,0)</f>
        <v>0</v>
      </c>
      <c r="AZ18" s="381">
        <f>IF(補助転記!AB14&gt;35,1,0)</f>
        <v>0</v>
      </c>
      <c r="BA18" s="381">
        <f>IF(補助転記!AB15&gt;35,1,0)</f>
        <v>0</v>
      </c>
      <c r="BB18" s="381">
        <f>IF(補助転記!AB16&gt;35,1,0)</f>
        <v>0</v>
      </c>
      <c r="BC18" s="381">
        <f>IF(補助転記!AB17&gt;35,1,0)</f>
        <v>0</v>
      </c>
      <c r="BD18" s="381">
        <f>IF(補助転記!AB18&gt;35,1,0)</f>
        <v>0</v>
      </c>
      <c r="BE18" s="381"/>
      <c r="BF18" s="381" t="e">
        <f>ROUNDDOWN(補助転記!M7,0)</f>
        <v>#DIV/0!</v>
      </c>
      <c r="BG18" s="381" t="e">
        <f>ROUNDDOWN(補助転記!M8,0)</f>
        <v>#DIV/0!</v>
      </c>
      <c r="BH18" s="381" t="e">
        <f>ROUNDDOWN(補助転記!M9,0)</f>
        <v>#DIV/0!</v>
      </c>
      <c r="BI18" s="381" t="e">
        <f>ROUNDDOWN(補助転記!M10,0)</f>
        <v>#DIV/0!</v>
      </c>
      <c r="BJ18" s="381" t="e">
        <f>ROUNDDOWN(補助転記!M11,0)</f>
        <v>#DIV/0!</v>
      </c>
      <c r="BK18" s="381" t="e">
        <f>ROUNDDOWN(補助転記!M12,0)</f>
        <v>#DIV/0!</v>
      </c>
      <c r="BL18" s="381" t="e">
        <f>ROUNDDOWN(補助転記!M13,0)</f>
        <v>#DIV/0!</v>
      </c>
      <c r="BM18" s="381" t="e">
        <f>ROUNDDOWN(補助転記!M14,0)</f>
        <v>#DIV/0!</v>
      </c>
      <c r="BN18" s="381" t="e">
        <f>ROUNDDOWN(補助転記!M15,0)</f>
        <v>#DIV/0!</v>
      </c>
      <c r="BO18" s="381" t="e">
        <f>ROUNDDOWN(補助転記!M16,0)</f>
        <v>#DIV/0!</v>
      </c>
      <c r="BP18" s="381" t="e">
        <f>ROUNDDOWN(補助転記!M17,0)</f>
        <v>#DIV/0!</v>
      </c>
      <c r="BQ18" s="381" t="e">
        <f>ROUNDDOWN(補助転記!M18,0)</f>
        <v>#DIV/0!</v>
      </c>
      <c r="BR18" s="381"/>
      <c r="BS18" s="381" t="e">
        <f>ROUNDDOWN(補助転記!AT7,0)</f>
        <v>#DIV/0!</v>
      </c>
      <c r="BT18" s="381" t="e">
        <f>ROUNDDOWN(補助転記!AT8,0)</f>
        <v>#DIV/0!</v>
      </c>
      <c r="BU18" s="381" t="e">
        <f>ROUNDDOWN(補助転記!AT9,0)</f>
        <v>#DIV/0!</v>
      </c>
      <c r="BV18" s="381" t="e">
        <f>ROUNDDOWN(補助転記!AT10,0)</f>
        <v>#DIV/0!</v>
      </c>
      <c r="BW18" s="381" t="e">
        <f>ROUNDDOWN(補助転記!AT11,0)</f>
        <v>#DIV/0!</v>
      </c>
      <c r="BX18" s="381" t="e">
        <f>ROUNDDOWN(補助転記!AT12,0)</f>
        <v>#DIV/0!</v>
      </c>
      <c r="BY18" s="381" t="e">
        <f>ROUNDDOWN(補助転記!AT13,0)</f>
        <v>#DIV/0!</v>
      </c>
      <c r="BZ18" s="381" t="e">
        <f>ROUNDDOWN(補助転記!AT14,0)</f>
        <v>#DIV/0!</v>
      </c>
      <c r="CA18" s="381" t="e">
        <f>ROUNDDOWN(補助転記!AT15,0)</f>
        <v>#DIV/0!</v>
      </c>
      <c r="CB18" s="381" t="e">
        <f>ROUNDDOWN(補助転記!AT16,0)</f>
        <v>#DIV/0!</v>
      </c>
      <c r="CC18" s="381" t="e">
        <f>ROUNDDOWN(補助転記!AT17,0)</f>
        <v>#DIV/0!</v>
      </c>
      <c r="CD18" s="381" t="e">
        <f>ROUNDDOWN(補助転記!AT18,0)</f>
        <v>#DIV/0!</v>
      </c>
      <c r="CE18" s="381"/>
      <c r="CF18" s="381" t="e">
        <f>ROUNDDOWN((補助転記!AU7+補助転記!L7),0)</f>
        <v>#DIV/0!</v>
      </c>
      <c r="CG18" s="381" t="e">
        <f>ROUNDDOWN((補助転記!AU8+補助転記!L8),0)</f>
        <v>#DIV/0!</v>
      </c>
      <c r="CH18" s="381" t="e">
        <f>ROUNDDOWN((補助転記!AU9+補助転記!L9),0)</f>
        <v>#DIV/0!</v>
      </c>
      <c r="CI18" s="381" t="e">
        <f>ROUNDDOWN((補助転記!AU10+補助転記!L10),0)</f>
        <v>#DIV/0!</v>
      </c>
      <c r="CJ18" s="381" t="e">
        <f>ROUNDDOWN((補助転記!AU11+補助転記!L11),0)</f>
        <v>#DIV/0!</v>
      </c>
      <c r="CK18" s="381" t="e">
        <f>ROUNDDOWN((補助転記!AU12+補助転記!L12),0)</f>
        <v>#DIV/0!</v>
      </c>
      <c r="CL18" s="381" t="e">
        <f>ROUNDDOWN((補助転記!AU13+補助転記!L13),0)</f>
        <v>#DIV/0!</v>
      </c>
      <c r="CM18" s="381" t="e">
        <f>ROUNDDOWN((補助転記!AU14+補助転記!L14),0)</f>
        <v>#DIV/0!</v>
      </c>
      <c r="CN18" s="381" t="e">
        <f>ROUNDDOWN((補助転記!AU15+補助転記!L15),0)</f>
        <v>#DIV/0!</v>
      </c>
      <c r="CO18" s="381" t="e">
        <f>ROUNDDOWN((補助転記!AU16+補助転記!L16),0)</f>
        <v>#DIV/0!</v>
      </c>
      <c r="CP18" s="381" t="e">
        <f>ROUNDDOWN((補助転記!AU17+補助転記!L17),0)</f>
        <v>#DIV/0!</v>
      </c>
      <c r="CQ18" s="381" t="e">
        <f>ROUNDDOWN((補助転記!AU18+補助転記!L18),0)</f>
        <v>#DIV/0!</v>
      </c>
    </row>
    <row r="19" spans="3:95" ht="15.5" thickTop="1">
      <c r="C19" s="382" t="s">
        <v>1390</v>
      </c>
      <c r="D19" s="382" t="s">
        <v>1390</v>
      </c>
      <c r="E19" s="382" t="s">
        <v>1390</v>
      </c>
      <c r="F19" s="382" t="s">
        <v>1390</v>
      </c>
      <c r="G19" s="382" t="s">
        <v>1390</v>
      </c>
      <c r="H19" s="382" t="s">
        <v>1390</v>
      </c>
      <c r="I19" s="382" t="s">
        <v>1390</v>
      </c>
      <c r="J19" s="382" t="s">
        <v>1390</v>
      </c>
      <c r="K19" s="382" t="s">
        <v>1390</v>
      </c>
      <c r="L19" s="382" t="s">
        <v>1390</v>
      </c>
      <c r="M19" s="382" t="s">
        <v>1390</v>
      </c>
      <c r="N19" s="382" t="s">
        <v>1390</v>
      </c>
      <c r="O19" s="382" t="s">
        <v>1390</v>
      </c>
      <c r="P19" s="382" t="s">
        <v>1390</v>
      </c>
      <c r="R19" s="383" t="s">
        <v>1391</v>
      </c>
      <c r="S19" s="383" t="e">
        <f>IF(S18&lt;0,"〇","")</f>
        <v>#DIV/0!</v>
      </c>
      <c r="T19" s="383" t="e">
        <f t="shared" ref="T19:AD19" si="12">IF(T18&lt;0,"〇","")</f>
        <v>#DIV/0!</v>
      </c>
      <c r="U19" s="383" t="e">
        <f t="shared" si="12"/>
        <v>#DIV/0!</v>
      </c>
      <c r="V19" s="383" t="e">
        <f t="shared" si="12"/>
        <v>#DIV/0!</v>
      </c>
      <c r="W19" s="383" t="e">
        <f t="shared" si="12"/>
        <v>#DIV/0!</v>
      </c>
      <c r="X19" s="383" t="e">
        <f t="shared" si="12"/>
        <v>#DIV/0!</v>
      </c>
      <c r="Y19" s="383" t="e">
        <f t="shared" si="12"/>
        <v>#DIV/0!</v>
      </c>
      <c r="Z19" s="383" t="e">
        <f t="shared" si="12"/>
        <v>#DIV/0!</v>
      </c>
      <c r="AA19" s="383" t="e">
        <f t="shared" si="12"/>
        <v>#DIV/0!</v>
      </c>
      <c r="AB19" s="383" t="e">
        <f t="shared" si="12"/>
        <v>#DIV/0!</v>
      </c>
      <c r="AC19" s="383" t="e">
        <f t="shared" si="12"/>
        <v>#DIV/0!</v>
      </c>
      <c r="AD19" s="383" t="e">
        <f t="shared" si="12"/>
        <v>#DIV/0!</v>
      </c>
      <c r="AE19" s="383" t="s">
        <v>1390</v>
      </c>
      <c r="AF19" s="383" t="e">
        <f>IF(S19="","","〇")</f>
        <v>#DIV/0!</v>
      </c>
      <c r="AG19" s="383" t="e">
        <f t="shared" ref="AG19:AQ29" si="13">IF(T19="","","〇")</f>
        <v>#DIV/0!</v>
      </c>
      <c r="AH19" s="383" t="e">
        <f t="shared" si="13"/>
        <v>#DIV/0!</v>
      </c>
      <c r="AI19" s="383" t="e">
        <f t="shared" si="13"/>
        <v>#DIV/0!</v>
      </c>
      <c r="AJ19" s="383" t="e">
        <f t="shared" si="13"/>
        <v>#DIV/0!</v>
      </c>
      <c r="AK19" s="383" t="e">
        <f t="shared" si="13"/>
        <v>#DIV/0!</v>
      </c>
      <c r="AL19" s="383" t="e">
        <f t="shared" si="13"/>
        <v>#DIV/0!</v>
      </c>
      <c r="AM19" s="383" t="e">
        <f t="shared" si="13"/>
        <v>#DIV/0!</v>
      </c>
      <c r="AN19" s="383" t="e">
        <f t="shared" si="13"/>
        <v>#DIV/0!</v>
      </c>
      <c r="AO19" s="383" t="e">
        <f t="shared" si="13"/>
        <v>#DIV/0!</v>
      </c>
      <c r="AP19" s="383" t="e">
        <f t="shared" si="13"/>
        <v>#DIV/0!</v>
      </c>
      <c r="AQ19" s="383" t="e">
        <f t="shared" si="13"/>
        <v>#DIV/0!</v>
      </c>
      <c r="AR19" s="384" t="s">
        <v>1390</v>
      </c>
      <c r="AS19" s="383" t="e">
        <f>IF(AF19="","","〇")</f>
        <v>#DIV/0!</v>
      </c>
      <c r="AT19" s="383" t="e">
        <f t="shared" ref="AT19:BD34" si="14">IF(AG19="","","〇")</f>
        <v>#DIV/0!</v>
      </c>
      <c r="AU19" s="383" t="e">
        <f t="shared" si="14"/>
        <v>#DIV/0!</v>
      </c>
      <c r="AV19" s="383" t="e">
        <f t="shared" si="14"/>
        <v>#DIV/0!</v>
      </c>
      <c r="AW19" s="383" t="e">
        <f t="shared" si="14"/>
        <v>#DIV/0!</v>
      </c>
      <c r="AX19" s="383" t="e">
        <f t="shared" si="14"/>
        <v>#DIV/0!</v>
      </c>
      <c r="AY19" s="383" t="e">
        <f t="shared" si="14"/>
        <v>#DIV/0!</v>
      </c>
      <c r="AZ19" s="383" t="e">
        <f t="shared" si="14"/>
        <v>#DIV/0!</v>
      </c>
      <c r="BA19" s="383" t="e">
        <f t="shared" si="14"/>
        <v>#DIV/0!</v>
      </c>
      <c r="BB19" s="383" t="e">
        <f t="shared" si="14"/>
        <v>#DIV/0!</v>
      </c>
      <c r="BC19" s="383" t="e">
        <f t="shared" si="14"/>
        <v>#DIV/0!</v>
      </c>
      <c r="BD19" s="383" t="e">
        <f t="shared" si="14"/>
        <v>#DIV/0!</v>
      </c>
      <c r="BE19" s="384" t="s">
        <v>1390</v>
      </c>
      <c r="BF19" s="383" t="e">
        <f>IF(AS19="","","〇")</f>
        <v>#DIV/0!</v>
      </c>
      <c r="BG19" s="383" t="e">
        <f t="shared" ref="BG19:BQ19" si="15">IF(AT19="","","〇")</f>
        <v>#DIV/0!</v>
      </c>
      <c r="BH19" s="383" t="e">
        <f t="shared" si="15"/>
        <v>#DIV/0!</v>
      </c>
      <c r="BI19" s="383" t="e">
        <f t="shared" si="15"/>
        <v>#DIV/0!</v>
      </c>
      <c r="BJ19" s="383" t="e">
        <f t="shared" si="15"/>
        <v>#DIV/0!</v>
      </c>
      <c r="BK19" s="383" t="e">
        <f t="shared" si="15"/>
        <v>#DIV/0!</v>
      </c>
      <c r="BL19" s="383" t="e">
        <f t="shared" si="15"/>
        <v>#DIV/0!</v>
      </c>
      <c r="BM19" s="383" t="e">
        <f t="shared" si="15"/>
        <v>#DIV/0!</v>
      </c>
      <c r="BN19" s="383" t="e">
        <f t="shared" si="15"/>
        <v>#DIV/0!</v>
      </c>
      <c r="BO19" s="383" t="e">
        <f t="shared" si="15"/>
        <v>#DIV/0!</v>
      </c>
      <c r="BP19" s="383" t="e">
        <f t="shared" si="15"/>
        <v>#DIV/0!</v>
      </c>
      <c r="BQ19" s="383" t="e">
        <f t="shared" si="15"/>
        <v>#DIV/0!</v>
      </c>
      <c r="BR19" s="384" t="s">
        <v>1390</v>
      </c>
      <c r="BS19" s="383" t="e">
        <f>IF(BF19="","","〇")</f>
        <v>#DIV/0!</v>
      </c>
      <c r="BT19" s="383" t="e">
        <f t="shared" ref="BT19:CD19" si="16">IF(BG19="","","〇")</f>
        <v>#DIV/0!</v>
      </c>
      <c r="BU19" s="383" t="e">
        <f t="shared" si="16"/>
        <v>#DIV/0!</v>
      </c>
      <c r="BV19" s="383" t="e">
        <f t="shared" si="16"/>
        <v>#DIV/0!</v>
      </c>
      <c r="BW19" s="383" t="e">
        <f t="shared" si="16"/>
        <v>#DIV/0!</v>
      </c>
      <c r="BX19" s="383" t="e">
        <f t="shared" si="16"/>
        <v>#DIV/0!</v>
      </c>
      <c r="BY19" s="383" t="e">
        <f t="shared" si="16"/>
        <v>#DIV/0!</v>
      </c>
      <c r="BZ19" s="383" t="e">
        <f t="shared" si="16"/>
        <v>#DIV/0!</v>
      </c>
      <c r="CA19" s="383" t="e">
        <f t="shared" si="16"/>
        <v>#DIV/0!</v>
      </c>
      <c r="CB19" s="383" t="e">
        <f t="shared" si="16"/>
        <v>#DIV/0!</v>
      </c>
      <c r="CC19" s="383" t="e">
        <f t="shared" si="16"/>
        <v>#DIV/0!</v>
      </c>
      <c r="CD19" s="383" t="e">
        <f t="shared" si="16"/>
        <v>#DIV/0!</v>
      </c>
      <c r="CE19" s="384" t="s">
        <v>1390</v>
      </c>
      <c r="CF19" s="383" t="e">
        <f>IF(BS19="","","〇")</f>
        <v>#DIV/0!</v>
      </c>
      <c r="CG19" s="383" t="e">
        <f t="shared" ref="CG19:CQ19" si="17">IF(BT19="","","〇")</f>
        <v>#DIV/0!</v>
      </c>
      <c r="CH19" s="383" t="e">
        <f t="shared" si="17"/>
        <v>#DIV/0!</v>
      </c>
      <c r="CI19" s="383" t="e">
        <f t="shared" si="17"/>
        <v>#DIV/0!</v>
      </c>
      <c r="CJ19" s="383" t="e">
        <f t="shared" si="17"/>
        <v>#DIV/0!</v>
      </c>
      <c r="CK19" s="383" t="e">
        <f t="shared" si="17"/>
        <v>#DIV/0!</v>
      </c>
      <c r="CL19" s="383" t="e">
        <f t="shared" si="17"/>
        <v>#DIV/0!</v>
      </c>
      <c r="CM19" s="383" t="e">
        <f t="shared" si="17"/>
        <v>#DIV/0!</v>
      </c>
      <c r="CN19" s="383" t="e">
        <f t="shared" si="17"/>
        <v>#DIV/0!</v>
      </c>
      <c r="CO19" s="383" t="e">
        <f t="shared" si="17"/>
        <v>#DIV/0!</v>
      </c>
      <c r="CP19" s="383" t="e">
        <f t="shared" si="17"/>
        <v>#DIV/0!</v>
      </c>
      <c r="CQ19" s="383" t="e">
        <f t="shared" si="17"/>
        <v>#DIV/0!</v>
      </c>
    </row>
    <row r="20" spans="3:95">
      <c r="C20" s="382" t="s">
        <v>1390</v>
      </c>
      <c r="D20" s="382" t="s">
        <v>1390</v>
      </c>
      <c r="E20" s="382" t="s">
        <v>1390</v>
      </c>
      <c r="F20" s="382" t="s">
        <v>1390</v>
      </c>
      <c r="G20" s="382" t="s">
        <v>1390</v>
      </c>
      <c r="H20" s="382" t="s">
        <v>1390</v>
      </c>
      <c r="I20" s="382" t="s">
        <v>1390</v>
      </c>
      <c r="J20" s="382" t="s">
        <v>1390</v>
      </c>
      <c r="K20" s="382" t="s">
        <v>1390</v>
      </c>
      <c r="L20" s="382" t="s">
        <v>1390</v>
      </c>
      <c r="M20" s="382" t="s">
        <v>1390</v>
      </c>
      <c r="N20" s="382" t="s">
        <v>1390</v>
      </c>
      <c r="O20" s="382" t="s">
        <v>1390</v>
      </c>
      <c r="P20" s="382" t="s">
        <v>1390</v>
      </c>
      <c r="R20" s="385" t="s">
        <v>1392</v>
      </c>
      <c r="S20" s="383" t="e">
        <f>IF(AND(S$18&gt;=0,S$18&lt;1),"〇","")</f>
        <v>#DIV/0!</v>
      </c>
      <c r="T20" s="383" t="e">
        <f t="shared" ref="T20:AD29" si="18">IF(AND(T$18&gt;=0,T$18&lt;1),"〇","")</f>
        <v>#DIV/0!</v>
      </c>
      <c r="U20" s="383" t="e">
        <f t="shared" si="18"/>
        <v>#DIV/0!</v>
      </c>
      <c r="V20" s="383" t="e">
        <f t="shared" si="18"/>
        <v>#DIV/0!</v>
      </c>
      <c r="W20" s="383" t="e">
        <f t="shared" si="18"/>
        <v>#DIV/0!</v>
      </c>
      <c r="X20" s="383" t="e">
        <f t="shared" si="18"/>
        <v>#DIV/0!</v>
      </c>
      <c r="Y20" s="383" t="e">
        <f t="shared" si="18"/>
        <v>#DIV/0!</v>
      </c>
      <c r="Z20" s="383" t="e">
        <f t="shared" si="18"/>
        <v>#DIV/0!</v>
      </c>
      <c r="AA20" s="383" t="e">
        <f t="shared" si="18"/>
        <v>#DIV/0!</v>
      </c>
      <c r="AB20" s="383" t="e">
        <f t="shared" si="18"/>
        <v>#DIV/0!</v>
      </c>
      <c r="AC20" s="383" t="e">
        <f t="shared" si="18"/>
        <v>#DIV/0!</v>
      </c>
      <c r="AD20" s="383" t="e">
        <f t="shared" si="18"/>
        <v>#DIV/0!</v>
      </c>
      <c r="AE20" s="385" t="s">
        <v>1390</v>
      </c>
      <c r="AF20" s="383" t="e">
        <f>IF(S20="","","〇")</f>
        <v>#DIV/0!</v>
      </c>
      <c r="AG20" s="383" t="e">
        <f t="shared" si="13"/>
        <v>#DIV/0!</v>
      </c>
      <c r="AH20" s="383" t="e">
        <f t="shared" si="13"/>
        <v>#DIV/0!</v>
      </c>
      <c r="AI20" s="383" t="e">
        <f t="shared" si="13"/>
        <v>#DIV/0!</v>
      </c>
      <c r="AJ20" s="383" t="e">
        <f t="shared" si="13"/>
        <v>#DIV/0!</v>
      </c>
      <c r="AK20" s="383" t="e">
        <f t="shared" si="13"/>
        <v>#DIV/0!</v>
      </c>
      <c r="AL20" s="383" t="e">
        <f t="shared" si="13"/>
        <v>#DIV/0!</v>
      </c>
      <c r="AM20" s="383" t="e">
        <f t="shared" si="13"/>
        <v>#DIV/0!</v>
      </c>
      <c r="AN20" s="383" t="e">
        <f t="shared" si="13"/>
        <v>#DIV/0!</v>
      </c>
      <c r="AO20" s="383" t="e">
        <f t="shared" si="13"/>
        <v>#DIV/0!</v>
      </c>
      <c r="AP20" s="383" t="e">
        <f t="shared" si="13"/>
        <v>#DIV/0!</v>
      </c>
      <c r="AQ20" s="383" t="e">
        <f t="shared" si="13"/>
        <v>#DIV/0!</v>
      </c>
      <c r="AR20" s="385" t="s">
        <v>1390</v>
      </c>
      <c r="AS20" s="383" t="e">
        <f>IF(AF20="","","〇")</f>
        <v>#DIV/0!</v>
      </c>
      <c r="AT20" s="383" t="e">
        <f t="shared" si="14"/>
        <v>#DIV/0!</v>
      </c>
      <c r="AU20" s="383" t="e">
        <f t="shared" si="14"/>
        <v>#DIV/0!</v>
      </c>
      <c r="AV20" s="383" t="e">
        <f t="shared" si="14"/>
        <v>#DIV/0!</v>
      </c>
      <c r="AW20" s="383" t="e">
        <f t="shared" si="14"/>
        <v>#DIV/0!</v>
      </c>
      <c r="AX20" s="383" t="e">
        <f t="shared" si="14"/>
        <v>#DIV/0!</v>
      </c>
      <c r="AY20" s="383" t="e">
        <f t="shared" si="14"/>
        <v>#DIV/0!</v>
      </c>
      <c r="AZ20" s="383" t="e">
        <f t="shared" si="14"/>
        <v>#DIV/0!</v>
      </c>
      <c r="BA20" s="383" t="e">
        <f t="shared" si="14"/>
        <v>#DIV/0!</v>
      </c>
      <c r="BB20" s="383" t="e">
        <f t="shared" si="14"/>
        <v>#DIV/0!</v>
      </c>
      <c r="BC20" s="383" t="e">
        <f t="shared" si="14"/>
        <v>#DIV/0!</v>
      </c>
      <c r="BD20" s="383" t="e">
        <f t="shared" si="14"/>
        <v>#DIV/0!</v>
      </c>
      <c r="BE20" s="386">
        <v>0</v>
      </c>
      <c r="BF20" s="383" t="e">
        <f>IF(AS20="","",IF(BF$18=$BE20,"〇",""))</f>
        <v>#DIV/0!</v>
      </c>
      <c r="BG20" s="383" t="e">
        <f t="shared" ref="BG20:BQ28" si="19">IF(AT20="","",IF(BG$18=$BE20,"〇",""))</f>
        <v>#DIV/0!</v>
      </c>
      <c r="BH20" s="383" t="e">
        <f t="shared" si="19"/>
        <v>#DIV/0!</v>
      </c>
      <c r="BI20" s="383" t="e">
        <f t="shared" si="19"/>
        <v>#DIV/0!</v>
      </c>
      <c r="BJ20" s="383" t="e">
        <f t="shared" si="19"/>
        <v>#DIV/0!</v>
      </c>
      <c r="BK20" s="383" t="e">
        <f t="shared" si="19"/>
        <v>#DIV/0!</v>
      </c>
      <c r="BL20" s="383" t="e">
        <f t="shared" si="19"/>
        <v>#DIV/0!</v>
      </c>
      <c r="BM20" s="383" t="e">
        <f t="shared" si="19"/>
        <v>#DIV/0!</v>
      </c>
      <c r="BN20" s="383" t="e">
        <f t="shared" si="19"/>
        <v>#DIV/0!</v>
      </c>
      <c r="BO20" s="383" t="e">
        <f t="shared" si="19"/>
        <v>#DIV/0!</v>
      </c>
      <c r="BP20" s="383" t="e">
        <f t="shared" si="19"/>
        <v>#DIV/0!</v>
      </c>
      <c r="BQ20" s="383" t="e">
        <f t="shared" si="19"/>
        <v>#DIV/0!</v>
      </c>
      <c r="BR20" s="386">
        <v>0</v>
      </c>
      <c r="BS20" s="383" t="e">
        <f>IF(BF20="","",IF(BS$18=$BR20,"〇",""))</f>
        <v>#DIV/0!</v>
      </c>
      <c r="BT20" s="383" t="e">
        <f t="shared" ref="BT20:CD24" si="20">IF(BG20="","",IF(BT$18=$BR20,"〇",""))</f>
        <v>#DIV/0!</v>
      </c>
      <c r="BU20" s="383" t="e">
        <f t="shared" si="20"/>
        <v>#DIV/0!</v>
      </c>
      <c r="BV20" s="383" t="e">
        <f t="shared" si="20"/>
        <v>#DIV/0!</v>
      </c>
      <c r="BW20" s="383" t="e">
        <f t="shared" si="20"/>
        <v>#DIV/0!</v>
      </c>
      <c r="BX20" s="383" t="e">
        <f t="shared" si="20"/>
        <v>#DIV/0!</v>
      </c>
      <c r="BY20" s="383" t="e">
        <f t="shared" si="20"/>
        <v>#DIV/0!</v>
      </c>
      <c r="BZ20" s="383" t="e">
        <f t="shared" si="20"/>
        <v>#DIV/0!</v>
      </c>
      <c r="CA20" s="383" t="e">
        <f t="shared" si="20"/>
        <v>#DIV/0!</v>
      </c>
      <c r="CB20" s="383" t="e">
        <f t="shared" si="20"/>
        <v>#DIV/0!</v>
      </c>
      <c r="CC20" s="383" t="e">
        <f t="shared" si="20"/>
        <v>#DIV/0!</v>
      </c>
      <c r="CD20" s="383" t="e">
        <f t="shared" si="20"/>
        <v>#DIV/0!</v>
      </c>
      <c r="CE20" s="386">
        <v>0</v>
      </c>
      <c r="CF20" s="383" t="e">
        <f>IF(BS20="","",IF(CF$18=$CE20,"〇",""))</f>
        <v>#DIV/0!</v>
      </c>
      <c r="CG20" s="383" t="e">
        <f t="shared" ref="CG20:CQ21" si="21">IF(BT20="","",IF(CG$18=$CE20,"〇",""))</f>
        <v>#DIV/0!</v>
      </c>
      <c r="CH20" s="383" t="e">
        <f t="shared" si="21"/>
        <v>#DIV/0!</v>
      </c>
      <c r="CI20" s="383" t="e">
        <f t="shared" si="21"/>
        <v>#DIV/0!</v>
      </c>
      <c r="CJ20" s="383" t="e">
        <f t="shared" si="21"/>
        <v>#DIV/0!</v>
      </c>
      <c r="CK20" s="383" t="e">
        <f t="shared" si="21"/>
        <v>#DIV/0!</v>
      </c>
      <c r="CL20" s="383" t="e">
        <f t="shared" si="21"/>
        <v>#DIV/0!</v>
      </c>
      <c r="CM20" s="383" t="e">
        <f t="shared" si="21"/>
        <v>#DIV/0!</v>
      </c>
      <c r="CN20" s="383" t="e">
        <f t="shared" si="21"/>
        <v>#DIV/0!</v>
      </c>
      <c r="CO20" s="383" t="e">
        <f t="shared" si="21"/>
        <v>#DIV/0!</v>
      </c>
      <c r="CP20" s="383" t="e">
        <f t="shared" si="21"/>
        <v>#DIV/0!</v>
      </c>
      <c r="CQ20" s="383" t="e">
        <f t="shared" si="21"/>
        <v>#DIV/0!</v>
      </c>
    </row>
    <row r="21" spans="3:95">
      <c r="C21" s="387">
        <v>1</v>
      </c>
      <c r="D21" s="387" t="s">
        <v>1393</v>
      </c>
      <c r="E21" s="382" t="s">
        <v>1390</v>
      </c>
      <c r="F21" s="382" t="s">
        <v>1390</v>
      </c>
      <c r="G21" s="382" t="s">
        <v>1390</v>
      </c>
      <c r="H21" s="382" t="s">
        <v>1390</v>
      </c>
      <c r="I21" s="382" t="s">
        <v>1390</v>
      </c>
      <c r="J21" s="382" t="s">
        <v>1390</v>
      </c>
      <c r="K21" s="382" t="s">
        <v>1390</v>
      </c>
      <c r="L21" s="382" t="s">
        <v>1390</v>
      </c>
      <c r="M21" s="382" t="s">
        <v>1390</v>
      </c>
      <c r="N21" s="382" t="s">
        <v>1390</v>
      </c>
      <c r="O21" s="382" t="s">
        <v>1390</v>
      </c>
      <c r="P21" s="382" t="s">
        <v>1390</v>
      </c>
      <c r="R21" s="385" t="s">
        <v>1392</v>
      </c>
      <c r="S21" s="383" t="e">
        <f t="shared" ref="S21:S29" si="22">IF(AND(S$18&gt;=0,S$18&lt;1),"〇","")</f>
        <v>#DIV/0!</v>
      </c>
      <c r="T21" s="383" t="e">
        <f t="shared" si="18"/>
        <v>#DIV/0!</v>
      </c>
      <c r="U21" s="383" t="e">
        <f t="shared" si="18"/>
        <v>#DIV/0!</v>
      </c>
      <c r="V21" s="383" t="e">
        <f t="shared" si="18"/>
        <v>#DIV/0!</v>
      </c>
      <c r="W21" s="383" t="e">
        <f t="shared" si="18"/>
        <v>#DIV/0!</v>
      </c>
      <c r="X21" s="383" t="e">
        <f t="shared" si="18"/>
        <v>#DIV/0!</v>
      </c>
      <c r="Y21" s="383" t="e">
        <f t="shared" si="18"/>
        <v>#DIV/0!</v>
      </c>
      <c r="Z21" s="383" t="e">
        <f t="shared" si="18"/>
        <v>#DIV/0!</v>
      </c>
      <c r="AA21" s="383" t="e">
        <f t="shared" si="18"/>
        <v>#DIV/0!</v>
      </c>
      <c r="AB21" s="383" t="e">
        <f t="shared" si="18"/>
        <v>#DIV/0!</v>
      </c>
      <c r="AC21" s="383" t="e">
        <f t="shared" si="18"/>
        <v>#DIV/0!</v>
      </c>
      <c r="AD21" s="383" t="e">
        <f t="shared" si="18"/>
        <v>#DIV/0!</v>
      </c>
      <c r="AE21" s="385" t="s">
        <v>1390</v>
      </c>
      <c r="AF21" s="383" t="e">
        <f t="shared" ref="AF21:AF29" si="23">IF(S21="","","〇")</f>
        <v>#DIV/0!</v>
      </c>
      <c r="AG21" s="383" t="e">
        <f t="shared" si="13"/>
        <v>#DIV/0!</v>
      </c>
      <c r="AH21" s="383" t="e">
        <f t="shared" si="13"/>
        <v>#DIV/0!</v>
      </c>
      <c r="AI21" s="383" t="e">
        <f t="shared" si="13"/>
        <v>#DIV/0!</v>
      </c>
      <c r="AJ21" s="383" t="e">
        <f t="shared" si="13"/>
        <v>#DIV/0!</v>
      </c>
      <c r="AK21" s="383" t="e">
        <f t="shared" si="13"/>
        <v>#DIV/0!</v>
      </c>
      <c r="AL21" s="383" t="e">
        <f t="shared" si="13"/>
        <v>#DIV/0!</v>
      </c>
      <c r="AM21" s="383" t="e">
        <f t="shared" si="13"/>
        <v>#DIV/0!</v>
      </c>
      <c r="AN21" s="383" t="e">
        <f t="shared" si="13"/>
        <v>#DIV/0!</v>
      </c>
      <c r="AO21" s="383" t="e">
        <f t="shared" si="13"/>
        <v>#DIV/0!</v>
      </c>
      <c r="AP21" s="383" t="e">
        <f t="shared" si="13"/>
        <v>#DIV/0!</v>
      </c>
      <c r="AQ21" s="383" t="e">
        <f t="shared" si="13"/>
        <v>#DIV/0!</v>
      </c>
      <c r="AR21" s="385" t="s">
        <v>1390</v>
      </c>
      <c r="AS21" s="383" t="e">
        <f t="shared" ref="AS21:BD55" si="24">IF(AF21="","","〇")</f>
        <v>#DIV/0!</v>
      </c>
      <c r="AT21" s="383" t="e">
        <f t="shared" si="14"/>
        <v>#DIV/0!</v>
      </c>
      <c r="AU21" s="383" t="e">
        <f t="shared" si="14"/>
        <v>#DIV/0!</v>
      </c>
      <c r="AV21" s="383" t="e">
        <f t="shared" si="14"/>
        <v>#DIV/0!</v>
      </c>
      <c r="AW21" s="383" t="e">
        <f t="shared" si="14"/>
        <v>#DIV/0!</v>
      </c>
      <c r="AX21" s="383" t="e">
        <f t="shared" si="14"/>
        <v>#DIV/0!</v>
      </c>
      <c r="AY21" s="383" t="e">
        <f t="shared" si="14"/>
        <v>#DIV/0!</v>
      </c>
      <c r="AZ21" s="383" t="e">
        <f t="shared" si="14"/>
        <v>#DIV/0!</v>
      </c>
      <c r="BA21" s="383" t="e">
        <f t="shared" si="14"/>
        <v>#DIV/0!</v>
      </c>
      <c r="BB21" s="383" t="e">
        <f t="shared" si="14"/>
        <v>#DIV/0!</v>
      </c>
      <c r="BC21" s="383" t="e">
        <f t="shared" si="14"/>
        <v>#DIV/0!</v>
      </c>
      <c r="BD21" s="383" t="e">
        <f t="shared" si="14"/>
        <v>#DIV/0!</v>
      </c>
      <c r="BE21" s="386">
        <v>0</v>
      </c>
      <c r="BF21" s="383" t="e">
        <f t="shared" ref="BF21:BQ52" si="25">IF(AS21="","",IF(BF$18=$BE21,"〇",""))</f>
        <v>#DIV/0!</v>
      </c>
      <c r="BG21" s="383" t="e">
        <f t="shared" si="19"/>
        <v>#DIV/0!</v>
      </c>
      <c r="BH21" s="383" t="e">
        <f t="shared" si="19"/>
        <v>#DIV/0!</v>
      </c>
      <c r="BI21" s="383" t="e">
        <f t="shared" si="19"/>
        <v>#DIV/0!</v>
      </c>
      <c r="BJ21" s="383" t="e">
        <f t="shared" si="19"/>
        <v>#DIV/0!</v>
      </c>
      <c r="BK21" s="383" t="e">
        <f t="shared" si="19"/>
        <v>#DIV/0!</v>
      </c>
      <c r="BL21" s="383" t="e">
        <f t="shared" si="19"/>
        <v>#DIV/0!</v>
      </c>
      <c r="BM21" s="383" t="e">
        <f t="shared" si="19"/>
        <v>#DIV/0!</v>
      </c>
      <c r="BN21" s="383" t="e">
        <f t="shared" si="19"/>
        <v>#DIV/0!</v>
      </c>
      <c r="BO21" s="383" t="e">
        <f t="shared" si="19"/>
        <v>#DIV/0!</v>
      </c>
      <c r="BP21" s="383" t="e">
        <f t="shared" si="19"/>
        <v>#DIV/0!</v>
      </c>
      <c r="BQ21" s="383" t="e">
        <f t="shared" si="19"/>
        <v>#DIV/0!</v>
      </c>
      <c r="BR21" s="386">
        <v>0</v>
      </c>
      <c r="BS21" s="383" t="e">
        <f>IF(BF21="","",IF(BS$18=$BR21,"〇",""))</f>
        <v>#DIV/0!</v>
      </c>
      <c r="BT21" s="383" t="e">
        <f t="shared" si="20"/>
        <v>#DIV/0!</v>
      </c>
      <c r="BU21" s="383" t="e">
        <f t="shared" si="20"/>
        <v>#DIV/0!</v>
      </c>
      <c r="BV21" s="383" t="e">
        <f t="shared" si="20"/>
        <v>#DIV/0!</v>
      </c>
      <c r="BW21" s="383" t="e">
        <f t="shared" si="20"/>
        <v>#DIV/0!</v>
      </c>
      <c r="BX21" s="383" t="e">
        <f t="shared" si="20"/>
        <v>#DIV/0!</v>
      </c>
      <c r="BY21" s="383" t="e">
        <f t="shared" si="20"/>
        <v>#DIV/0!</v>
      </c>
      <c r="BZ21" s="383" t="e">
        <f t="shared" si="20"/>
        <v>#DIV/0!</v>
      </c>
      <c r="CA21" s="383" t="e">
        <f t="shared" si="20"/>
        <v>#DIV/0!</v>
      </c>
      <c r="CB21" s="383" t="e">
        <f t="shared" si="20"/>
        <v>#DIV/0!</v>
      </c>
      <c r="CC21" s="383" t="e">
        <f t="shared" si="20"/>
        <v>#DIV/0!</v>
      </c>
      <c r="CD21" s="383" t="e">
        <f t="shared" si="20"/>
        <v>#DIV/0!</v>
      </c>
      <c r="CE21" s="386">
        <v>1</v>
      </c>
      <c r="CF21" s="383" t="e">
        <f>IF(BS21="","",IF(CF$18=$CE21,"〇",""))</f>
        <v>#DIV/0!</v>
      </c>
      <c r="CG21" s="383" t="e">
        <f t="shared" si="21"/>
        <v>#DIV/0!</v>
      </c>
      <c r="CH21" s="383" t="e">
        <f t="shared" si="21"/>
        <v>#DIV/0!</v>
      </c>
      <c r="CI21" s="383" t="e">
        <f t="shared" si="21"/>
        <v>#DIV/0!</v>
      </c>
      <c r="CJ21" s="383" t="e">
        <f t="shared" si="21"/>
        <v>#DIV/0!</v>
      </c>
      <c r="CK21" s="383" t="e">
        <f t="shared" si="21"/>
        <v>#DIV/0!</v>
      </c>
      <c r="CL21" s="383" t="e">
        <f t="shared" si="21"/>
        <v>#DIV/0!</v>
      </c>
      <c r="CM21" s="383" t="e">
        <f t="shared" si="21"/>
        <v>#DIV/0!</v>
      </c>
      <c r="CN21" s="383" t="e">
        <f t="shared" si="21"/>
        <v>#DIV/0!</v>
      </c>
      <c r="CO21" s="383" t="e">
        <f t="shared" si="21"/>
        <v>#DIV/0!</v>
      </c>
      <c r="CP21" s="383" t="e">
        <f t="shared" si="21"/>
        <v>#DIV/0!</v>
      </c>
      <c r="CQ21" s="383" t="e">
        <f t="shared" si="21"/>
        <v>#DIV/0!</v>
      </c>
    </row>
    <row r="22" spans="3:95">
      <c r="C22" s="388">
        <v>1</v>
      </c>
      <c r="D22" s="388" t="s">
        <v>1394</v>
      </c>
      <c r="E22" s="382" t="s">
        <v>1390</v>
      </c>
      <c r="F22" s="382" t="s">
        <v>1390</v>
      </c>
      <c r="G22" s="382" t="s">
        <v>1390</v>
      </c>
      <c r="H22" s="382" t="s">
        <v>1390</v>
      </c>
      <c r="I22" s="387">
        <v>1</v>
      </c>
      <c r="J22" s="387" t="s">
        <v>1393</v>
      </c>
      <c r="K22" s="382" t="s">
        <v>1390</v>
      </c>
      <c r="L22" s="382" t="s">
        <v>1390</v>
      </c>
      <c r="M22" s="382" t="s">
        <v>1390</v>
      </c>
      <c r="N22" s="382" t="s">
        <v>1390</v>
      </c>
      <c r="O22" s="382" t="s">
        <v>1390</v>
      </c>
      <c r="P22" s="382" t="s">
        <v>1390</v>
      </c>
      <c r="R22" s="385" t="s">
        <v>1392</v>
      </c>
      <c r="S22" s="383" t="e">
        <f t="shared" si="22"/>
        <v>#DIV/0!</v>
      </c>
      <c r="T22" s="383" t="e">
        <f t="shared" si="18"/>
        <v>#DIV/0!</v>
      </c>
      <c r="U22" s="383" t="e">
        <f t="shared" si="18"/>
        <v>#DIV/0!</v>
      </c>
      <c r="V22" s="383" t="e">
        <f t="shared" si="18"/>
        <v>#DIV/0!</v>
      </c>
      <c r="W22" s="383" t="e">
        <f t="shared" si="18"/>
        <v>#DIV/0!</v>
      </c>
      <c r="X22" s="383" t="e">
        <f t="shared" si="18"/>
        <v>#DIV/0!</v>
      </c>
      <c r="Y22" s="383" t="e">
        <f t="shared" si="18"/>
        <v>#DIV/0!</v>
      </c>
      <c r="Z22" s="383" t="e">
        <f t="shared" si="18"/>
        <v>#DIV/0!</v>
      </c>
      <c r="AA22" s="383" t="e">
        <f t="shared" si="18"/>
        <v>#DIV/0!</v>
      </c>
      <c r="AB22" s="383" t="e">
        <f t="shared" si="18"/>
        <v>#DIV/0!</v>
      </c>
      <c r="AC22" s="383" t="e">
        <f t="shared" si="18"/>
        <v>#DIV/0!</v>
      </c>
      <c r="AD22" s="383" t="e">
        <f t="shared" si="18"/>
        <v>#DIV/0!</v>
      </c>
      <c r="AE22" s="385" t="s">
        <v>1390</v>
      </c>
      <c r="AF22" s="383" t="e">
        <f t="shared" si="23"/>
        <v>#DIV/0!</v>
      </c>
      <c r="AG22" s="383" t="e">
        <f t="shared" si="13"/>
        <v>#DIV/0!</v>
      </c>
      <c r="AH22" s="383" t="e">
        <f t="shared" si="13"/>
        <v>#DIV/0!</v>
      </c>
      <c r="AI22" s="383" t="e">
        <f t="shared" si="13"/>
        <v>#DIV/0!</v>
      </c>
      <c r="AJ22" s="383" t="e">
        <f t="shared" si="13"/>
        <v>#DIV/0!</v>
      </c>
      <c r="AK22" s="383" t="e">
        <f t="shared" si="13"/>
        <v>#DIV/0!</v>
      </c>
      <c r="AL22" s="383" t="e">
        <f t="shared" si="13"/>
        <v>#DIV/0!</v>
      </c>
      <c r="AM22" s="383" t="e">
        <f t="shared" si="13"/>
        <v>#DIV/0!</v>
      </c>
      <c r="AN22" s="383" t="e">
        <f t="shared" si="13"/>
        <v>#DIV/0!</v>
      </c>
      <c r="AO22" s="383" t="e">
        <f t="shared" si="13"/>
        <v>#DIV/0!</v>
      </c>
      <c r="AP22" s="383" t="e">
        <f t="shared" si="13"/>
        <v>#DIV/0!</v>
      </c>
      <c r="AQ22" s="383" t="e">
        <f t="shared" si="13"/>
        <v>#DIV/0!</v>
      </c>
      <c r="AR22" s="385" t="s">
        <v>1390</v>
      </c>
      <c r="AS22" s="383" t="e">
        <f t="shared" si="24"/>
        <v>#DIV/0!</v>
      </c>
      <c r="AT22" s="383" t="e">
        <f t="shared" si="14"/>
        <v>#DIV/0!</v>
      </c>
      <c r="AU22" s="383" t="e">
        <f t="shared" si="14"/>
        <v>#DIV/0!</v>
      </c>
      <c r="AV22" s="383" t="e">
        <f t="shared" si="14"/>
        <v>#DIV/0!</v>
      </c>
      <c r="AW22" s="383" t="e">
        <f t="shared" si="14"/>
        <v>#DIV/0!</v>
      </c>
      <c r="AX22" s="383" t="e">
        <f t="shared" si="14"/>
        <v>#DIV/0!</v>
      </c>
      <c r="AY22" s="383" t="e">
        <f t="shared" si="14"/>
        <v>#DIV/0!</v>
      </c>
      <c r="AZ22" s="383" t="e">
        <f t="shared" si="14"/>
        <v>#DIV/0!</v>
      </c>
      <c r="BA22" s="383" t="e">
        <f t="shared" si="14"/>
        <v>#DIV/0!</v>
      </c>
      <c r="BB22" s="383" t="e">
        <f t="shared" si="14"/>
        <v>#DIV/0!</v>
      </c>
      <c r="BC22" s="383" t="e">
        <f t="shared" si="14"/>
        <v>#DIV/0!</v>
      </c>
      <c r="BD22" s="383" t="e">
        <f t="shared" si="14"/>
        <v>#DIV/0!</v>
      </c>
      <c r="BE22" s="386">
        <v>0</v>
      </c>
      <c r="BF22" s="383" t="e">
        <f t="shared" si="25"/>
        <v>#DIV/0!</v>
      </c>
      <c r="BG22" s="383" t="e">
        <f t="shared" si="19"/>
        <v>#DIV/0!</v>
      </c>
      <c r="BH22" s="383" t="e">
        <f t="shared" si="19"/>
        <v>#DIV/0!</v>
      </c>
      <c r="BI22" s="383" t="e">
        <f t="shared" si="19"/>
        <v>#DIV/0!</v>
      </c>
      <c r="BJ22" s="383" t="e">
        <f t="shared" si="19"/>
        <v>#DIV/0!</v>
      </c>
      <c r="BK22" s="383" t="e">
        <f t="shared" si="19"/>
        <v>#DIV/0!</v>
      </c>
      <c r="BL22" s="383" t="e">
        <f t="shared" si="19"/>
        <v>#DIV/0!</v>
      </c>
      <c r="BM22" s="383" t="e">
        <f t="shared" si="19"/>
        <v>#DIV/0!</v>
      </c>
      <c r="BN22" s="383" t="e">
        <f t="shared" si="19"/>
        <v>#DIV/0!</v>
      </c>
      <c r="BO22" s="383" t="e">
        <f t="shared" si="19"/>
        <v>#DIV/0!</v>
      </c>
      <c r="BP22" s="383" t="e">
        <f t="shared" si="19"/>
        <v>#DIV/0!</v>
      </c>
      <c r="BQ22" s="383" t="e">
        <f t="shared" si="19"/>
        <v>#DIV/0!</v>
      </c>
      <c r="BR22" s="386">
        <v>0</v>
      </c>
      <c r="BS22" s="383" t="e">
        <f>IF(BF22="","",IF(BS$18=$BR22,"〇",""))</f>
        <v>#DIV/0!</v>
      </c>
      <c r="BT22" s="383" t="e">
        <f t="shared" si="20"/>
        <v>#DIV/0!</v>
      </c>
      <c r="BU22" s="383" t="e">
        <f t="shared" si="20"/>
        <v>#DIV/0!</v>
      </c>
      <c r="BV22" s="383" t="e">
        <f t="shared" si="20"/>
        <v>#DIV/0!</v>
      </c>
      <c r="BW22" s="383" t="e">
        <f t="shared" si="20"/>
        <v>#DIV/0!</v>
      </c>
      <c r="BX22" s="383" t="e">
        <f t="shared" si="20"/>
        <v>#DIV/0!</v>
      </c>
      <c r="BY22" s="383" t="e">
        <f t="shared" si="20"/>
        <v>#DIV/0!</v>
      </c>
      <c r="BZ22" s="383" t="e">
        <f t="shared" si="20"/>
        <v>#DIV/0!</v>
      </c>
      <c r="CA22" s="383" t="e">
        <f t="shared" si="20"/>
        <v>#DIV/0!</v>
      </c>
      <c r="CB22" s="383" t="e">
        <f t="shared" si="20"/>
        <v>#DIV/0!</v>
      </c>
      <c r="CC22" s="383" t="e">
        <f t="shared" si="20"/>
        <v>#DIV/0!</v>
      </c>
      <c r="CD22" s="383" t="e">
        <f t="shared" si="20"/>
        <v>#DIV/0!</v>
      </c>
      <c r="CE22" s="386" t="s">
        <v>1395</v>
      </c>
      <c r="CF22" s="383" t="e">
        <f>IF(BS22="","",IF(CF$18&gt;=2,"〇",""))</f>
        <v>#DIV/0!</v>
      </c>
      <c r="CG22" s="383" t="e">
        <f t="shared" ref="CG22:CQ22" si="26">IF(BT22="","",IF(CG$18&gt;=2,"〇",""))</f>
        <v>#DIV/0!</v>
      </c>
      <c r="CH22" s="383" t="e">
        <f t="shared" si="26"/>
        <v>#DIV/0!</v>
      </c>
      <c r="CI22" s="383" t="e">
        <f t="shared" si="26"/>
        <v>#DIV/0!</v>
      </c>
      <c r="CJ22" s="383" t="e">
        <f t="shared" si="26"/>
        <v>#DIV/0!</v>
      </c>
      <c r="CK22" s="383" t="e">
        <f t="shared" si="26"/>
        <v>#DIV/0!</v>
      </c>
      <c r="CL22" s="383" t="e">
        <f t="shared" si="26"/>
        <v>#DIV/0!</v>
      </c>
      <c r="CM22" s="383" t="e">
        <f t="shared" si="26"/>
        <v>#DIV/0!</v>
      </c>
      <c r="CN22" s="383" t="e">
        <f t="shared" si="26"/>
        <v>#DIV/0!</v>
      </c>
      <c r="CO22" s="383" t="e">
        <f t="shared" si="26"/>
        <v>#DIV/0!</v>
      </c>
      <c r="CP22" s="383" t="e">
        <f t="shared" si="26"/>
        <v>#DIV/0!</v>
      </c>
      <c r="CQ22" s="383" t="e">
        <f t="shared" si="26"/>
        <v>#DIV/0!</v>
      </c>
    </row>
    <row r="23" spans="3:95">
      <c r="C23" s="389">
        <v>1</v>
      </c>
      <c r="D23" s="389" t="s">
        <v>1404</v>
      </c>
      <c r="E23" s="382" t="s">
        <v>1390</v>
      </c>
      <c r="F23" s="382" t="s">
        <v>1390</v>
      </c>
      <c r="G23" s="382" t="s">
        <v>1390</v>
      </c>
      <c r="H23" s="382" t="s">
        <v>1390</v>
      </c>
      <c r="I23" s="382" t="s">
        <v>1390</v>
      </c>
      <c r="J23" s="382" t="s">
        <v>1390</v>
      </c>
      <c r="K23" s="382" t="s">
        <v>1390</v>
      </c>
      <c r="L23" s="382" t="s">
        <v>1390</v>
      </c>
      <c r="M23" s="382" t="s">
        <v>1390</v>
      </c>
      <c r="N23" s="382" t="s">
        <v>1390</v>
      </c>
      <c r="O23" s="382" t="s">
        <v>1390</v>
      </c>
      <c r="P23" s="382" t="s">
        <v>1390</v>
      </c>
      <c r="R23" s="385" t="s">
        <v>1392</v>
      </c>
      <c r="S23" s="383" t="e">
        <f t="shared" si="22"/>
        <v>#DIV/0!</v>
      </c>
      <c r="T23" s="383" t="e">
        <f t="shared" si="18"/>
        <v>#DIV/0!</v>
      </c>
      <c r="U23" s="383" t="e">
        <f t="shared" si="18"/>
        <v>#DIV/0!</v>
      </c>
      <c r="V23" s="383" t="e">
        <f t="shared" si="18"/>
        <v>#DIV/0!</v>
      </c>
      <c r="W23" s="383" t="e">
        <f t="shared" si="18"/>
        <v>#DIV/0!</v>
      </c>
      <c r="X23" s="383" t="e">
        <f t="shared" si="18"/>
        <v>#DIV/0!</v>
      </c>
      <c r="Y23" s="383" t="e">
        <f t="shared" si="18"/>
        <v>#DIV/0!</v>
      </c>
      <c r="Z23" s="383" t="e">
        <f t="shared" si="18"/>
        <v>#DIV/0!</v>
      </c>
      <c r="AA23" s="383" t="e">
        <f t="shared" si="18"/>
        <v>#DIV/0!</v>
      </c>
      <c r="AB23" s="383" t="e">
        <f t="shared" si="18"/>
        <v>#DIV/0!</v>
      </c>
      <c r="AC23" s="383" t="e">
        <f t="shared" si="18"/>
        <v>#DIV/0!</v>
      </c>
      <c r="AD23" s="383" t="e">
        <f t="shared" si="18"/>
        <v>#DIV/0!</v>
      </c>
      <c r="AE23" s="385" t="s">
        <v>1390</v>
      </c>
      <c r="AF23" s="383" t="e">
        <f t="shared" si="23"/>
        <v>#DIV/0!</v>
      </c>
      <c r="AG23" s="383" t="e">
        <f t="shared" si="13"/>
        <v>#DIV/0!</v>
      </c>
      <c r="AH23" s="383" t="e">
        <f t="shared" si="13"/>
        <v>#DIV/0!</v>
      </c>
      <c r="AI23" s="383" t="e">
        <f t="shared" si="13"/>
        <v>#DIV/0!</v>
      </c>
      <c r="AJ23" s="383" t="e">
        <f t="shared" si="13"/>
        <v>#DIV/0!</v>
      </c>
      <c r="AK23" s="383" t="e">
        <f t="shared" si="13"/>
        <v>#DIV/0!</v>
      </c>
      <c r="AL23" s="383" t="e">
        <f t="shared" si="13"/>
        <v>#DIV/0!</v>
      </c>
      <c r="AM23" s="383" t="e">
        <f t="shared" si="13"/>
        <v>#DIV/0!</v>
      </c>
      <c r="AN23" s="383" t="e">
        <f t="shared" si="13"/>
        <v>#DIV/0!</v>
      </c>
      <c r="AO23" s="383" t="e">
        <f t="shared" si="13"/>
        <v>#DIV/0!</v>
      </c>
      <c r="AP23" s="383" t="e">
        <f t="shared" si="13"/>
        <v>#DIV/0!</v>
      </c>
      <c r="AQ23" s="383" t="e">
        <f t="shared" si="13"/>
        <v>#DIV/0!</v>
      </c>
      <c r="AR23" s="385" t="s">
        <v>1390</v>
      </c>
      <c r="AS23" s="383" t="e">
        <f t="shared" si="24"/>
        <v>#DIV/0!</v>
      </c>
      <c r="AT23" s="383" t="e">
        <f t="shared" si="14"/>
        <v>#DIV/0!</v>
      </c>
      <c r="AU23" s="383" t="e">
        <f t="shared" si="14"/>
        <v>#DIV/0!</v>
      </c>
      <c r="AV23" s="383" t="e">
        <f t="shared" si="14"/>
        <v>#DIV/0!</v>
      </c>
      <c r="AW23" s="383" t="e">
        <f t="shared" si="14"/>
        <v>#DIV/0!</v>
      </c>
      <c r="AX23" s="383" t="e">
        <f t="shared" si="14"/>
        <v>#DIV/0!</v>
      </c>
      <c r="AY23" s="383" t="e">
        <f t="shared" si="14"/>
        <v>#DIV/0!</v>
      </c>
      <c r="AZ23" s="383" t="e">
        <f t="shared" si="14"/>
        <v>#DIV/0!</v>
      </c>
      <c r="BA23" s="383" t="e">
        <f t="shared" si="14"/>
        <v>#DIV/0!</v>
      </c>
      <c r="BB23" s="383" t="e">
        <f t="shared" si="14"/>
        <v>#DIV/0!</v>
      </c>
      <c r="BC23" s="383" t="e">
        <f t="shared" si="14"/>
        <v>#DIV/0!</v>
      </c>
      <c r="BD23" s="383" t="e">
        <f t="shared" si="14"/>
        <v>#DIV/0!</v>
      </c>
      <c r="BE23" s="386">
        <v>0</v>
      </c>
      <c r="BF23" s="383" t="e">
        <f t="shared" si="25"/>
        <v>#DIV/0!</v>
      </c>
      <c r="BG23" s="383" t="e">
        <f t="shared" si="19"/>
        <v>#DIV/0!</v>
      </c>
      <c r="BH23" s="383" t="e">
        <f t="shared" si="19"/>
        <v>#DIV/0!</v>
      </c>
      <c r="BI23" s="383" t="e">
        <f t="shared" si="19"/>
        <v>#DIV/0!</v>
      </c>
      <c r="BJ23" s="383" t="e">
        <f t="shared" si="19"/>
        <v>#DIV/0!</v>
      </c>
      <c r="BK23" s="383" t="e">
        <f t="shared" si="19"/>
        <v>#DIV/0!</v>
      </c>
      <c r="BL23" s="383" t="e">
        <f t="shared" si="19"/>
        <v>#DIV/0!</v>
      </c>
      <c r="BM23" s="383" t="e">
        <f t="shared" si="19"/>
        <v>#DIV/0!</v>
      </c>
      <c r="BN23" s="383" t="e">
        <f t="shared" si="19"/>
        <v>#DIV/0!</v>
      </c>
      <c r="BO23" s="383" t="e">
        <f t="shared" si="19"/>
        <v>#DIV/0!</v>
      </c>
      <c r="BP23" s="383" t="e">
        <f t="shared" si="19"/>
        <v>#DIV/0!</v>
      </c>
      <c r="BQ23" s="383" t="e">
        <f t="shared" si="19"/>
        <v>#DIV/0!</v>
      </c>
      <c r="BR23" s="386">
        <v>1</v>
      </c>
      <c r="BS23" s="383" t="e">
        <f>IF(BF23="","",IF(BS$18=$BR23,"〇",""))</f>
        <v>#DIV/0!</v>
      </c>
      <c r="BT23" s="383" t="e">
        <f t="shared" si="20"/>
        <v>#DIV/0!</v>
      </c>
      <c r="BU23" s="383" t="e">
        <f t="shared" si="20"/>
        <v>#DIV/0!</v>
      </c>
      <c r="BV23" s="383" t="e">
        <f t="shared" si="20"/>
        <v>#DIV/0!</v>
      </c>
      <c r="BW23" s="383" t="e">
        <f t="shared" si="20"/>
        <v>#DIV/0!</v>
      </c>
      <c r="BX23" s="383" t="e">
        <f t="shared" si="20"/>
        <v>#DIV/0!</v>
      </c>
      <c r="BY23" s="383" t="e">
        <f t="shared" si="20"/>
        <v>#DIV/0!</v>
      </c>
      <c r="BZ23" s="383" t="e">
        <f t="shared" si="20"/>
        <v>#DIV/0!</v>
      </c>
      <c r="CA23" s="383" t="e">
        <f t="shared" si="20"/>
        <v>#DIV/0!</v>
      </c>
      <c r="CB23" s="383" t="e">
        <f t="shared" si="20"/>
        <v>#DIV/0!</v>
      </c>
      <c r="CC23" s="383" t="e">
        <f t="shared" si="20"/>
        <v>#DIV/0!</v>
      </c>
      <c r="CD23" s="383" t="e">
        <f t="shared" si="20"/>
        <v>#DIV/0!</v>
      </c>
      <c r="CE23" s="386">
        <v>0</v>
      </c>
      <c r="CF23" s="383" t="e">
        <f>IF(BS23="","",IF(CF$18=$CE23,"〇",""))</f>
        <v>#DIV/0!</v>
      </c>
      <c r="CG23" s="383" t="e">
        <f t="shared" ref="CG23:CQ23" si="27">IF(BT23="","",IF(CG$18=$CE23,"〇",""))</f>
        <v>#DIV/0!</v>
      </c>
      <c r="CH23" s="383" t="e">
        <f t="shared" si="27"/>
        <v>#DIV/0!</v>
      </c>
      <c r="CI23" s="383" t="e">
        <f t="shared" si="27"/>
        <v>#DIV/0!</v>
      </c>
      <c r="CJ23" s="383" t="e">
        <f t="shared" si="27"/>
        <v>#DIV/0!</v>
      </c>
      <c r="CK23" s="383" t="e">
        <f t="shared" si="27"/>
        <v>#DIV/0!</v>
      </c>
      <c r="CL23" s="383" t="e">
        <f t="shared" si="27"/>
        <v>#DIV/0!</v>
      </c>
      <c r="CM23" s="383" t="e">
        <f t="shared" si="27"/>
        <v>#DIV/0!</v>
      </c>
      <c r="CN23" s="383" t="e">
        <f t="shared" si="27"/>
        <v>#DIV/0!</v>
      </c>
      <c r="CO23" s="383" t="e">
        <f t="shared" si="27"/>
        <v>#DIV/0!</v>
      </c>
      <c r="CP23" s="383" t="e">
        <f t="shared" si="27"/>
        <v>#DIV/0!</v>
      </c>
      <c r="CQ23" s="383" t="e">
        <f t="shared" si="27"/>
        <v>#DIV/0!</v>
      </c>
    </row>
    <row r="24" spans="3:95">
      <c r="C24" s="389">
        <v>1</v>
      </c>
      <c r="D24" s="389" t="s">
        <v>1404</v>
      </c>
      <c r="E24" s="382" t="s">
        <v>1390</v>
      </c>
      <c r="F24" s="382" t="s">
        <v>1390</v>
      </c>
      <c r="G24" s="382" t="s">
        <v>1390</v>
      </c>
      <c r="H24" s="382" t="s">
        <v>1390</v>
      </c>
      <c r="I24" s="387">
        <v>1</v>
      </c>
      <c r="J24" s="387" t="s">
        <v>1393</v>
      </c>
      <c r="K24" s="382" t="s">
        <v>1390</v>
      </c>
      <c r="L24" s="382" t="s">
        <v>1390</v>
      </c>
      <c r="M24" s="382" t="s">
        <v>1390</v>
      </c>
      <c r="N24" s="382" t="s">
        <v>1390</v>
      </c>
      <c r="O24" s="382" t="s">
        <v>1390</v>
      </c>
      <c r="P24" s="382" t="s">
        <v>1390</v>
      </c>
      <c r="R24" s="385" t="s">
        <v>1392</v>
      </c>
      <c r="S24" s="383" t="e">
        <f t="shared" si="22"/>
        <v>#DIV/0!</v>
      </c>
      <c r="T24" s="383" t="e">
        <f t="shared" si="18"/>
        <v>#DIV/0!</v>
      </c>
      <c r="U24" s="383" t="e">
        <f t="shared" si="18"/>
        <v>#DIV/0!</v>
      </c>
      <c r="V24" s="383" t="e">
        <f t="shared" si="18"/>
        <v>#DIV/0!</v>
      </c>
      <c r="W24" s="383" t="e">
        <f t="shared" si="18"/>
        <v>#DIV/0!</v>
      </c>
      <c r="X24" s="383" t="e">
        <f t="shared" si="18"/>
        <v>#DIV/0!</v>
      </c>
      <c r="Y24" s="383" t="e">
        <f t="shared" si="18"/>
        <v>#DIV/0!</v>
      </c>
      <c r="Z24" s="383" t="e">
        <f t="shared" si="18"/>
        <v>#DIV/0!</v>
      </c>
      <c r="AA24" s="383" t="e">
        <f t="shared" si="18"/>
        <v>#DIV/0!</v>
      </c>
      <c r="AB24" s="383" t="e">
        <f t="shared" si="18"/>
        <v>#DIV/0!</v>
      </c>
      <c r="AC24" s="383" t="e">
        <f t="shared" si="18"/>
        <v>#DIV/0!</v>
      </c>
      <c r="AD24" s="383" t="e">
        <f t="shared" si="18"/>
        <v>#DIV/0!</v>
      </c>
      <c r="AE24" s="385" t="s">
        <v>1390</v>
      </c>
      <c r="AF24" s="383" t="e">
        <f t="shared" si="23"/>
        <v>#DIV/0!</v>
      </c>
      <c r="AG24" s="383" t="e">
        <f t="shared" si="13"/>
        <v>#DIV/0!</v>
      </c>
      <c r="AH24" s="383" t="e">
        <f t="shared" si="13"/>
        <v>#DIV/0!</v>
      </c>
      <c r="AI24" s="383" t="e">
        <f t="shared" si="13"/>
        <v>#DIV/0!</v>
      </c>
      <c r="AJ24" s="383" t="e">
        <f t="shared" si="13"/>
        <v>#DIV/0!</v>
      </c>
      <c r="AK24" s="383" t="e">
        <f t="shared" si="13"/>
        <v>#DIV/0!</v>
      </c>
      <c r="AL24" s="383" t="e">
        <f t="shared" si="13"/>
        <v>#DIV/0!</v>
      </c>
      <c r="AM24" s="383" t="e">
        <f t="shared" si="13"/>
        <v>#DIV/0!</v>
      </c>
      <c r="AN24" s="383" t="e">
        <f t="shared" si="13"/>
        <v>#DIV/0!</v>
      </c>
      <c r="AO24" s="383" t="e">
        <f t="shared" si="13"/>
        <v>#DIV/0!</v>
      </c>
      <c r="AP24" s="383" t="e">
        <f t="shared" si="13"/>
        <v>#DIV/0!</v>
      </c>
      <c r="AQ24" s="383" t="e">
        <f t="shared" si="13"/>
        <v>#DIV/0!</v>
      </c>
      <c r="AR24" s="385" t="s">
        <v>1390</v>
      </c>
      <c r="AS24" s="383" t="e">
        <f t="shared" si="24"/>
        <v>#DIV/0!</v>
      </c>
      <c r="AT24" s="383" t="e">
        <f t="shared" si="14"/>
        <v>#DIV/0!</v>
      </c>
      <c r="AU24" s="383" t="e">
        <f t="shared" si="14"/>
        <v>#DIV/0!</v>
      </c>
      <c r="AV24" s="383" t="e">
        <f t="shared" si="14"/>
        <v>#DIV/0!</v>
      </c>
      <c r="AW24" s="383" t="e">
        <f t="shared" si="14"/>
        <v>#DIV/0!</v>
      </c>
      <c r="AX24" s="383" t="e">
        <f t="shared" si="14"/>
        <v>#DIV/0!</v>
      </c>
      <c r="AY24" s="383" t="e">
        <f t="shared" si="14"/>
        <v>#DIV/0!</v>
      </c>
      <c r="AZ24" s="383" t="e">
        <f t="shared" si="14"/>
        <v>#DIV/0!</v>
      </c>
      <c r="BA24" s="383" t="e">
        <f t="shared" si="14"/>
        <v>#DIV/0!</v>
      </c>
      <c r="BB24" s="383" t="e">
        <f t="shared" si="14"/>
        <v>#DIV/0!</v>
      </c>
      <c r="BC24" s="383" t="e">
        <f t="shared" si="14"/>
        <v>#DIV/0!</v>
      </c>
      <c r="BD24" s="383" t="e">
        <f t="shared" si="14"/>
        <v>#DIV/0!</v>
      </c>
      <c r="BE24" s="386">
        <v>0</v>
      </c>
      <c r="BF24" s="383" t="e">
        <f t="shared" si="25"/>
        <v>#DIV/0!</v>
      </c>
      <c r="BG24" s="383" t="e">
        <f t="shared" si="19"/>
        <v>#DIV/0!</v>
      </c>
      <c r="BH24" s="383" t="e">
        <f t="shared" si="19"/>
        <v>#DIV/0!</v>
      </c>
      <c r="BI24" s="383" t="e">
        <f t="shared" si="19"/>
        <v>#DIV/0!</v>
      </c>
      <c r="BJ24" s="383" t="e">
        <f t="shared" si="19"/>
        <v>#DIV/0!</v>
      </c>
      <c r="BK24" s="383" t="e">
        <f t="shared" si="19"/>
        <v>#DIV/0!</v>
      </c>
      <c r="BL24" s="383" t="e">
        <f t="shared" si="19"/>
        <v>#DIV/0!</v>
      </c>
      <c r="BM24" s="383" t="e">
        <f t="shared" si="19"/>
        <v>#DIV/0!</v>
      </c>
      <c r="BN24" s="383" t="e">
        <f t="shared" si="19"/>
        <v>#DIV/0!</v>
      </c>
      <c r="BO24" s="383" t="e">
        <f t="shared" si="19"/>
        <v>#DIV/0!</v>
      </c>
      <c r="BP24" s="383" t="e">
        <f t="shared" si="19"/>
        <v>#DIV/0!</v>
      </c>
      <c r="BQ24" s="383" t="e">
        <f t="shared" si="19"/>
        <v>#DIV/0!</v>
      </c>
      <c r="BR24" s="386">
        <v>1</v>
      </c>
      <c r="BS24" s="383" t="e">
        <f>IF(BF24="","",IF(BS$18=$BR24,"〇",""))</f>
        <v>#DIV/0!</v>
      </c>
      <c r="BT24" s="383" t="e">
        <f t="shared" si="20"/>
        <v>#DIV/0!</v>
      </c>
      <c r="BU24" s="383" t="e">
        <f t="shared" si="20"/>
        <v>#DIV/0!</v>
      </c>
      <c r="BV24" s="383" t="e">
        <f t="shared" si="20"/>
        <v>#DIV/0!</v>
      </c>
      <c r="BW24" s="383" t="e">
        <f t="shared" si="20"/>
        <v>#DIV/0!</v>
      </c>
      <c r="BX24" s="383" t="e">
        <f t="shared" si="20"/>
        <v>#DIV/0!</v>
      </c>
      <c r="BY24" s="383" t="e">
        <f t="shared" si="20"/>
        <v>#DIV/0!</v>
      </c>
      <c r="BZ24" s="383" t="e">
        <f t="shared" si="20"/>
        <v>#DIV/0!</v>
      </c>
      <c r="CA24" s="383" t="e">
        <f t="shared" si="20"/>
        <v>#DIV/0!</v>
      </c>
      <c r="CB24" s="383" t="e">
        <f t="shared" si="20"/>
        <v>#DIV/0!</v>
      </c>
      <c r="CC24" s="383" t="e">
        <f t="shared" si="20"/>
        <v>#DIV/0!</v>
      </c>
      <c r="CD24" s="383" t="e">
        <f t="shared" si="20"/>
        <v>#DIV/0!</v>
      </c>
      <c r="CE24" s="386" t="s">
        <v>1396</v>
      </c>
      <c r="CF24" s="383" t="e">
        <f>IF(BS24="","",IF(CF$18&gt;=1,"〇",""))</f>
        <v>#DIV/0!</v>
      </c>
      <c r="CG24" s="383" t="e">
        <f t="shared" ref="CG24:CQ24" si="28">IF(BT24="","",IF(CG$18&gt;=1,"〇",""))</f>
        <v>#DIV/0!</v>
      </c>
      <c r="CH24" s="383" t="e">
        <f t="shared" si="28"/>
        <v>#DIV/0!</v>
      </c>
      <c r="CI24" s="383" t="e">
        <f t="shared" si="28"/>
        <v>#DIV/0!</v>
      </c>
      <c r="CJ24" s="383" t="e">
        <f t="shared" si="28"/>
        <v>#DIV/0!</v>
      </c>
      <c r="CK24" s="383" t="e">
        <f t="shared" si="28"/>
        <v>#DIV/0!</v>
      </c>
      <c r="CL24" s="383" t="e">
        <f t="shared" si="28"/>
        <v>#DIV/0!</v>
      </c>
      <c r="CM24" s="383" t="e">
        <f t="shared" si="28"/>
        <v>#DIV/0!</v>
      </c>
      <c r="CN24" s="383" t="e">
        <f t="shared" si="28"/>
        <v>#DIV/0!</v>
      </c>
      <c r="CO24" s="383" t="e">
        <f t="shared" si="28"/>
        <v>#DIV/0!</v>
      </c>
      <c r="CP24" s="383" t="e">
        <f t="shared" si="28"/>
        <v>#DIV/0!</v>
      </c>
      <c r="CQ24" s="383" t="e">
        <f t="shared" si="28"/>
        <v>#DIV/0!</v>
      </c>
    </row>
    <row r="25" spans="3:95">
      <c r="C25" s="389">
        <v>1</v>
      </c>
      <c r="D25" s="389" t="s">
        <v>1404</v>
      </c>
      <c r="E25" s="382" t="s">
        <v>1390</v>
      </c>
      <c r="F25" s="382" t="s">
        <v>1390</v>
      </c>
      <c r="G25" s="382" t="s">
        <v>1390</v>
      </c>
      <c r="H25" s="382" t="s">
        <v>1390</v>
      </c>
      <c r="I25" s="389">
        <v>1</v>
      </c>
      <c r="J25" s="389" t="s">
        <v>1404</v>
      </c>
      <c r="K25" s="382" t="s">
        <v>1390</v>
      </c>
      <c r="L25" s="382" t="s">
        <v>1390</v>
      </c>
      <c r="M25" s="382" t="s">
        <v>1390</v>
      </c>
      <c r="N25" s="382" t="s">
        <v>1390</v>
      </c>
      <c r="O25" s="382" t="s">
        <v>1390</v>
      </c>
      <c r="P25" s="382" t="s">
        <v>1390</v>
      </c>
      <c r="R25" s="385" t="s">
        <v>1392</v>
      </c>
      <c r="S25" s="383" t="e">
        <f t="shared" si="22"/>
        <v>#DIV/0!</v>
      </c>
      <c r="T25" s="383" t="e">
        <f t="shared" si="18"/>
        <v>#DIV/0!</v>
      </c>
      <c r="U25" s="383" t="e">
        <f t="shared" si="18"/>
        <v>#DIV/0!</v>
      </c>
      <c r="V25" s="383" t="e">
        <f t="shared" si="18"/>
        <v>#DIV/0!</v>
      </c>
      <c r="W25" s="383" t="e">
        <f t="shared" si="18"/>
        <v>#DIV/0!</v>
      </c>
      <c r="X25" s="383" t="e">
        <f t="shared" si="18"/>
        <v>#DIV/0!</v>
      </c>
      <c r="Y25" s="383" t="e">
        <f t="shared" si="18"/>
        <v>#DIV/0!</v>
      </c>
      <c r="Z25" s="383" t="e">
        <f t="shared" si="18"/>
        <v>#DIV/0!</v>
      </c>
      <c r="AA25" s="383" t="e">
        <f t="shared" si="18"/>
        <v>#DIV/0!</v>
      </c>
      <c r="AB25" s="383" t="e">
        <f t="shared" si="18"/>
        <v>#DIV/0!</v>
      </c>
      <c r="AC25" s="383" t="e">
        <f t="shared" si="18"/>
        <v>#DIV/0!</v>
      </c>
      <c r="AD25" s="383" t="e">
        <f t="shared" si="18"/>
        <v>#DIV/0!</v>
      </c>
      <c r="AE25" s="385" t="s">
        <v>1390</v>
      </c>
      <c r="AF25" s="383" t="e">
        <f t="shared" si="23"/>
        <v>#DIV/0!</v>
      </c>
      <c r="AG25" s="383" t="e">
        <f t="shared" si="13"/>
        <v>#DIV/0!</v>
      </c>
      <c r="AH25" s="383" t="e">
        <f t="shared" si="13"/>
        <v>#DIV/0!</v>
      </c>
      <c r="AI25" s="383" t="e">
        <f t="shared" si="13"/>
        <v>#DIV/0!</v>
      </c>
      <c r="AJ25" s="383" t="e">
        <f t="shared" si="13"/>
        <v>#DIV/0!</v>
      </c>
      <c r="AK25" s="383" t="e">
        <f t="shared" si="13"/>
        <v>#DIV/0!</v>
      </c>
      <c r="AL25" s="383" t="e">
        <f t="shared" si="13"/>
        <v>#DIV/0!</v>
      </c>
      <c r="AM25" s="383" t="e">
        <f t="shared" si="13"/>
        <v>#DIV/0!</v>
      </c>
      <c r="AN25" s="383" t="e">
        <f t="shared" si="13"/>
        <v>#DIV/0!</v>
      </c>
      <c r="AO25" s="383" t="e">
        <f t="shared" si="13"/>
        <v>#DIV/0!</v>
      </c>
      <c r="AP25" s="383" t="e">
        <f t="shared" si="13"/>
        <v>#DIV/0!</v>
      </c>
      <c r="AQ25" s="383" t="e">
        <f t="shared" si="13"/>
        <v>#DIV/0!</v>
      </c>
      <c r="AR25" s="385" t="s">
        <v>1390</v>
      </c>
      <c r="AS25" s="383" t="e">
        <f t="shared" si="24"/>
        <v>#DIV/0!</v>
      </c>
      <c r="AT25" s="383" t="e">
        <f t="shared" si="14"/>
        <v>#DIV/0!</v>
      </c>
      <c r="AU25" s="383" t="e">
        <f t="shared" si="14"/>
        <v>#DIV/0!</v>
      </c>
      <c r="AV25" s="383" t="e">
        <f t="shared" si="14"/>
        <v>#DIV/0!</v>
      </c>
      <c r="AW25" s="383" t="e">
        <f t="shared" si="14"/>
        <v>#DIV/0!</v>
      </c>
      <c r="AX25" s="383" t="e">
        <f t="shared" si="14"/>
        <v>#DIV/0!</v>
      </c>
      <c r="AY25" s="383" t="e">
        <f t="shared" si="14"/>
        <v>#DIV/0!</v>
      </c>
      <c r="AZ25" s="383" t="e">
        <f t="shared" si="14"/>
        <v>#DIV/0!</v>
      </c>
      <c r="BA25" s="383" t="e">
        <f t="shared" si="14"/>
        <v>#DIV/0!</v>
      </c>
      <c r="BB25" s="383" t="e">
        <f t="shared" si="14"/>
        <v>#DIV/0!</v>
      </c>
      <c r="BC25" s="383" t="e">
        <f t="shared" si="14"/>
        <v>#DIV/0!</v>
      </c>
      <c r="BD25" s="383" t="e">
        <f t="shared" si="14"/>
        <v>#DIV/0!</v>
      </c>
      <c r="BE25" s="386">
        <v>0</v>
      </c>
      <c r="BF25" s="383" t="e">
        <f t="shared" si="25"/>
        <v>#DIV/0!</v>
      </c>
      <c r="BG25" s="383" t="e">
        <f t="shared" si="19"/>
        <v>#DIV/0!</v>
      </c>
      <c r="BH25" s="383" t="e">
        <f t="shared" si="19"/>
        <v>#DIV/0!</v>
      </c>
      <c r="BI25" s="383" t="e">
        <f t="shared" si="19"/>
        <v>#DIV/0!</v>
      </c>
      <c r="BJ25" s="383" t="e">
        <f t="shared" si="19"/>
        <v>#DIV/0!</v>
      </c>
      <c r="BK25" s="383" t="e">
        <f t="shared" si="19"/>
        <v>#DIV/0!</v>
      </c>
      <c r="BL25" s="383" t="e">
        <f t="shared" si="19"/>
        <v>#DIV/0!</v>
      </c>
      <c r="BM25" s="383" t="e">
        <f t="shared" si="19"/>
        <v>#DIV/0!</v>
      </c>
      <c r="BN25" s="383" t="e">
        <f t="shared" si="19"/>
        <v>#DIV/0!</v>
      </c>
      <c r="BO25" s="383" t="e">
        <f t="shared" si="19"/>
        <v>#DIV/0!</v>
      </c>
      <c r="BP25" s="383" t="e">
        <f t="shared" si="19"/>
        <v>#DIV/0!</v>
      </c>
      <c r="BQ25" s="383" t="e">
        <f t="shared" si="19"/>
        <v>#DIV/0!</v>
      </c>
      <c r="BR25" s="386" t="s">
        <v>1395</v>
      </c>
      <c r="BS25" s="383" t="e">
        <f>IF(BF25="","",IF(BS$18&gt;=2,"〇",""))</f>
        <v>#DIV/0!</v>
      </c>
      <c r="BT25" s="383" t="e">
        <f t="shared" ref="BT25:CD25" si="29">IF(BG25="","",IF(BT$18&gt;=2,"〇",""))</f>
        <v>#DIV/0!</v>
      </c>
      <c r="BU25" s="383" t="e">
        <f t="shared" si="29"/>
        <v>#DIV/0!</v>
      </c>
      <c r="BV25" s="383" t="e">
        <f t="shared" si="29"/>
        <v>#DIV/0!</v>
      </c>
      <c r="BW25" s="383" t="e">
        <f t="shared" si="29"/>
        <v>#DIV/0!</v>
      </c>
      <c r="BX25" s="383" t="e">
        <f t="shared" si="29"/>
        <v>#DIV/0!</v>
      </c>
      <c r="BY25" s="383" t="e">
        <f t="shared" si="29"/>
        <v>#DIV/0!</v>
      </c>
      <c r="BZ25" s="383" t="e">
        <f t="shared" si="29"/>
        <v>#DIV/0!</v>
      </c>
      <c r="CA25" s="383" t="e">
        <f t="shared" si="29"/>
        <v>#DIV/0!</v>
      </c>
      <c r="CB25" s="383" t="e">
        <f t="shared" si="29"/>
        <v>#DIV/0!</v>
      </c>
      <c r="CC25" s="383" t="e">
        <f t="shared" si="29"/>
        <v>#DIV/0!</v>
      </c>
      <c r="CD25" s="383" t="e">
        <f t="shared" si="29"/>
        <v>#DIV/0!</v>
      </c>
      <c r="CE25" s="386" t="s">
        <v>1390</v>
      </c>
      <c r="CF25" s="383" t="e">
        <f>IF(BS25="","","〇")</f>
        <v>#DIV/0!</v>
      </c>
      <c r="CG25" s="383" t="e">
        <f t="shared" ref="CG25:CQ25" si="30">IF(BT25="","","〇")</f>
        <v>#DIV/0!</v>
      </c>
      <c r="CH25" s="383" t="e">
        <f t="shared" si="30"/>
        <v>#DIV/0!</v>
      </c>
      <c r="CI25" s="383" t="e">
        <f t="shared" si="30"/>
        <v>#DIV/0!</v>
      </c>
      <c r="CJ25" s="383" t="e">
        <f t="shared" si="30"/>
        <v>#DIV/0!</v>
      </c>
      <c r="CK25" s="383" t="e">
        <f t="shared" si="30"/>
        <v>#DIV/0!</v>
      </c>
      <c r="CL25" s="383" t="e">
        <f t="shared" si="30"/>
        <v>#DIV/0!</v>
      </c>
      <c r="CM25" s="383" t="e">
        <f t="shared" si="30"/>
        <v>#DIV/0!</v>
      </c>
      <c r="CN25" s="383" t="e">
        <f t="shared" si="30"/>
        <v>#DIV/0!</v>
      </c>
      <c r="CO25" s="383" t="e">
        <f t="shared" si="30"/>
        <v>#DIV/0!</v>
      </c>
      <c r="CP25" s="383" t="e">
        <f t="shared" si="30"/>
        <v>#DIV/0!</v>
      </c>
      <c r="CQ25" s="383" t="e">
        <f t="shared" si="30"/>
        <v>#DIV/0!</v>
      </c>
    </row>
    <row r="26" spans="3:95">
      <c r="C26" s="390">
        <v>1</v>
      </c>
      <c r="D26" s="390" t="s">
        <v>1405</v>
      </c>
      <c r="E26" s="382" t="s">
        <v>1390</v>
      </c>
      <c r="F26" s="382" t="s">
        <v>1390</v>
      </c>
      <c r="G26" s="382" t="s">
        <v>1390</v>
      </c>
      <c r="H26" s="382" t="s">
        <v>1390</v>
      </c>
      <c r="I26" s="382" t="s">
        <v>1390</v>
      </c>
      <c r="J26" s="382" t="s">
        <v>1390</v>
      </c>
      <c r="K26" s="382" t="s">
        <v>1390</v>
      </c>
      <c r="L26" s="382" t="s">
        <v>1390</v>
      </c>
      <c r="M26" s="382" t="s">
        <v>1390</v>
      </c>
      <c r="N26" s="382" t="s">
        <v>1390</v>
      </c>
      <c r="O26" s="382" t="s">
        <v>1390</v>
      </c>
      <c r="P26" s="382" t="s">
        <v>1390</v>
      </c>
      <c r="R26" s="385" t="s">
        <v>1392</v>
      </c>
      <c r="S26" s="383" t="e">
        <f t="shared" si="22"/>
        <v>#DIV/0!</v>
      </c>
      <c r="T26" s="383" t="e">
        <f t="shared" si="18"/>
        <v>#DIV/0!</v>
      </c>
      <c r="U26" s="383" t="e">
        <f t="shared" si="18"/>
        <v>#DIV/0!</v>
      </c>
      <c r="V26" s="383" t="e">
        <f t="shared" si="18"/>
        <v>#DIV/0!</v>
      </c>
      <c r="W26" s="383" t="e">
        <f t="shared" si="18"/>
        <v>#DIV/0!</v>
      </c>
      <c r="X26" s="383" t="e">
        <f t="shared" si="18"/>
        <v>#DIV/0!</v>
      </c>
      <c r="Y26" s="383" t="e">
        <f t="shared" si="18"/>
        <v>#DIV/0!</v>
      </c>
      <c r="Z26" s="383" t="e">
        <f t="shared" si="18"/>
        <v>#DIV/0!</v>
      </c>
      <c r="AA26" s="383" t="e">
        <f t="shared" si="18"/>
        <v>#DIV/0!</v>
      </c>
      <c r="AB26" s="383" t="e">
        <f t="shared" si="18"/>
        <v>#DIV/0!</v>
      </c>
      <c r="AC26" s="383" t="e">
        <f t="shared" si="18"/>
        <v>#DIV/0!</v>
      </c>
      <c r="AD26" s="383" t="e">
        <f t="shared" si="18"/>
        <v>#DIV/0!</v>
      </c>
      <c r="AE26" s="385" t="s">
        <v>1390</v>
      </c>
      <c r="AF26" s="383" t="e">
        <f t="shared" si="23"/>
        <v>#DIV/0!</v>
      </c>
      <c r="AG26" s="383" t="e">
        <f t="shared" si="13"/>
        <v>#DIV/0!</v>
      </c>
      <c r="AH26" s="383" t="e">
        <f t="shared" si="13"/>
        <v>#DIV/0!</v>
      </c>
      <c r="AI26" s="383" t="e">
        <f t="shared" si="13"/>
        <v>#DIV/0!</v>
      </c>
      <c r="AJ26" s="383" t="e">
        <f t="shared" si="13"/>
        <v>#DIV/0!</v>
      </c>
      <c r="AK26" s="383" t="e">
        <f t="shared" si="13"/>
        <v>#DIV/0!</v>
      </c>
      <c r="AL26" s="383" t="e">
        <f t="shared" si="13"/>
        <v>#DIV/0!</v>
      </c>
      <c r="AM26" s="383" t="e">
        <f t="shared" si="13"/>
        <v>#DIV/0!</v>
      </c>
      <c r="AN26" s="383" t="e">
        <f t="shared" si="13"/>
        <v>#DIV/0!</v>
      </c>
      <c r="AO26" s="383" t="e">
        <f t="shared" si="13"/>
        <v>#DIV/0!</v>
      </c>
      <c r="AP26" s="383" t="e">
        <f t="shared" si="13"/>
        <v>#DIV/0!</v>
      </c>
      <c r="AQ26" s="383" t="e">
        <f t="shared" si="13"/>
        <v>#DIV/0!</v>
      </c>
      <c r="AR26" s="385" t="s">
        <v>1390</v>
      </c>
      <c r="AS26" s="383" t="e">
        <f t="shared" si="24"/>
        <v>#DIV/0!</v>
      </c>
      <c r="AT26" s="383" t="e">
        <f t="shared" si="14"/>
        <v>#DIV/0!</v>
      </c>
      <c r="AU26" s="383" t="e">
        <f t="shared" si="14"/>
        <v>#DIV/0!</v>
      </c>
      <c r="AV26" s="383" t="e">
        <f t="shared" si="14"/>
        <v>#DIV/0!</v>
      </c>
      <c r="AW26" s="383" t="e">
        <f t="shared" si="14"/>
        <v>#DIV/0!</v>
      </c>
      <c r="AX26" s="383" t="e">
        <f t="shared" si="14"/>
        <v>#DIV/0!</v>
      </c>
      <c r="AY26" s="383" t="e">
        <f t="shared" si="14"/>
        <v>#DIV/0!</v>
      </c>
      <c r="AZ26" s="383" t="e">
        <f t="shared" si="14"/>
        <v>#DIV/0!</v>
      </c>
      <c r="BA26" s="383" t="e">
        <f t="shared" si="14"/>
        <v>#DIV/0!</v>
      </c>
      <c r="BB26" s="383" t="e">
        <f t="shared" si="14"/>
        <v>#DIV/0!</v>
      </c>
      <c r="BC26" s="383" t="e">
        <f t="shared" si="14"/>
        <v>#DIV/0!</v>
      </c>
      <c r="BD26" s="383" t="e">
        <f t="shared" si="14"/>
        <v>#DIV/0!</v>
      </c>
      <c r="BE26" s="386">
        <v>1</v>
      </c>
      <c r="BF26" s="383" t="e">
        <f t="shared" si="25"/>
        <v>#DIV/0!</v>
      </c>
      <c r="BG26" s="383" t="e">
        <f t="shared" si="19"/>
        <v>#DIV/0!</v>
      </c>
      <c r="BH26" s="383" t="e">
        <f t="shared" si="19"/>
        <v>#DIV/0!</v>
      </c>
      <c r="BI26" s="383" t="e">
        <f t="shared" si="19"/>
        <v>#DIV/0!</v>
      </c>
      <c r="BJ26" s="383" t="e">
        <f t="shared" si="19"/>
        <v>#DIV/0!</v>
      </c>
      <c r="BK26" s="383" t="e">
        <f t="shared" si="19"/>
        <v>#DIV/0!</v>
      </c>
      <c r="BL26" s="383" t="e">
        <f t="shared" si="19"/>
        <v>#DIV/0!</v>
      </c>
      <c r="BM26" s="383" t="e">
        <f t="shared" si="19"/>
        <v>#DIV/0!</v>
      </c>
      <c r="BN26" s="383" t="e">
        <f t="shared" si="19"/>
        <v>#DIV/0!</v>
      </c>
      <c r="BO26" s="383" t="e">
        <f t="shared" si="19"/>
        <v>#DIV/0!</v>
      </c>
      <c r="BP26" s="383" t="e">
        <f t="shared" si="19"/>
        <v>#DIV/0!</v>
      </c>
      <c r="BQ26" s="383" t="e">
        <f t="shared" si="19"/>
        <v>#DIV/0!</v>
      </c>
      <c r="BR26" s="386">
        <v>0</v>
      </c>
      <c r="BS26" s="383" t="e">
        <f>IF(BF26="","",IF(BS$18=$BR26,"〇",""))</f>
        <v>#DIV/0!</v>
      </c>
      <c r="BT26" s="383" t="e">
        <f t="shared" ref="BT26:CD27" si="31">IF(BG26="","",IF(BT$18=$BR26,"〇",""))</f>
        <v>#DIV/0!</v>
      </c>
      <c r="BU26" s="383" t="e">
        <f t="shared" si="31"/>
        <v>#DIV/0!</v>
      </c>
      <c r="BV26" s="383" t="e">
        <f t="shared" si="31"/>
        <v>#DIV/0!</v>
      </c>
      <c r="BW26" s="383" t="e">
        <f t="shared" si="31"/>
        <v>#DIV/0!</v>
      </c>
      <c r="BX26" s="383" t="e">
        <f t="shared" si="31"/>
        <v>#DIV/0!</v>
      </c>
      <c r="BY26" s="383" t="e">
        <f t="shared" si="31"/>
        <v>#DIV/0!</v>
      </c>
      <c r="BZ26" s="383" t="e">
        <f t="shared" si="31"/>
        <v>#DIV/0!</v>
      </c>
      <c r="CA26" s="383" t="e">
        <f t="shared" si="31"/>
        <v>#DIV/0!</v>
      </c>
      <c r="CB26" s="383" t="e">
        <f t="shared" si="31"/>
        <v>#DIV/0!</v>
      </c>
      <c r="CC26" s="383" t="e">
        <f t="shared" si="31"/>
        <v>#DIV/0!</v>
      </c>
      <c r="CD26" s="383" t="e">
        <f t="shared" si="31"/>
        <v>#DIV/0!</v>
      </c>
      <c r="CE26" s="386">
        <v>0</v>
      </c>
      <c r="CF26" s="383" t="e">
        <f>IF(BS26="","",IF(CF$18=$CE26,"〇",""))</f>
        <v>#DIV/0!</v>
      </c>
      <c r="CG26" s="383" t="e">
        <f t="shared" ref="CG26:CQ26" si="32">IF(BT26="","",IF(CG$18=$CE26,"〇",""))</f>
        <v>#DIV/0!</v>
      </c>
      <c r="CH26" s="383" t="e">
        <f t="shared" si="32"/>
        <v>#DIV/0!</v>
      </c>
      <c r="CI26" s="383" t="e">
        <f t="shared" si="32"/>
        <v>#DIV/0!</v>
      </c>
      <c r="CJ26" s="383" t="e">
        <f t="shared" si="32"/>
        <v>#DIV/0!</v>
      </c>
      <c r="CK26" s="383" t="e">
        <f t="shared" si="32"/>
        <v>#DIV/0!</v>
      </c>
      <c r="CL26" s="383" t="e">
        <f t="shared" si="32"/>
        <v>#DIV/0!</v>
      </c>
      <c r="CM26" s="383" t="e">
        <f t="shared" si="32"/>
        <v>#DIV/0!</v>
      </c>
      <c r="CN26" s="383" t="e">
        <f t="shared" si="32"/>
        <v>#DIV/0!</v>
      </c>
      <c r="CO26" s="383" t="e">
        <f t="shared" si="32"/>
        <v>#DIV/0!</v>
      </c>
      <c r="CP26" s="383" t="e">
        <f t="shared" si="32"/>
        <v>#DIV/0!</v>
      </c>
      <c r="CQ26" s="383" t="e">
        <f t="shared" si="32"/>
        <v>#DIV/0!</v>
      </c>
    </row>
    <row r="27" spans="3:95">
      <c r="C27" s="390">
        <v>1</v>
      </c>
      <c r="D27" s="390" t="s">
        <v>1405</v>
      </c>
      <c r="E27" s="382" t="s">
        <v>1390</v>
      </c>
      <c r="F27" s="382" t="s">
        <v>1390</v>
      </c>
      <c r="G27" s="382" t="s">
        <v>1390</v>
      </c>
      <c r="H27" s="382" t="s">
        <v>1390</v>
      </c>
      <c r="I27" s="387">
        <v>1</v>
      </c>
      <c r="J27" s="387" t="s">
        <v>1393</v>
      </c>
      <c r="K27" s="382" t="s">
        <v>1390</v>
      </c>
      <c r="L27" s="382" t="s">
        <v>1390</v>
      </c>
      <c r="M27" s="382" t="s">
        <v>1390</v>
      </c>
      <c r="N27" s="382" t="s">
        <v>1390</v>
      </c>
      <c r="O27" s="382" t="s">
        <v>1390</v>
      </c>
      <c r="P27" s="382" t="s">
        <v>1390</v>
      </c>
      <c r="R27" s="385" t="s">
        <v>1392</v>
      </c>
      <c r="S27" s="383" t="e">
        <f t="shared" si="22"/>
        <v>#DIV/0!</v>
      </c>
      <c r="T27" s="383" t="e">
        <f t="shared" si="18"/>
        <v>#DIV/0!</v>
      </c>
      <c r="U27" s="383" t="e">
        <f t="shared" si="18"/>
        <v>#DIV/0!</v>
      </c>
      <c r="V27" s="383" t="e">
        <f t="shared" si="18"/>
        <v>#DIV/0!</v>
      </c>
      <c r="W27" s="383" t="e">
        <f t="shared" si="18"/>
        <v>#DIV/0!</v>
      </c>
      <c r="X27" s="383" t="e">
        <f t="shared" si="18"/>
        <v>#DIV/0!</v>
      </c>
      <c r="Y27" s="383" t="e">
        <f t="shared" si="18"/>
        <v>#DIV/0!</v>
      </c>
      <c r="Z27" s="383" t="e">
        <f t="shared" si="18"/>
        <v>#DIV/0!</v>
      </c>
      <c r="AA27" s="383" t="e">
        <f t="shared" si="18"/>
        <v>#DIV/0!</v>
      </c>
      <c r="AB27" s="383" t="e">
        <f t="shared" si="18"/>
        <v>#DIV/0!</v>
      </c>
      <c r="AC27" s="383" t="e">
        <f t="shared" si="18"/>
        <v>#DIV/0!</v>
      </c>
      <c r="AD27" s="383" t="e">
        <f t="shared" si="18"/>
        <v>#DIV/0!</v>
      </c>
      <c r="AE27" s="385" t="s">
        <v>1390</v>
      </c>
      <c r="AF27" s="383" t="e">
        <f t="shared" si="23"/>
        <v>#DIV/0!</v>
      </c>
      <c r="AG27" s="383" t="e">
        <f t="shared" si="13"/>
        <v>#DIV/0!</v>
      </c>
      <c r="AH27" s="383" t="e">
        <f t="shared" si="13"/>
        <v>#DIV/0!</v>
      </c>
      <c r="AI27" s="383" t="e">
        <f t="shared" si="13"/>
        <v>#DIV/0!</v>
      </c>
      <c r="AJ27" s="383" t="e">
        <f t="shared" si="13"/>
        <v>#DIV/0!</v>
      </c>
      <c r="AK27" s="383" t="e">
        <f t="shared" si="13"/>
        <v>#DIV/0!</v>
      </c>
      <c r="AL27" s="383" t="e">
        <f t="shared" si="13"/>
        <v>#DIV/0!</v>
      </c>
      <c r="AM27" s="383" t="e">
        <f t="shared" si="13"/>
        <v>#DIV/0!</v>
      </c>
      <c r="AN27" s="383" t="e">
        <f t="shared" si="13"/>
        <v>#DIV/0!</v>
      </c>
      <c r="AO27" s="383" t="e">
        <f t="shared" si="13"/>
        <v>#DIV/0!</v>
      </c>
      <c r="AP27" s="383" t="e">
        <f t="shared" si="13"/>
        <v>#DIV/0!</v>
      </c>
      <c r="AQ27" s="383" t="e">
        <f t="shared" si="13"/>
        <v>#DIV/0!</v>
      </c>
      <c r="AR27" s="385" t="s">
        <v>1390</v>
      </c>
      <c r="AS27" s="383" t="e">
        <f t="shared" si="24"/>
        <v>#DIV/0!</v>
      </c>
      <c r="AT27" s="383" t="e">
        <f t="shared" si="14"/>
        <v>#DIV/0!</v>
      </c>
      <c r="AU27" s="383" t="e">
        <f t="shared" si="14"/>
        <v>#DIV/0!</v>
      </c>
      <c r="AV27" s="383" t="e">
        <f t="shared" si="14"/>
        <v>#DIV/0!</v>
      </c>
      <c r="AW27" s="383" t="e">
        <f t="shared" si="14"/>
        <v>#DIV/0!</v>
      </c>
      <c r="AX27" s="383" t="e">
        <f t="shared" si="14"/>
        <v>#DIV/0!</v>
      </c>
      <c r="AY27" s="383" t="e">
        <f t="shared" si="14"/>
        <v>#DIV/0!</v>
      </c>
      <c r="AZ27" s="383" t="e">
        <f t="shared" si="14"/>
        <v>#DIV/0!</v>
      </c>
      <c r="BA27" s="383" t="e">
        <f t="shared" si="14"/>
        <v>#DIV/0!</v>
      </c>
      <c r="BB27" s="383" t="e">
        <f t="shared" si="14"/>
        <v>#DIV/0!</v>
      </c>
      <c r="BC27" s="383" t="e">
        <f t="shared" si="14"/>
        <v>#DIV/0!</v>
      </c>
      <c r="BD27" s="383" t="e">
        <f t="shared" si="14"/>
        <v>#DIV/0!</v>
      </c>
      <c r="BE27" s="386">
        <v>1</v>
      </c>
      <c r="BF27" s="383" t="e">
        <f t="shared" si="25"/>
        <v>#DIV/0!</v>
      </c>
      <c r="BG27" s="383" t="e">
        <f t="shared" si="19"/>
        <v>#DIV/0!</v>
      </c>
      <c r="BH27" s="383" t="e">
        <f t="shared" si="19"/>
        <v>#DIV/0!</v>
      </c>
      <c r="BI27" s="383" t="e">
        <f t="shared" si="19"/>
        <v>#DIV/0!</v>
      </c>
      <c r="BJ27" s="383" t="e">
        <f t="shared" si="19"/>
        <v>#DIV/0!</v>
      </c>
      <c r="BK27" s="383" t="e">
        <f t="shared" si="19"/>
        <v>#DIV/0!</v>
      </c>
      <c r="BL27" s="383" t="e">
        <f t="shared" si="19"/>
        <v>#DIV/0!</v>
      </c>
      <c r="BM27" s="383" t="e">
        <f t="shared" si="19"/>
        <v>#DIV/0!</v>
      </c>
      <c r="BN27" s="383" t="e">
        <f t="shared" si="19"/>
        <v>#DIV/0!</v>
      </c>
      <c r="BO27" s="383" t="e">
        <f t="shared" si="19"/>
        <v>#DIV/0!</v>
      </c>
      <c r="BP27" s="383" t="e">
        <f t="shared" si="19"/>
        <v>#DIV/0!</v>
      </c>
      <c r="BQ27" s="383" t="e">
        <f t="shared" si="19"/>
        <v>#DIV/0!</v>
      </c>
      <c r="BR27" s="386">
        <v>0</v>
      </c>
      <c r="BS27" s="383" t="e">
        <f>IF(BF27="","",IF(BS$18=$BR27,"〇",""))</f>
        <v>#DIV/0!</v>
      </c>
      <c r="BT27" s="383" t="e">
        <f t="shared" si="31"/>
        <v>#DIV/0!</v>
      </c>
      <c r="BU27" s="383" t="e">
        <f t="shared" si="31"/>
        <v>#DIV/0!</v>
      </c>
      <c r="BV27" s="383" t="e">
        <f t="shared" si="31"/>
        <v>#DIV/0!</v>
      </c>
      <c r="BW27" s="383" t="e">
        <f t="shared" si="31"/>
        <v>#DIV/0!</v>
      </c>
      <c r="BX27" s="383" t="e">
        <f t="shared" si="31"/>
        <v>#DIV/0!</v>
      </c>
      <c r="BY27" s="383" t="e">
        <f t="shared" si="31"/>
        <v>#DIV/0!</v>
      </c>
      <c r="BZ27" s="383" t="e">
        <f t="shared" si="31"/>
        <v>#DIV/0!</v>
      </c>
      <c r="CA27" s="383" t="e">
        <f t="shared" si="31"/>
        <v>#DIV/0!</v>
      </c>
      <c r="CB27" s="383" t="e">
        <f t="shared" si="31"/>
        <v>#DIV/0!</v>
      </c>
      <c r="CC27" s="383" t="e">
        <f t="shared" si="31"/>
        <v>#DIV/0!</v>
      </c>
      <c r="CD27" s="383" t="e">
        <f t="shared" si="31"/>
        <v>#DIV/0!</v>
      </c>
      <c r="CE27" s="386" t="s">
        <v>1396</v>
      </c>
      <c r="CF27" s="383" t="e">
        <f>IF(BS27="","",IF(CF$18&gt;=1,"〇",""))</f>
        <v>#DIV/0!</v>
      </c>
      <c r="CG27" s="383" t="e">
        <f t="shared" ref="CG27:CQ27" si="33">IF(BT27="","",IF(CG$18&gt;=1,"〇",""))</f>
        <v>#DIV/0!</v>
      </c>
      <c r="CH27" s="383" t="e">
        <f t="shared" si="33"/>
        <v>#DIV/0!</v>
      </c>
      <c r="CI27" s="383" t="e">
        <f t="shared" si="33"/>
        <v>#DIV/0!</v>
      </c>
      <c r="CJ27" s="383" t="e">
        <f t="shared" si="33"/>
        <v>#DIV/0!</v>
      </c>
      <c r="CK27" s="383" t="e">
        <f t="shared" si="33"/>
        <v>#DIV/0!</v>
      </c>
      <c r="CL27" s="383" t="e">
        <f t="shared" si="33"/>
        <v>#DIV/0!</v>
      </c>
      <c r="CM27" s="383" t="e">
        <f t="shared" si="33"/>
        <v>#DIV/0!</v>
      </c>
      <c r="CN27" s="383" t="e">
        <f t="shared" si="33"/>
        <v>#DIV/0!</v>
      </c>
      <c r="CO27" s="383" t="e">
        <f t="shared" si="33"/>
        <v>#DIV/0!</v>
      </c>
      <c r="CP27" s="383" t="e">
        <f t="shared" si="33"/>
        <v>#DIV/0!</v>
      </c>
      <c r="CQ27" s="383" t="e">
        <f t="shared" si="33"/>
        <v>#DIV/0!</v>
      </c>
    </row>
    <row r="28" spans="3:95">
      <c r="C28" s="390">
        <v>1</v>
      </c>
      <c r="D28" s="390" t="s">
        <v>1405</v>
      </c>
      <c r="E28" s="382" t="s">
        <v>1390</v>
      </c>
      <c r="F28" s="382" t="s">
        <v>1390</v>
      </c>
      <c r="G28" s="382" t="s">
        <v>1390</v>
      </c>
      <c r="H28" s="382" t="s">
        <v>1390</v>
      </c>
      <c r="I28" s="389">
        <v>1</v>
      </c>
      <c r="J28" s="389" t="s">
        <v>1404</v>
      </c>
      <c r="K28" s="382" t="s">
        <v>1390</v>
      </c>
      <c r="L28" s="382" t="s">
        <v>1390</v>
      </c>
      <c r="M28" s="382" t="s">
        <v>1390</v>
      </c>
      <c r="N28" s="382" t="s">
        <v>1390</v>
      </c>
      <c r="O28" s="382" t="s">
        <v>1390</v>
      </c>
      <c r="P28" s="382" t="s">
        <v>1390</v>
      </c>
      <c r="R28" s="385" t="s">
        <v>1392</v>
      </c>
      <c r="S28" s="383" t="e">
        <f t="shared" si="22"/>
        <v>#DIV/0!</v>
      </c>
      <c r="T28" s="383" t="e">
        <f t="shared" si="18"/>
        <v>#DIV/0!</v>
      </c>
      <c r="U28" s="383" t="e">
        <f t="shared" si="18"/>
        <v>#DIV/0!</v>
      </c>
      <c r="V28" s="383" t="e">
        <f t="shared" si="18"/>
        <v>#DIV/0!</v>
      </c>
      <c r="W28" s="383" t="e">
        <f t="shared" si="18"/>
        <v>#DIV/0!</v>
      </c>
      <c r="X28" s="383" t="e">
        <f t="shared" si="18"/>
        <v>#DIV/0!</v>
      </c>
      <c r="Y28" s="383" t="e">
        <f t="shared" si="18"/>
        <v>#DIV/0!</v>
      </c>
      <c r="Z28" s="383" t="e">
        <f t="shared" si="18"/>
        <v>#DIV/0!</v>
      </c>
      <c r="AA28" s="383" t="e">
        <f t="shared" si="18"/>
        <v>#DIV/0!</v>
      </c>
      <c r="AB28" s="383" t="e">
        <f t="shared" si="18"/>
        <v>#DIV/0!</v>
      </c>
      <c r="AC28" s="383" t="e">
        <f t="shared" si="18"/>
        <v>#DIV/0!</v>
      </c>
      <c r="AD28" s="383" t="e">
        <f t="shared" si="18"/>
        <v>#DIV/0!</v>
      </c>
      <c r="AE28" s="385" t="s">
        <v>1390</v>
      </c>
      <c r="AF28" s="383" t="e">
        <f t="shared" si="23"/>
        <v>#DIV/0!</v>
      </c>
      <c r="AG28" s="383" t="e">
        <f t="shared" si="13"/>
        <v>#DIV/0!</v>
      </c>
      <c r="AH28" s="383" t="e">
        <f t="shared" si="13"/>
        <v>#DIV/0!</v>
      </c>
      <c r="AI28" s="383" t="e">
        <f t="shared" si="13"/>
        <v>#DIV/0!</v>
      </c>
      <c r="AJ28" s="383" t="e">
        <f t="shared" si="13"/>
        <v>#DIV/0!</v>
      </c>
      <c r="AK28" s="383" t="e">
        <f t="shared" si="13"/>
        <v>#DIV/0!</v>
      </c>
      <c r="AL28" s="383" t="e">
        <f t="shared" si="13"/>
        <v>#DIV/0!</v>
      </c>
      <c r="AM28" s="383" t="e">
        <f t="shared" si="13"/>
        <v>#DIV/0!</v>
      </c>
      <c r="AN28" s="383" t="e">
        <f t="shared" si="13"/>
        <v>#DIV/0!</v>
      </c>
      <c r="AO28" s="383" t="e">
        <f t="shared" si="13"/>
        <v>#DIV/0!</v>
      </c>
      <c r="AP28" s="383" t="e">
        <f t="shared" si="13"/>
        <v>#DIV/0!</v>
      </c>
      <c r="AQ28" s="383" t="e">
        <f t="shared" si="13"/>
        <v>#DIV/0!</v>
      </c>
      <c r="AR28" s="385" t="s">
        <v>1390</v>
      </c>
      <c r="AS28" s="383" t="e">
        <f t="shared" si="24"/>
        <v>#DIV/0!</v>
      </c>
      <c r="AT28" s="383" t="e">
        <f t="shared" si="14"/>
        <v>#DIV/0!</v>
      </c>
      <c r="AU28" s="383" t="e">
        <f t="shared" si="14"/>
        <v>#DIV/0!</v>
      </c>
      <c r="AV28" s="383" t="e">
        <f t="shared" si="14"/>
        <v>#DIV/0!</v>
      </c>
      <c r="AW28" s="383" t="e">
        <f t="shared" si="14"/>
        <v>#DIV/0!</v>
      </c>
      <c r="AX28" s="383" t="e">
        <f t="shared" si="14"/>
        <v>#DIV/0!</v>
      </c>
      <c r="AY28" s="383" t="e">
        <f t="shared" si="14"/>
        <v>#DIV/0!</v>
      </c>
      <c r="AZ28" s="383" t="e">
        <f t="shared" si="14"/>
        <v>#DIV/0!</v>
      </c>
      <c r="BA28" s="383" t="e">
        <f t="shared" si="14"/>
        <v>#DIV/0!</v>
      </c>
      <c r="BB28" s="383" t="e">
        <f t="shared" si="14"/>
        <v>#DIV/0!</v>
      </c>
      <c r="BC28" s="383" t="e">
        <f t="shared" si="14"/>
        <v>#DIV/0!</v>
      </c>
      <c r="BD28" s="383" t="e">
        <f t="shared" si="14"/>
        <v>#DIV/0!</v>
      </c>
      <c r="BE28" s="386">
        <v>1</v>
      </c>
      <c r="BF28" s="383" t="e">
        <f t="shared" si="25"/>
        <v>#DIV/0!</v>
      </c>
      <c r="BG28" s="383" t="e">
        <f t="shared" si="19"/>
        <v>#DIV/0!</v>
      </c>
      <c r="BH28" s="383" t="e">
        <f t="shared" si="19"/>
        <v>#DIV/0!</v>
      </c>
      <c r="BI28" s="383" t="e">
        <f t="shared" si="19"/>
        <v>#DIV/0!</v>
      </c>
      <c r="BJ28" s="383" t="e">
        <f t="shared" si="19"/>
        <v>#DIV/0!</v>
      </c>
      <c r="BK28" s="383" t="e">
        <f t="shared" si="19"/>
        <v>#DIV/0!</v>
      </c>
      <c r="BL28" s="383" t="e">
        <f t="shared" si="19"/>
        <v>#DIV/0!</v>
      </c>
      <c r="BM28" s="383" t="e">
        <f t="shared" si="19"/>
        <v>#DIV/0!</v>
      </c>
      <c r="BN28" s="383" t="e">
        <f t="shared" si="19"/>
        <v>#DIV/0!</v>
      </c>
      <c r="BO28" s="383" t="e">
        <f t="shared" si="19"/>
        <v>#DIV/0!</v>
      </c>
      <c r="BP28" s="383" t="e">
        <f t="shared" si="19"/>
        <v>#DIV/0!</v>
      </c>
      <c r="BQ28" s="383" t="e">
        <f t="shared" si="19"/>
        <v>#DIV/0!</v>
      </c>
      <c r="BR28" s="386" t="s">
        <v>1396</v>
      </c>
      <c r="BS28" s="383" t="e">
        <f>IF(BF28="","",IF(BS$18&gt;=1,"〇",""))</f>
        <v>#DIV/0!</v>
      </c>
      <c r="BT28" s="383" t="e">
        <f t="shared" ref="BT28:CD28" si="34">IF(BG28="","",IF(BT$18&gt;=1,"〇",""))</f>
        <v>#DIV/0!</v>
      </c>
      <c r="BU28" s="383" t="e">
        <f t="shared" si="34"/>
        <v>#DIV/0!</v>
      </c>
      <c r="BV28" s="383" t="e">
        <f t="shared" si="34"/>
        <v>#DIV/0!</v>
      </c>
      <c r="BW28" s="383" t="e">
        <f t="shared" si="34"/>
        <v>#DIV/0!</v>
      </c>
      <c r="BX28" s="383" t="e">
        <f t="shared" si="34"/>
        <v>#DIV/0!</v>
      </c>
      <c r="BY28" s="383" t="e">
        <f t="shared" si="34"/>
        <v>#DIV/0!</v>
      </c>
      <c r="BZ28" s="383" t="e">
        <f t="shared" si="34"/>
        <v>#DIV/0!</v>
      </c>
      <c r="CA28" s="383" t="e">
        <f t="shared" si="34"/>
        <v>#DIV/0!</v>
      </c>
      <c r="CB28" s="383" t="e">
        <f t="shared" si="34"/>
        <v>#DIV/0!</v>
      </c>
      <c r="CC28" s="383" t="e">
        <f t="shared" si="34"/>
        <v>#DIV/0!</v>
      </c>
      <c r="CD28" s="383" t="e">
        <f t="shared" si="34"/>
        <v>#DIV/0!</v>
      </c>
      <c r="CE28" s="386" t="s">
        <v>1390</v>
      </c>
      <c r="CF28" s="383" t="e">
        <f t="shared" ref="CF28:CQ29" si="35">IF(BS28="","","〇")</f>
        <v>#DIV/0!</v>
      </c>
      <c r="CG28" s="383" t="e">
        <f t="shared" si="35"/>
        <v>#DIV/0!</v>
      </c>
      <c r="CH28" s="383" t="e">
        <f t="shared" si="35"/>
        <v>#DIV/0!</v>
      </c>
      <c r="CI28" s="383" t="e">
        <f t="shared" si="35"/>
        <v>#DIV/0!</v>
      </c>
      <c r="CJ28" s="383" t="e">
        <f t="shared" si="35"/>
        <v>#DIV/0!</v>
      </c>
      <c r="CK28" s="383" t="e">
        <f t="shared" si="35"/>
        <v>#DIV/0!</v>
      </c>
      <c r="CL28" s="383" t="e">
        <f t="shared" si="35"/>
        <v>#DIV/0!</v>
      </c>
      <c r="CM28" s="383" t="e">
        <f t="shared" si="35"/>
        <v>#DIV/0!</v>
      </c>
      <c r="CN28" s="383" t="e">
        <f t="shared" si="35"/>
        <v>#DIV/0!</v>
      </c>
      <c r="CO28" s="383" t="e">
        <f t="shared" si="35"/>
        <v>#DIV/0!</v>
      </c>
      <c r="CP28" s="383" t="e">
        <f t="shared" si="35"/>
        <v>#DIV/0!</v>
      </c>
      <c r="CQ28" s="383" t="e">
        <f t="shared" si="35"/>
        <v>#DIV/0!</v>
      </c>
    </row>
    <row r="29" spans="3:95">
      <c r="C29" s="390">
        <v>1</v>
      </c>
      <c r="D29" s="390" t="s">
        <v>1405</v>
      </c>
      <c r="E29" s="382" t="s">
        <v>1390</v>
      </c>
      <c r="F29" s="382" t="s">
        <v>1390</v>
      </c>
      <c r="G29" s="382" t="s">
        <v>1390</v>
      </c>
      <c r="H29" s="382" t="s">
        <v>1390</v>
      </c>
      <c r="I29" s="390">
        <v>1</v>
      </c>
      <c r="J29" s="390" t="s">
        <v>1405</v>
      </c>
      <c r="K29" s="382" t="s">
        <v>1390</v>
      </c>
      <c r="L29" s="382" t="s">
        <v>1390</v>
      </c>
      <c r="M29" s="382" t="s">
        <v>1390</v>
      </c>
      <c r="N29" s="382" t="s">
        <v>1390</v>
      </c>
      <c r="O29" s="382" t="s">
        <v>1390</v>
      </c>
      <c r="P29" s="382" t="s">
        <v>1390</v>
      </c>
      <c r="R29" s="385" t="s">
        <v>1392</v>
      </c>
      <c r="S29" s="383" t="e">
        <f t="shared" si="22"/>
        <v>#DIV/0!</v>
      </c>
      <c r="T29" s="383" t="e">
        <f t="shared" si="18"/>
        <v>#DIV/0!</v>
      </c>
      <c r="U29" s="383" t="e">
        <f t="shared" si="18"/>
        <v>#DIV/0!</v>
      </c>
      <c r="V29" s="383" t="e">
        <f t="shared" si="18"/>
        <v>#DIV/0!</v>
      </c>
      <c r="W29" s="383" t="e">
        <f t="shared" si="18"/>
        <v>#DIV/0!</v>
      </c>
      <c r="X29" s="383" t="e">
        <f t="shared" si="18"/>
        <v>#DIV/0!</v>
      </c>
      <c r="Y29" s="383" t="e">
        <f t="shared" si="18"/>
        <v>#DIV/0!</v>
      </c>
      <c r="Z29" s="383" t="e">
        <f t="shared" si="18"/>
        <v>#DIV/0!</v>
      </c>
      <c r="AA29" s="383" t="e">
        <f t="shared" si="18"/>
        <v>#DIV/0!</v>
      </c>
      <c r="AB29" s="383" t="e">
        <f t="shared" si="18"/>
        <v>#DIV/0!</v>
      </c>
      <c r="AC29" s="383" t="e">
        <f t="shared" si="18"/>
        <v>#DIV/0!</v>
      </c>
      <c r="AD29" s="383" t="e">
        <f t="shared" si="18"/>
        <v>#DIV/0!</v>
      </c>
      <c r="AE29" s="385" t="s">
        <v>1390</v>
      </c>
      <c r="AF29" s="383" t="e">
        <f t="shared" si="23"/>
        <v>#DIV/0!</v>
      </c>
      <c r="AG29" s="383" t="e">
        <f t="shared" si="13"/>
        <v>#DIV/0!</v>
      </c>
      <c r="AH29" s="383" t="e">
        <f t="shared" si="13"/>
        <v>#DIV/0!</v>
      </c>
      <c r="AI29" s="383" t="e">
        <f t="shared" si="13"/>
        <v>#DIV/0!</v>
      </c>
      <c r="AJ29" s="383" t="e">
        <f t="shared" si="13"/>
        <v>#DIV/0!</v>
      </c>
      <c r="AK29" s="383" t="e">
        <f t="shared" si="13"/>
        <v>#DIV/0!</v>
      </c>
      <c r="AL29" s="383" t="e">
        <f t="shared" si="13"/>
        <v>#DIV/0!</v>
      </c>
      <c r="AM29" s="383" t="e">
        <f t="shared" si="13"/>
        <v>#DIV/0!</v>
      </c>
      <c r="AN29" s="383" t="e">
        <f t="shared" si="13"/>
        <v>#DIV/0!</v>
      </c>
      <c r="AO29" s="383" t="e">
        <f t="shared" si="13"/>
        <v>#DIV/0!</v>
      </c>
      <c r="AP29" s="383" t="e">
        <f t="shared" si="13"/>
        <v>#DIV/0!</v>
      </c>
      <c r="AQ29" s="383" t="e">
        <f t="shared" si="13"/>
        <v>#DIV/0!</v>
      </c>
      <c r="AR29" s="385" t="s">
        <v>1390</v>
      </c>
      <c r="AS29" s="383" t="e">
        <f t="shared" si="24"/>
        <v>#DIV/0!</v>
      </c>
      <c r="AT29" s="383" t="e">
        <f t="shared" si="14"/>
        <v>#DIV/0!</v>
      </c>
      <c r="AU29" s="383" t="e">
        <f t="shared" si="14"/>
        <v>#DIV/0!</v>
      </c>
      <c r="AV29" s="383" t="e">
        <f t="shared" si="14"/>
        <v>#DIV/0!</v>
      </c>
      <c r="AW29" s="383" t="e">
        <f t="shared" si="14"/>
        <v>#DIV/0!</v>
      </c>
      <c r="AX29" s="383" t="e">
        <f t="shared" si="14"/>
        <v>#DIV/0!</v>
      </c>
      <c r="AY29" s="383" t="e">
        <f t="shared" si="14"/>
        <v>#DIV/0!</v>
      </c>
      <c r="AZ29" s="383" t="e">
        <f t="shared" si="14"/>
        <v>#DIV/0!</v>
      </c>
      <c r="BA29" s="383" t="e">
        <f t="shared" si="14"/>
        <v>#DIV/0!</v>
      </c>
      <c r="BB29" s="383" t="e">
        <f t="shared" si="14"/>
        <v>#DIV/0!</v>
      </c>
      <c r="BC29" s="383" t="e">
        <f t="shared" si="14"/>
        <v>#DIV/0!</v>
      </c>
      <c r="BD29" s="383" t="e">
        <f t="shared" si="14"/>
        <v>#DIV/0!</v>
      </c>
      <c r="BE29" s="386" t="s">
        <v>1395</v>
      </c>
      <c r="BF29" s="383" t="e">
        <f>IF(AS29="","",IF(BF$18&gt;=2,"〇",""))</f>
        <v>#DIV/0!</v>
      </c>
      <c r="BG29" s="383" t="e">
        <f t="shared" ref="BG29:BQ29" si="36">IF(AT29="","",IF(BG$18&gt;=2,"〇",""))</f>
        <v>#DIV/0!</v>
      </c>
      <c r="BH29" s="383" t="e">
        <f t="shared" si="36"/>
        <v>#DIV/0!</v>
      </c>
      <c r="BI29" s="383" t="e">
        <f t="shared" si="36"/>
        <v>#DIV/0!</v>
      </c>
      <c r="BJ29" s="383" t="e">
        <f t="shared" si="36"/>
        <v>#DIV/0!</v>
      </c>
      <c r="BK29" s="383" t="e">
        <f t="shared" si="36"/>
        <v>#DIV/0!</v>
      </c>
      <c r="BL29" s="383" t="e">
        <f t="shared" si="36"/>
        <v>#DIV/0!</v>
      </c>
      <c r="BM29" s="383" t="e">
        <f t="shared" si="36"/>
        <v>#DIV/0!</v>
      </c>
      <c r="BN29" s="383" t="e">
        <f t="shared" si="36"/>
        <v>#DIV/0!</v>
      </c>
      <c r="BO29" s="383" t="e">
        <f t="shared" si="36"/>
        <v>#DIV/0!</v>
      </c>
      <c r="BP29" s="383" t="e">
        <f t="shared" si="36"/>
        <v>#DIV/0!</v>
      </c>
      <c r="BQ29" s="383" t="e">
        <f t="shared" si="36"/>
        <v>#DIV/0!</v>
      </c>
      <c r="BR29" s="386" t="s">
        <v>1390</v>
      </c>
      <c r="BS29" s="383" t="e">
        <f>IF(BF29="","","〇")</f>
        <v>#DIV/0!</v>
      </c>
      <c r="BT29" s="383" t="e">
        <f t="shared" ref="BT29:CD29" si="37">IF(BG29="","","〇")</f>
        <v>#DIV/0!</v>
      </c>
      <c r="BU29" s="383" t="e">
        <f t="shared" si="37"/>
        <v>#DIV/0!</v>
      </c>
      <c r="BV29" s="383" t="e">
        <f t="shared" si="37"/>
        <v>#DIV/0!</v>
      </c>
      <c r="BW29" s="383" t="e">
        <f t="shared" si="37"/>
        <v>#DIV/0!</v>
      </c>
      <c r="BX29" s="383" t="e">
        <f t="shared" si="37"/>
        <v>#DIV/0!</v>
      </c>
      <c r="BY29" s="383" t="e">
        <f t="shared" si="37"/>
        <v>#DIV/0!</v>
      </c>
      <c r="BZ29" s="383" t="e">
        <f t="shared" si="37"/>
        <v>#DIV/0!</v>
      </c>
      <c r="CA29" s="383" t="e">
        <f t="shared" si="37"/>
        <v>#DIV/0!</v>
      </c>
      <c r="CB29" s="383" t="e">
        <f t="shared" si="37"/>
        <v>#DIV/0!</v>
      </c>
      <c r="CC29" s="383" t="e">
        <f t="shared" si="37"/>
        <v>#DIV/0!</v>
      </c>
      <c r="CD29" s="383" t="e">
        <f t="shared" si="37"/>
        <v>#DIV/0!</v>
      </c>
      <c r="CE29" s="386" t="s">
        <v>1390</v>
      </c>
      <c r="CF29" s="383" t="e">
        <f t="shared" si="35"/>
        <v>#DIV/0!</v>
      </c>
      <c r="CG29" s="383" t="e">
        <f t="shared" si="35"/>
        <v>#DIV/0!</v>
      </c>
      <c r="CH29" s="383" t="e">
        <f t="shared" si="35"/>
        <v>#DIV/0!</v>
      </c>
      <c r="CI29" s="383" t="e">
        <f t="shared" si="35"/>
        <v>#DIV/0!</v>
      </c>
      <c r="CJ29" s="383" t="e">
        <f t="shared" si="35"/>
        <v>#DIV/0!</v>
      </c>
      <c r="CK29" s="383" t="e">
        <f t="shared" si="35"/>
        <v>#DIV/0!</v>
      </c>
      <c r="CL29" s="383" t="e">
        <f t="shared" si="35"/>
        <v>#DIV/0!</v>
      </c>
      <c r="CM29" s="383" t="e">
        <f t="shared" si="35"/>
        <v>#DIV/0!</v>
      </c>
      <c r="CN29" s="383" t="e">
        <f t="shared" si="35"/>
        <v>#DIV/0!</v>
      </c>
      <c r="CO29" s="383" t="e">
        <f t="shared" si="35"/>
        <v>#DIV/0!</v>
      </c>
      <c r="CP29" s="383" t="e">
        <f t="shared" si="35"/>
        <v>#DIV/0!</v>
      </c>
      <c r="CQ29" s="383" t="e">
        <f t="shared" si="35"/>
        <v>#DIV/0!</v>
      </c>
    </row>
    <row r="30" spans="3:95">
      <c r="C30" s="391">
        <v>1</v>
      </c>
      <c r="D30" s="391" t="s">
        <v>1404</v>
      </c>
      <c r="E30" s="382" t="s">
        <v>1390</v>
      </c>
      <c r="F30" s="382" t="s">
        <v>1390</v>
      </c>
      <c r="G30" s="382" t="s">
        <v>1390</v>
      </c>
      <c r="H30" s="382" t="s">
        <v>1390</v>
      </c>
      <c r="I30" s="382" t="s">
        <v>1390</v>
      </c>
      <c r="J30" s="382" t="s">
        <v>1390</v>
      </c>
      <c r="K30" s="382" t="s">
        <v>1390</v>
      </c>
      <c r="L30" s="382" t="s">
        <v>1390</v>
      </c>
      <c r="M30" s="382" t="s">
        <v>1390</v>
      </c>
      <c r="N30" s="382" t="s">
        <v>1390</v>
      </c>
      <c r="O30" s="382" t="s">
        <v>1390</v>
      </c>
      <c r="P30" s="382" t="s">
        <v>1390</v>
      </c>
      <c r="R30" s="386">
        <v>1</v>
      </c>
      <c r="S30" s="383" t="e">
        <f>IF(AND(S$18&gt;=1,S$18&lt;2),"〇","")</f>
        <v>#DIV/0!</v>
      </c>
      <c r="T30" s="383" t="e">
        <f t="shared" ref="T30:AD30" si="38">IF(AND(T$18&gt;=1,T$18&lt;2),"〇","")</f>
        <v>#DIV/0!</v>
      </c>
      <c r="U30" s="383" t="e">
        <f t="shared" si="38"/>
        <v>#DIV/0!</v>
      </c>
      <c r="V30" s="383" t="e">
        <f t="shared" si="38"/>
        <v>#DIV/0!</v>
      </c>
      <c r="W30" s="383" t="e">
        <f t="shared" si="38"/>
        <v>#DIV/0!</v>
      </c>
      <c r="X30" s="383" t="e">
        <f t="shared" si="38"/>
        <v>#DIV/0!</v>
      </c>
      <c r="Y30" s="383" t="e">
        <f t="shared" si="38"/>
        <v>#DIV/0!</v>
      </c>
      <c r="Z30" s="383" t="e">
        <f t="shared" si="38"/>
        <v>#DIV/0!</v>
      </c>
      <c r="AA30" s="383" t="e">
        <f t="shared" si="38"/>
        <v>#DIV/0!</v>
      </c>
      <c r="AB30" s="383" t="e">
        <f t="shared" si="38"/>
        <v>#DIV/0!</v>
      </c>
      <c r="AC30" s="383" t="e">
        <f t="shared" si="38"/>
        <v>#DIV/0!</v>
      </c>
      <c r="AD30" s="383" t="e">
        <f t="shared" si="38"/>
        <v>#DIV/0!</v>
      </c>
      <c r="AE30" s="386">
        <v>0</v>
      </c>
      <c r="AF30" s="383" t="e">
        <f t="shared" ref="AF30:AQ84" si="39">IF(S30="","",IF(AF$18=0,"〇",""))</f>
        <v>#DIV/0!</v>
      </c>
      <c r="AG30" s="383" t="e">
        <f t="shared" si="39"/>
        <v>#DIV/0!</v>
      </c>
      <c r="AH30" s="383" t="e">
        <f t="shared" si="39"/>
        <v>#DIV/0!</v>
      </c>
      <c r="AI30" s="383" t="e">
        <f t="shared" si="39"/>
        <v>#DIV/0!</v>
      </c>
      <c r="AJ30" s="383" t="e">
        <f t="shared" si="39"/>
        <v>#DIV/0!</v>
      </c>
      <c r="AK30" s="383" t="e">
        <f t="shared" si="39"/>
        <v>#DIV/0!</v>
      </c>
      <c r="AL30" s="383" t="e">
        <f t="shared" si="39"/>
        <v>#DIV/0!</v>
      </c>
      <c r="AM30" s="383" t="e">
        <f t="shared" si="39"/>
        <v>#DIV/0!</v>
      </c>
      <c r="AN30" s="383" t="e">
        <f t="shared" si="39"/>
        <v>#DIV/0!</v>
      </c>
      <c r="AO30" s="383" t="e">
        <f t="shared" si="39"/>
        <v>#DIV/0!</v>
      </c>
      <c r="AP30" s="383" t="e">
        <f t="shared" si="39"/>
        <v>#DIV/0!</v>
      </c>
      <c r="AQ30" s="383" t="e">
        <f t="shared" si="39"/>
        <v>#DIV/0!</v>
      </c>
      <c r="AR30" s="385" t="s">
        <v>1390</v>
      </c>
      <c r="AS30" s="383" t="e">
        <f t="shared" si="24"/>
        <v>#DIV/0!</v>
      </c>
      <c r="AT30" s="383" t="e">
        <f t="shared" si="14"/>
        <v>#DIV/0!</v>
      </c>
      <c r="AU30" s="383" t="e">
        <f t="shared" si="14"/>
        <v>#DIV/0!</v>
      </c>
      <c r="AV30" s="383" t="e">
        <f t="shared" si="14"/>
        <v>#DIV/0!</v>
      </c>
      <c r="AW30" s="383" t="e">
        <f t="shared" si="14"/>
        <v>#DIV/0!</v>
      </c>
      <c r="AX30" s="383" t="e">
        <f t="shared" si="14"/>
        <v>#DIV/0!</v>
      </c>
      <c r="AY30" s="383" t="e">
        <f t="shared" si="14"/>
        <v>#DIV/0!</v>
      </c>
      <c r="AZ30" s="383" t="e">
        <f t="shared" si="14"/>
        <v>#DIV/0!</v>
      </c>
      <c r="BA30" s="383" t="e">
        <f t="shared" si="14"/>
        <v>#DIV/0!</v>
      </c>
      <c r="BB30" s="383" t="e">
        <f t="shared" si="14"/>
        <v>#DIV/0!</v>
      </c>
      <c r="BC30" s="383" t="e">
        <f t="shared" si="14"/>
        <v>#DIV/0!</v>
      </c>
      <c r="BD30" s="383" t="e">
        <f t="shared" si="14"/>
        <v>#DIV/0!</v>
      </c>
      <c r="BE30" s="386">
        <v>0</v>
      </c>
      <c r="BF30" s="383" t="e">
        <f t="shared" si="25"/>
        <v>#DIV/0!</v>
      </c>
      <c r="BG30" s="383" t="e">
        <f t="shared" si="25"/>
        <v>#DIV/0!</v>
      </c>
      <c r="BH30" s="383" t="e">
        <f t="shared" si="25"/>
        <v>#DIV/0!</v>
      </c>
      <c r="BI30" s="383" t="e">
        <f t="shared" si="25"/>
        <v>#DIV/0!</v>
      </c>
      <c r="BJ30" s="383" t="e">
        <f t="shared" si="25"/>
        <v>#DIV/0!</v>
      </c>
      <c r="BK30" s="383" t="e">
        <f t="shared" si="25"/>
        <v>#DIV/0!</v>
      </c>
      <c r="BL30" s="383" t="e">
        <f t="shared" si="25"/>
        <v>#DIV/0!</v>
      </c>
      <c r="BM30" s="383" t="e">
        <f t="shared" si="25"/>
        <v>#DIV/0!</v>
      </c>
      <c r="BN30" s="383" t="e">
        <f t="shared" si="25"/>
        <v>#DIV/0!</v>
      </c>
      <c r="BO30" s="383" t="e">
        <f t="shared" si="25"/>
        <v>#DIV/0!</v>
      </c>
      <c r="BP30" s="383" t="e">
        <f t="shared" si="25"/>
        <v>#DIV/0!</v>
      </c>
      <c r="BQ30" s="383" t="e">
        <f t="shared" si="25"/>
        <v>#DIV/0!</v>
      </c>
      <c r="BR30" s="386">
        <v>0</v>
      </c>
      <c r="BS30" s="383" t="e">
        <f>IF(BF30="","",IF(BS$18=$BR30,"〇",""))</f>
        <v>#DIV/0!</v>
      </c>
      <c r="BT30" s="383" t="e">
        <f t="shared" ref="BT30:CD34" si="40">IF(BG30="","",IF(BT$18=$BR30,"〇",""))</f>
        <v>#DIV/0!</v>
      </c>
      <c r="BU30" s="383" t="e">
        <f t="shared" si="40"/>
        <v>#DIV/0!</v>
      </c>
      <c r="BV30" s="383" t="e">
        <f t="shared" si="40"/>
        <v>#DIV/0!</v>
      </c>
      <c r="BW30" s="383" t="e">
        <f t="shared" si="40"/>
        <v>#DIV/0!</v>
      </c>
      <c r="BX30" s="383" t="e">
        <f t="shared" si="40"/>
        <v>#DIV/0!</v>
      </c>
      <c r="BY30" s="383" t="e">
        <f t="shared" si="40"/>
        <v>#DIV/0!</v>
      </c>
      <c r="BZ30" s="383" t="e">
        <f t="shared" si="40"/>
        <v>#DIV/0!</v>
      </c>
      <c r="CA30" s="383" t="e">
        <f t="shared" si="40"/>
        <v>#DIV/0!</v>
      </c>
      <c r="CB30" s="383" t="e">
        <f t="shared" si="40"/>
        <v>#DIV/0!</v>
      </c>
      <c r="CC30" s="383" t="e">
        <f t="shared" si="40"/>
        <v>#DIV/0!</v>
      </c>
      <c r="CD30" s="383" t="e">
        <f t="shared" si="40"/>
        <v>#DIV/0!</v>
      </c>
      <c r="CE30" s="386">
        <v>0</v>
      </c>
      <c r="CF30" s="383" t="e">
        <f>IF(BS30="","",IF(CF$18=$CE30,"〇",""))</f>
        <v>#DIV/0!</v>
      </c>
      <c r="CG30" s="383" t="e">
        <f t="shared" ref="CG30:CQ31" si="41">IF(BT30="","",IF(CG$18=$CE30,"〇",""))</f>
        <v>#DIV/0!</v>
      </c>
      <c r="CH30" s="383" t="e">
        <f t="shared" si="41"/>
        <v>#DIV/0!</v>
      </c>
      <c r="CI30" s="383" t="e">
        <f t="shared" si="41"/>
        <v>#DIV/0!</v>
      </c>
      <c r="CJ30" s="383" t="e">
        <f t="shared" si="41"/>
        <v>#DIV/0!</v>
      </c>
      <c r="CK30" s="383" t="e">
        <f t="shared" si="41"/>
        <v>#DIV/0!</v>
      </c>
      <c r="CL30" s="383" t="e">
        <f t="shared" si="41"/>
        <v>#DIV/0!</v>
      </c>
      <c r="CM30" s="383" t="e">
        <f t="shared" si="41"/>
        <v>#DIV/0!</v>
      </c>
      <c r="CN30" s="383" t="e">
        <f t="shared" si="41"/>
        <v>#DIV/0!</v>
      </c>
      <c r="CO30" s="383" t="e">
        <f t="shared" si="41"/>
        <v>#DIV/0!</v>
      </c>
      <c r="CP30" s="383" t="e">
        <f t="shared" si="41"/>
        <v>#DIV/0!</v>
      </c>
      <c r="CQ30" s="383" t="e">
        <f t="shared" si="41"/>
        <v>#DIV/0!</v>
      </c>
    </row>
    <row r="31" spans="3:95">
      <c r="C31" s="391">
        <v>1</v>
      </c>
      <c r="D31" s="391" t="s">
        <v>1404</v>
      </c>
      <c r="E31" s="382" t="s">
        <v>1390</v>
      </c>
      <c r="F31" s="382" t="s">
        <v>1390</v>
      </c>
      <c r="G31" s="382" t="s">
        <v>1390</v>
      </c>
      <c r="H31" s="382" t="s">
        <v>1390</v>
      </c>
      <c r="I31" s="387">
        <v>1</v>
      </c>
      <c r="J31" s="387" t="s">
        <v>1393</v>
      </c>
      <c r="K31" s="382" t="s">
        <v>1390</v>
      </c>
      <c r="L31" s="382" t="s">
        <v>1390</v>
      </c>
      <c r="M31" s="382" t="s">
        <v>1390</v>
      </c>
      <c r="N31" s="382" t="s">
        <v>1390</v>
      </c>
      <c r="O31" s="382" t="s">
        <v>1390</v>
      </c>
      <c r="P31" s="382" t="s">
        <v>1390</v>
      </c>
      <c r="R31" s="386">
        <v>1</v>
      </c>
      <c r="S31" s="383" t="e">
        <f t="shared" ref="S31:AD49" si="42">IF(AND(S$18&gt;=1,S$18&lt;2),"〇","")</f>
        <v>#DIV/0!</v>
      </c>
      <c r="T31" s="383" t="e">
        <f t="shared" si="42"/>
        <v>#DIV/0!</v>
      </c>
      <c r="U31" s="383" t="e">
        <f t="shared" si="42"/>
        <v>#DIV/0!</v>
      </c>
      <c r="V31" s="383" t="e">
        <f t="shared" si="42"/>
        <v>#DIV/0!</v>
      </c>
      <c r="W31" s="383" t="e">
        <f t="shared" si="42"/>
        <v>#DIV/0!</v>
      </c>
      <c r="X31" s="383" t="e">
        <f t="shared" si="42"/>
        <v>#DIV/0!</v>
      </c>
      <c r="Y31" s="383" t="e">
        <f t="shared" si="42"/>
        <v>#DIV/0!</v>
      </c>
      <c r="Z31" s="383" t="e">
        <f t="shared" si="42"/>
        <v>#DIV/0!</v>
      </c>
      <c r="AA31" s="383" t="e">
        <f t="shared" si="42"/>
        <v>#DIV/0!</v>
      </c>
      <c r="AB31" s="383" t="e">
        <f t="shared" si="42"/>
        <v>#DIV/0!</v>
      </c>
      <c r="AC31" s="383" t="e">
        <f t="shared" si="42"/>
        <v>#DIV/0!</v>
      </c>
      <c r="AD31" s="383" t="e">
        <f t="shared" si="42"/>
        <v>#DIV/0!</v>
      </c>
      <c r="AE31" s="386">
        <v>0</v>
      </c>
      <c r="AF31" s="383" t="e">
        <f t="shared" si="39"/>
        <v>#DIV/0!</v>
      </c>
      <c r="AG31" s="383" t="e">
        <f t="shared" si="39"/>
        <v>#DIV/0!</v>
      </c>
      <c r="AH31" s="383" t="e">
        <f t="shared" si="39"/>
        <v>#DIV/0!</v>
      </c>
      <c r="AI31" s="383" t="e">
        <f t="shared" si="39"/>
        <v>#DIV/0!</v>
      </c>
      <c r="AJ31" s="383" t="e">
        <f t="shared" si="39"/>
        <v>#DIV/0!</v>
      </c>
      <c r="AK31" s="383" t="e">
        <f t="shared" si="39"/>
        <v>#DIV/0!</v>
      </c>
      <c r="AL31" s="383" t="e">
        <f t="shared" si="39"/>
        <v>#DIV/0!</v>
      </c>
      <c r="AM31" s="383" t="e">
        <f t="shared" si="39"/>
        <v>#DIV/0!</v>
      </c>
      <c r="AN31" s="383" t="e">
        <f t="shared" si="39"/>
        <v>#DIV/0!</v>
      </c>
      <c r="AO31" s="383" t="e">
        <f t="shared" si="39"/>
        <v>#DIV/0!</v>
      </c>
      <c r="AP31" s="383" t="e">
        <f t="shared" si="39"/>
        <v>#DIV/0!</v>
      </c>
      <c r="AQ31" s="383" t="e">
        <f t="shared" si="39"/>
        <v>#DIV/0!</v>
      </c>
      <c r="AR31" s="385" t="s">
        <v>1390</v>
      </c>
      <c r="AS31" s="383" t="e">
        <f t="shared" si="24"/>
        <v>#DIV/0!</v>
      </c>
      <c r="AT31" s="383" t="e">
        <f t="shared" si="14"/>
        <v>#DIV/0!</v>
      </c>
      <c r="AU31" s="383" t="e">
        <f t="shared" si="14"/>
        <v>#DIV/0!</v>
      </c>
      <c r="AV31" s="383" t="e">
        <f t="shared" si="14"/>
        <v>#DIV/0!</v>
      </c>
      <c r="AW31" s="383" t="e">
        <f t="shared" si="14"/>
        <v>#DIV/0!</v>
      </c>
      <c r="AX31" s="383" t="e">
        <f t="shared" si="14"/>
        <v>#DIV/0!</v>
      </c>
      <c r="AY31" s="383" t="e">
        <f t="shared" si="14"/>
        <v>#DIV/0!</v>
      </c>
      <c r="AZ31" s="383" t="e">
        <f t="shared" si="14"/>
        <v>#DIV/0!</v>
      </c>
      <c r="BA31" s="383" t="e">
        <f t="shared" si="14"/>
        <v>#DIV/0!</v>
      </c>
      <c r="BB31" s="383" t="e">
        <f t="shared" si="14"/>
        <v>#DIV/0!</v>
      </c>
      <c r="BC31" s="383" t="e">
        <f t="shared" si="14"/>
        <v>#DIV/0!</v>
      </c>
      <c r="BD31" s="383" t="e">
        <f t="shared" si="14"/>
        <v>#DIV/0!</v>
      </c>
      <c r="BE31" s="386">
        <v>0</v>
      </c>
      <c r="BF31" s="383" t="e">
        <f t="shared" si="25"/>
        <v>#DIV/0!</v>
      </c>
      <c r="BG31" s="383" t="e">
        <f t="shared" si="25"/>
        <v>#DIV/0!</v>
      </c>
      <c r="BH31" s="383" t="e">
        <f t="shared" si="25"/>
        <v>#DIV/0!</v>
      </c>
      <c r="BI31" s="383" t="e">
        <f t="shared" si="25"/>
        <v>#DIV/0!</v>
      </c>
      <c r="BJ31" s="383" t="e">
        <f t="shared" si="25"/>
        <v>#DIV/0!</v>
      </c>
      <c r="BK31" s="383" t="e">
        <f t="shared" si="25"/>
        <v>#DIV/0!</v>
      </c>
      <c r="BL31" s="383" t="e">
        <f t="shared" si="25"/>
        <v>#DIV/0!</v>
      </c>
      <c r="BM31" s="383" t="e">
        <f t="shared" si="25"/>
        <v>#DIV/0!</v>
      </c>
      <c r="BN31" s="383" t="e">
        <f t="shared" si="25"/>
        <v>#DIV/0!</v>
      </c>
      <c r="BO31" s="383" t="e">
        <f t="shared" si="25"/>
        <v>#DIV/0!</v>
      </c>
      <c r="BP31" s="383" t="e">
        <f t="shared" si="25"/>
        <v>#DIV/0!</v>
      </c>
      <c r="BQ31" s="383" t="e">
        <f t="shared" si="25"/>
        <v>#DIV/0!</v>
      </c>
      <c r="BR31" s="386">
        <v>0</v>
      </c>
      <c r="BS31" s="383" t="e">
        <f>IF(BF31="","",IF(BS$18=$BR31,"〇",""))</f>
        <v>#DIV/0!</v>
      </c>
      <c r="BT31" s="383" t="e">
        <f t="shared" si="40"/>
        <v>#DIV/0!</v>
      </c>
      <c r="BU31" s="383" t="e">
        <f t="shared" si="40"/>
        <v>#DIV/0!</v>
      </c>
      <c r="BV31" s="383" t="e">
        <f t="shared" si="40"/>
        <v>#DIV/0!</v>
      </c>
      <c r="BW31" s="383" t="e">
        <f t="shared" si="40"/>
        <v>#DIV/0!</v>
      </c>
      <c r="BX31" s="383" t="e">
        <f t="shared" si="40"/>
        <v>#DIV/0!</v>
      </c>
      <c r="BY31" s="383" t="e">
        <f t="shared" si="40"/>
        <v>#DIV/0!</v>
      </c>
      <c r="BZ31" s="383" t="e">
        <f t="shared" si="40"/>
        <v>#DIV/0!</v>
      </c>
      <c r="CA31" s="383" t="e">
        <f t="shared" si="40"/>
        <v>#DIV/0!</v>
      </c>
      <c r="CB31" s="383" t="e">
        <f t="shared" si="40"/>
        <v>#DIV/0!</v>
      </c>
      <c r="CC31" s="383" t="e">
        <f t="shared" si="40"/>
        <v>#DIV/0!</v>
      </c>
      <c r="CD31" s="383" t="e">
        <f t="shared" si="40"/>
        <v>#DIV/0!</v>
      </c>
      <c r="CE31" s="386">
        <v>1</v>
      </c>
      <c r="CF31" s="383" t="e">
        <f>IF(BS31="","",IF(CF$18=$CE31,"〇",""))</f>
        <v>#DIV/0!</v>
      </c>
      <c r="CG31" s="383" t="e">
        <f t="shared" si="41"/>
        <v>#DIV/0!</v>
      </c>
      <c r="CH31" s="383" t="e">
        <f t="shared" si="41"/>
        <v>#DIV/0!</v>
      </c>
      <c r="CI31" s="383" t="e">
        <f t="shared" si="41"/>
        <v>#DIV/0!</v>
      </c>
      <c r="CJ31" s="383" t="e">
        <f t="shared" si="41"/>
        <v>#DIV/0!</v>
      </c>
      <c r="CK31" s="383" t="e">
        <f t="shared" si="41"/>
        <v>#DIV/0!</v>
      </c>
      <c r="CL31" s="383" t="e">
        <f t="shared" si="41"/>
        <v>#DIV/0!</v>
      </c>
      <c r="CM31" s="383" t="e">
        <f t="shared" si="41"/>
        <v>#DIV/0!</v>
      </c>
      <c r="CN31" s="383" t="e">
        <f t="shared" si="41"/>
        <v>#DIV/0!</v>
      </c>
      <c r="CO31" s="383" t="e">
        <f t="shared" si="41"/>
        <v>#DIV/0!</v>
      </c>
      <c r="CP31" s="383" t="e">
        <f t="shared" si="41"/>
        <v>#DIV/0!</v>
      </c>
      <c r="CQ31" s="383" t="e">
        <f t="shared" si="41"/>
        <v>#DIV/0!</v>
      </c>
    </row>
    <row r="32" spans="3:95">
      <c r="C32" s="391">
        <v>1</v>
      </c>
      <c r="D32" s="391" t="s">
        <v>1404</v>
      </c>
      <c r="E32" s="382" t="s">
        <v>1390</v>
      </c>
      <c r="F32" s="382" t="s">
        <v>1390</v>
      </c>
      <c r="G32" s="382" t="s">
        <v>1390</v>
      </c>
      <c r="H32" s="382" t="s">
        <v>1390</v>
      </c>
      <c r="I32" s="387">
        <v>1</v>
      </c>
      <c r="J32" s="387" t="s">
        <v>1393</v>
      </c>
      <c r="K32" s="388">
        <v>1</v>
      </c>
      <c r="L32" s="388" t="s">
        <v>1404</v>
      </c>
      <c r="M32" s="382" t="s">
        <v>1390</v>
      </c>
      <c r="N32" s="382" t="s">
        <v>1390</v>
      </c>
      <c r="O32" s="382" t="s">
        <v>1390</v>
      </c>
      <c r="P32" s="382" t="s">
        <v>1390</v>
      </c>
      <c r="R32" s="386">
        <v>1</v>
      </c>
      <c r="S32" s="383" t="e">
        <f t="shared" si="42"/>
        <v>#DIV/0!</v>
      </c>
      <c r="T32" s="383" t="e">
        <f t="shared" si="42"/>
        <v>#DIV/0!</v>
      </c>
      <c r="U32" s="383" t="e">
        <f t="shared" si="42"/>
        <v>#DIV/0!</v>
      </c>
      <c r="V32" s="383" t="e">
        <f t="shared" si="42"/>
        <v>#DIV/0!</v>
      </c>
      <c r="W32" s="383" t="e">
        <f t="shared" si="42"/>
        <v>#DIV/0!</v>
      </c>
      <c r="X32" s="383" t="e">
        <f t="shared" si="42"/>
        <v>#DIV/0!</v>
      </c>
      <c r="Y32" s="383" t="e">
        <f t="shared" si="42"/>
        <v>#DIV/0!</v>
      </c>
      <c r="Z32" s="383" t="e">
        <f t="shared" si="42"/>
        <v>#DIV/0!</v>
      </c>
      <c r="AA32" s="383" t="e">
        <f t="shared" si="42"/>
        <v>#DIV/0!</v>
      </c>
      <c r="AB32" s="383" t="e">
        <f t="shared" si="42"/>
        <v>#DIV/0!</v>
      </c>
      <c r="AC32" s="383" t="e">
        <f t="shared" si="42"/>
        <v>#DIV/0!</v>
      </c>
      <c r="AD32" s="383" t="e">
        <f t="shared" si="42"/>
        <v>#DIV/0!</v>
      </c>
      <c r="AE32" s="386">
        <v>0</v>
      </c>
      <c r="AF32" s="383" t="e">
        <f t="shared" si="39"/>
        <v>#DIV/0!</v>
      </c>
      <c r="AG32" s="383" t="e">
        <f t="shared" si="39"/>
        <v>#DIV/0!</v>
      </c>
      <c r="AH32" s="383" t="e">
        <f t="shared" si="39"/>
        <v>#DIV/0!</v>
      </c>
      <c r="AI32" s="383" t="e">
        <f t="shared" si="39"/>
        <v>#DIV/0!</v>
      </c>
      <c r="AJ32" s="383" t="e">
        <f t="shared" si="39"/>
        <v>#DIV/0!</v>
      </c>
      <c r="AK32" s="383" t="e">
        <f t="shared" si="39"/>
        <v>#DIV/0!</v>
      </c>
      <c r="AL32" s="383" t="e">
        <f t="shared" si="39"/>
        <v>#DIV/0!</v>
      </c>
      <c r="AM32" s="383" t="e">
        <f t="shared" si="39"/>
        <v>#DIV/0!</v>
      </c>
      <c r="AN32" s="383" t="e">
        <f t="shared" si="39"/>
        <v>#DIV/0!</v>
      </c>
      <c r="AO32" s="383" t="e">
        <f t="shared" si="39"/>
        <v>#DIV/0!</v>
      </c>
      <c r="AP32" s="383" t="e">
        <f t="shared" si="39"/>
        <v>#DIV/0!</v>
      </c>
      <c r="AQ32" s="383" t="e">
        <f t="shared" si="39"/>
        <v>#DIV/0!</v>
      </c>
      <c r="AR32" s="385" t="s">
        <v>1390</v>
      </c>
      <c r="AS32" s="383" t="e">
        <f t="shared" si="24"/>
        <v>#DIV/0!</v>
      </c>
      <c r="AT32" s="383" t="e">
        <f t="shared" si="14"/>
        <v>#DIV/0!</v>
      </c>
      <c r="AU32" s="383" t="e">
        <f t="shared" si="14"/>
        <v>#DIV/0!</v>
      </c>
      <c r="AV32" s="383" t="e">
        <f t="shared" si="14"/>
        <v>#DIV/0!</v>
      </c>
      <c r="AW32" s="383" t="e">
        <f t="shared" si="14"/>
        <v>#DIV/0!</v>
      </c>
      <c r="AX32" s="383" t="e">
        <f t="shared" si="14"/>
        <v>#DIV/0!</v>
      </c>
      <c r="AY32" s="383" t="e">
        <f t="shared" si="14"/>
        <v>#DIV/0!</v>
      </c>
      <c r="AZ32" s="383" t="e">
        <f t="shared" si="14"/>
        <v>#DIV/0!</v>
      </c>
      <c r="BA32" s="383" t="e">
        <f t="shared" si="14"/>
        <v>#DIV/0!</v>
      </c>
      <c r="BB32" s="383" t="e">
        <f t="shared" si="14"/>
        <v>#DIV/0!</v>
      </c>
      <c r="BC32" s="383" t="e">
        <f t="shared" si="14"/>
        <v>#DIV/0!</v>
      </c>
      <c r="BD32" s="383" t="e">
        <f t="shared" si="14"/>
        <v>#DIV/0!</v>
      </c>
      <c r="BE32" s="386">
        <v>0</v>
      </c>
      <c r="BF32" s="383" t="e">
        <f t="shared" si="25"/>
        <v>#DIV/0!</v>
      </c>
      <c r="BG32" s="383" t="e">
        <f t="shared" si="25"/>
        <v>#DIV/0!</v>
      </c>
      <c r="BH32" s="383" t="e">
        <f t="shared" si="25"/>
        <v>#DIV/0!</v>
      </c>
      <c r="BI32" s="383" t="e">
        <f t="shared" si="25"/>
        <v>#DIV/0!</v>
      </c>
      <c r="BJ32" s="383" t="e">
        <f t="shared" si="25"/>
        <v>#DIV/0!</v>
      </c>
      <c r="BK32" s="383" t="e">
        <f t="shared" si="25"/>
        <v>#DIV/0!</v>
      </c>
      <c r="BL32" s="383" t="e">
        <f t="shared" si="25"/>
        <v>#DIV/0!</v>
      </c>
      <c r="BM32" s="383" t="e">
        <f t="shared" si="25"/>
        <v>#DIV/0!</v>
      </c>
      <c r="BN32" s="383" t="e">
        <f t="shared" si="25"/>
        <v>#DIV/0!</v>
      </c>
      <c r="BO32" s="383" t="e">
        <f t="shared" si="25"/>
        <v>#DIV/0!</v>
      </c>
      <c r="BP32" s="383" t="e">
        <f t="shared" si="25"/>
        <v>#DIV/0!</v>
      </c>
      <c r="BQ32" s="383" t="e">
        <f t="shared" si="25"/>
        <v>#DIV/0!</v>
      </c>
      <c r="BR32" s="386">
        <v>0</v>
      </c>
      <c r="BS32" s="383" t="e">
        <f>IF(BF32="","",IF(BS$18=$BR32,"〇",""))</f>
        <v>#DIV/0!</v>
      </c>
      <c r="BT32" s="383" t="e">
        <f t="shared" si="40"/>
        <v>#DIV/0!</v>
      </c>
      <c r="BU32" s="383" t="e">
        <f t="shared" si="40"/>
        <v>#DIV/0!</v>
      </c>
      <c r="BV32" s="383" t="e">
        <f t="shared" si="40"/>
        <v>#DIV/0!</v>
      </c>
      <c r="BW32" s="383" t="e">
        <f t="shared" si="40"/>
        <v>#DIV/0!</v>
      </c>
      <c r="BX32" s="383" t="e">
        <f t="shared" si="40"/>
        <v>#DIV/0!</v>
      </c>
      <c r="BY32" s="383" t="e">
        <f t="shared" si="40"/>
        <v>#DIV/0!</v>
      </c>
      <c r="BZ32" s="383" t="e">
        <f t="shared" si="40"/>
        <v>#DIV/0!</v>
      </c>
      <c r="CA32" s="383" t="e">
        <f t="shared" si="40"/>
        <v>#DIV/0!</v>
      </c>
      <c r="CB32" s="383" t="e">
        <f t="shared" si="40"/>
        <v>#DIV/0!</v>
      </c>
      <c r="CC32" s="383" t="e">
        <f t="shared" si="40"/>
        <v>#DIV/0!</v>
      </c>
      <c r="CD32" s="383" t="e">
        <f t="shared" si="40"/>
        <v>#DIV/0!</v>
      </c>
      <c r="CE32" s="386" t="s">
        <v>1395</v>
      </c>
      <c r="CF32" s="383" t="e">
        <f>IF(BS32="","",IF(CF$18&gt;=2,"〇",""))</f>
        <v>#DIV/0!</v>
      </c>
      <c r="CG32" s="383" t="e">
        <f t="shared" ref="CG32:CQ32" si="43">IF(BT32="","",IF(CG$18&gt;=2,"〇",""))</f>
        <v>#DIV/0!</v>
      </c>
      <c r="CH32" s="383" t="e">
        <f t="shared" si="43"/>
        <v>#DIV/0!</v>
      </c>
      <c r="CI32" s="383" t="e">
        <f t="shared" si="43"/>
        <v>#DIV/0!</v>
      </c>
      <c r="CJ32" s="383" t="e">
        <f t="shared" si="43"/>
        <v>#DIV/0!</v>
      </c>
      <c r="CK32" s="383" t="e">
        <f t="shared" si="43"/>
        <v>#DIV/0!</v>
      </c>
      <c r="CL32" s="383" t="e">
        <f t="shared" si="43"/>
        <v>#DIV/0!</v>
      </c>
      <c r="CM32" s="383" t="e">
        <f t="shared" si="43"/>
        <v>#DIV/0!</v>
      </c>
      <c r="CN32" s="383" t="e">
        <f t="shared" si="43"/>
        <v>#DIV/0!</v>
      </c>
      <c r="CO32" s="383" t="e">
        <f t="shared" si="43"/>
        <v>#DIV/0!</v>
      </c>
      <c r="CP32" s="383" t="e">
        <f t="shared" si="43"/>
        <v>#DIV/0!</v>
      </c>
      <c r="CQ32" s="383" t="e">
        <f t="shared" si="43"/>
        <v>#DIV/0!</v>
      </c>
    </row>
    <row r="33" spans="3:95">
      <c r="C33" s="391">
        <v>1</v>
      </c>
      <c r="D33" s="391" t="s">
        <v>1404</v>
      </c>
      <c r="E33" s="382" t="s">
        <v>1390</v>
      </c>
      <c r="F33" s="382" t="s">
        <v>1390</v>
      </c>
      <c r="G33" s="382" t="s">
        <v>1390</v>
      </c>
      <c r="H33" s="382" t="s">
        <v>1390</v>
      </c>
      <c r="I33" s="389">
        <v>1</v>
      </c>
      <c r="J33" s="389" t="s">
        <v>1404</v>
      </c>
      <c r="K33" s="382" t="s">
        <v>1390</v>
      </c>
      <c r="L33" s="382" t="s">
        <v>1390</v>
      </c>
      <c r="M33" s="382" t="s">
        <v>1390</v>
      </c>
      <c r="N33" s="382" t="s">
        <v>1390</v>
      </c>
      <c r="O33" s="382" t="s">
        <v>1390</v>
      </c>
      <c r="P33" s="382" t="s">
        <v>1390</v>
      </c>
      <c r="R33" s="386">
        <v>1</v>
      </c>
      <c r="S33" s="383" t="e">
        <f t="shared" si="42"/>
        <v>#DIV/0!</v>
      </c>
      <c r="T33" s="383" t="e">
        <f t="shared" si="42"/>
        <v>#DIV/0!</v>
      </c>
      <c r="U33" s="383" t="e">
        <f t="shared" si="42"/>
        <v>#DIV/0!</v>
      </c>
      <c r="V33" s="383" t="e">
        <f t="shared" si="42"/>
        <v>#DIV/0!</v>
      </c>
      <c r="W33" s="383" t="e">
        <f t="shared" si="42"/>
        <v>#DIV/0!</v>
      </c>
      <c r="X33" s="383" t="e">
        <f t="shared" si="42"/>
        <v>#DIV/0!</v>
      </c>
      <c r="Y33" s="383" t="e">
        <f t="shared" si="42"/>
        <v>#DIV/0!</v>
      </c>
      <c r="Z33" s="383" t="e">
        <f t="shared" si="42"/>
        <v>#DIV/0!</v>
      </c>
      <c r="AA33" s="383" t="e">
        <f t="shared" si="42"/>
        <v>#DIV/0!</v>
      </c>
      <c r="AB33" s="383" t="e">
        <f t="shared" si="42"/>
        <v>#DIV/0!</v>
      </c>
      <c r="AC33" s="383" t="e">
        <f t="shared" si="42"/>
        <v>#DIV/0!</v>
      </c>
      <c r="AD33" s="383" t="e">
        <f t="shared" si="42"/>
        <v>#DIV/0!</v>
      </c>
      <c r="AE33" s="386">
        <v>0</v>
      </c>
      <c r="AF33" s="383" t="e">
        <f t="shared" si="39"/>
        <v>#DIV/0!</v>
      </c>
      <c r="AG33" s="383" t="e">
        <f t="shared" si="39"/>
        <v>#DIV/0!</v>
      </c>
      <c r="AH33" s="383" t="e">
        <f t="shared" si="39"/>
        <v>#DIV/0!</v>
      </c>
      <c r="AI33" s="383" t="e">
        <f t="shared" si="39"/>
        <v>#DIV/0!</v>
      </c>
      <c r="AJ33" s="383" t="e">
        <f t="shared" si="39"/>
        <v>#DIV/0!</v>
      </c>
      <c r="AK33" s="383" t="e">
        <f t="shared" si="39"/>
        <v>#DIV/0!</v>
      </c>
      <c r="AL33" s="383" t="e">
        <f t="shared" si="39"/>
        <v>#DIV/0!</v>
      </c>
      <c r="AM33" s="383" t="e">
        <f t="shared" si="39"/>
        <v>#DIV/0!</v>
      </c>
      <c r="AN33" s="383" t="e">
        <f t="shared" si="39"/>
        <v>#DIV/0!</v>
      </c>
      <c r="AO33" s="383" t="e">
        <f t="shared" si="39"/>
        <v>#DIV/0!</v>
      </c>
      <c r="AP33" s="383" t="e">
        <f t="shared" si="39"/>
        <v>#DIV/0!</v>
      </c>
      <c r="AQ33" s="383" t="e">
        <f t="shared" si="39"/>
        <v>#DIV/0!</v>
      </c>
      <c r="AR33" s="385" t="s">
        <v>1390</v>
      </c>
      <c r="AS33" s="383" t="e">
        <f t="shared" si="24"/>
        <v>#DIV/0!</v>
      </c>
      <c r="AT33" s="383" t="e">
        <f t="shared" si="14"/>
        <v>#DIV/0!</v>
      </c>
      <c r="AU33" s="383" t="e">
        <f t="shared" si="14"/>
        <v>#DIV/0!</v>
      </c>
      <c r="AV33" s="383" t="e">
        <f t="shared" si="14"/>
        <v>#DIV/0!</v>
      </c>
      <c r="AW33" s="383" t="e">
        <f t="shared" si="14"/>
        <v>#DIV/0!</v>
      </c>
      <c r="AX33" s="383" t="e">
        <f t="shared" si="14"/>
        <v>#DIV/0!</v>
      </c>
      <c r="AY33" s="383" t="e">
        <f t="shared" si="14"/>
        <v>#DIV/0!</v>
      </c>
      <c r="AZ33" s="383" t="e">
        <f t="shared" si="14"/>
        <v>#DIV/0!</v>
      </c>
      <c r="BA33" s="383" t="e">
        <f t="shared" si="14"/>
        <v>#DIV/0!</v>
      </c>
      <c r="BB33" s="383" t="e">
        <f t="shared" si="14"/>
        <v>#DIV/0!</v>
      </c>
      <c r="BC33" s="383" t="e">
        <f t="shared" si="14"/>
        <v>#DIV/0!</v>
      </c>
      <c r="BD33" s="383" t="e">
        <f t="shared" si="14"/>
        <v>#DIV/0!</v>
      </c>
      <c r="BE33" s="386">
        <v>0</v>
      </c>
      <c r="BF33" s="383" t="e">
        <f t="shared" si="25"/>
        <v>#DIV/0!</v>
      </c>
      <c r="BG33" s="383" t="e">
        <f t="shared" si="25"/>
        <v>#DIV/0!</v>
      </c>
      <c r="BH33" s="383" t="e">
        <f t="shared" si="25"/>
        <v>#DIV/0!</v>
      </c>
      <c r="BI33" s="383" t="e">
        <f t="shared" si="25"/>
        <v>#DIV/0!</v>
      </c>
      <c r="BJ33" s="383" t="e">
        <f t="shared" si="25"/>
        <v>#DIV/0!</v>
      </c>
      <c r="BK33" s="383" t="e">
        <f t="shared" si="25"/>
        <v>#DIV/0!</v>
      </c>
      <c r="BL33" s="383" t="e">
        <f t="shared" si="25"/>
        <v>#DIV/0!</v>
      </c>
      <c r="BM33" s="383" t="e">
        <f t="shared" si="25"/>
        <v>#DIV/0!</v>
      </c>
      <c r="BN33" s="383" t="e">
        <f t="shared" si="25"/>
        <v>#DIV/0!</v>
      </c>
      <c r="BO33" s="383" t="e">
        <f t="shared" si="25"/>
        <v>#DIV/0!</v>
      </c>
      <c r="BP33" s="383" t="e">
        <f t="shared" si="25"/>
        <v>#DIV/0!</v>
      </c>
      <c r="BQ33" s="383" t="e">
        <f t="shared" si="25"/>
        <v>#DIV/0!</v>
      </c>
      <c r="BR33" s="386">
        <v>1</v>
      </c>
      <c r="BS33" s="383" t="e">
        <f>IF(BF33="","",IF(BS$18=$BR33,"〇",""))</f>
        <v>#DIV/0!</v>
      </c>
      <c r="BT33" s="383" t="e">
        <f t="shared" si="40"/>
        <v>#DIV/0!</v>
      </c>
      <c r="BU33" s="383" t="e">
        <f t="shared" si="40"/>
        <v>#DIV/0!</v>
      </c>
      <c r="BV33" s="383" t="e">
        <f t="shared" si="40"/>
        <v>#DIV/0!</v>
      </c>
      <c r="BW33" s="383" t="e">
        <f t="shared" si="40"/>
        <v>#DIV/0!</v>
      </c>
      <c r="BX33" s="383" t="e">
        <f t="shared" si="40"/>
        <v>#DIV/0!</v>
      </c>
      <c r="BY33" s="383" t="e">
        <f t="shared" si="40"/>
        <v>#DIV/0!</v>
      </c>
      <c r="BZ33" s="383" t="e">
        <f t="shared" si="40"/>
        <v>#DIV/0!</v>
      </c>
      <c r="CA33" s="383" t="e">
        <f t="shared" si="40"/>
        <v>#DIV/0!</v>
      </c>
      <c r="CB33" s="383" t="e">
        <f t="shared" si="40"/>
        <v>#DIV/0!</v>
      </c>
      <c r="CC33" s="383" t="e">
        <f t="shared" si="40"/>
        <v>#DIV/0!</v>
      </c>
      <c r="CD33" s="383" t="e">
        <f t="shared" si="40"/>
        <v>#DIV/0!</v>
      </c>
      <c r="CE33" s="386">
        <v>0</v>
      </c>
      <c r="CF33" s="383" t="e">
        <f>IF(BS33="","",IF(CF$18=$CE33,"〇",""))</f>
        <v>#DIV/0!</v>
      </c>
      <c r="CG33" s="383" t="e">
        <f t="shared" ref="CG33:CQ33" si="44">IF(BT33="","",IF(CG$18=$CE33,"〇",""))</f>
        <v>#DIV/0!</v>
      </c>
      <c r="CH33" s="383" t="e">
        <f t="shared" si="44"/>
        <v>#DIV/0!</v>
      </c>
      <c r="CI33" s="383" t="e">
        <f t="shared" si="44"/>
        <v>#DIV/0!</v>
      </c>
      <c r="CJ33" s="383" t="e">
        <f t="shared" si="44"/>
        <v>#DIV/0!</v>
      </c>
      <c r="CK33" s="383" t="e">
        <f t="shared" si="44"/>
        <v>#DIV/0!</v>
      </c>
      <c r="CL33" s="383" t="e">
        <f t="shared" si="44"/>
        <v>#DIV/0!</v>
      </c>
      <c r="CM33" s="383" t="e">
        <f t="shared" si="44"/>
        <v>#DIV/0!</v>
      </c>
      <c r="CN33" s="383" t="e">
        <f t="shared" si="44"/>
        <v>#DIV/0!</v>
      </c>
      <c r="CO33" s="383" t="e">
        <f t="shared" si="44"/>
        <v>#DIV/0!</v>
      </c>
      <c r="CP33" s="383" t="e">
        <f t="shared" si="44"/>
        <v>#DIV/0!</v>
      </c>
      <c r="CQ33" s="383" t="e">
        <f t="shared" si="44"/>
        <v>#DIV/0!</v>
      </c>
    </row>
    <row r="34" spans="3:95">
      <c r="C34" s="391">
        <v>1</v>
      </c>
      <c r="D34" s="391" t="s">
        <v>1404</v>
      </c>
      <c r="E34" s="382" t="s">
        <v>1390</v>
      </c>
      <c r="F34" s="382" t="s">
        <v>1390</v>
      </c>
      <c r="G34" s="382" t="s">
        <v>1390</v>
      </c>
      <c r="H34" s="382" t="s">
        <v>1390</v>
      </c>
      <c r="I34" s="389">
        <v>1</v>
      </c>
      <c r="J34" s="389" t="s">
        <v>1404</v>
      </c>
      <c r="K34" s="387">
        <v>1</v>
      </c>
      <c r="L34" s="387" t="s">
        <v>1393</v>
      </c>
      <c r="M34" s="382" t="s">
        <v>1390</v>
      </c>
      <c r="N34" s="382" t="s">
        <v>1390</v>
      </c>
      <c r="O34" s="382" t="s">
        <v>1390</v>
      </c>
      <c r="P34" s="382" t="s">
        <v>1390</v>
      </c>
      <c r="R34" s="386">
        <v>1</v>
      </c>
      <c r="S34" s="383" t="e">
        <f t="shared" si="42"/>
        <v>#DIV/0!</v>
      </c>
      <c r="T34" s="383" t="e">
        <f t="shared" si="42"/>
        <v>#DIV/0!</v>
      </c>
      <c r="U34" s="383" t="e">
        <f t="shared" si="42"/>
        <v>#DIV/0!</v>
      </c>
      <c r="V34" s="383" t="e">
        <f t="shared" si="42"/>
        <v>#DIV/0!</v>
      </c>
      <c r="W34" s="383" t="e">
        <f t="shared" si="42"/>
        <v>#DIV/0!</v>
      </c>
      <c r="X34" s="383" t="e">
        <f t="shared" si="42"/>
        <v>#DIV/0!</v>
      </c>
      <c r="Y34" s="383" t="e">
        <f t="shared" si="42"/>
        <v>#DIV/0!</v>
      </c>
      <c r="Z34" s="383" t="e">
        <f t="shared" si="42"/>
        <v>#DIV/0!</v>
      </c>
      <c r="AA34" s="383" t="e">
        <f t="shared" si="42"/>
        <v>#DIV/0!</v>
      </c>
      <c r="AB34" s="383" t="e">
        <f t="shared" si="42"/>
        <v>#DIV/0!</v>
      </c>
      <c r="AC34" s="383" t="e">
        <f t="shared" si="42"/>
        <v>#DIV/0!</v>
      </c>
      <c r="AD34" s="383" t="e">
        <f t="shared" si="42"/>
        <v>#DIV/0!</v>
      </c>
      <c r="AE34" s="386">
        <v>0</v>
      </c>
      <c r="AF34" s="383" t="e">
        <f t="shared" si="39"/>
        <v>#DIV/0!</v>
      </c>
      <c r="AG34" s="383" t="e">
        <f t="shared" si="39"/>
        <v>#DIV/0!</v>
      </c>
      <c r="AH34" s="383" t="e">
        <f t="shared" si="39"/>
        <v>#DIV/0!</v>
      </c>
      <c r="AI34" s="383" t="e">
        <f t="shared" si="39"/>
        <v>#DIV/0!</v>
      </c>
      <c r="AJ34" s="383" t="e">
        <f t="shared" si="39"/>
        <v>#DIV/0!</v>
      </c>
      <c r="AK34" s="383" t="e">
        <f t="shared" si="39"/>
        <v>#DIV/0!</v>
      </c>
      <c r="AL34" s="383" t="e">
        <f t="shared" si="39"/>
        <v>#DIV/0!</v>
      </c>
      <c r="AM34" s="383" t="e">
        <f t="shared" si="39"/>
        <v>#DIV/0!</v>
      </c>
      <c r="AN34" s="383" t="e">
        <f t="shared" si="39"/>
        <v>#DIV/0!</v>
      </c>
      <c r="AO34" s="383" t="e">
        <f t="shared" si="39"/>
        <v>#DIV/0!</v>
      </c>
      <c r="AP34" s="383" t="e">
        <f t="shared" si="39"/>
        <v>#DIV/0!</v>
      </c>
      <c r="AQ34" s="383" t="e">
        <f t="shared" si="39"/>
        <v>#DIV/0!</v>
      </c>
      <c r="AR34" s="385" t="s">
        <v>1390</v>
      </c>
      <c r="AS34" s="383" t="e">
        <f t="shared" si="24"/>
        <v>#DIV/0!</v>
      </c>
      <c r="AT34" s="383" t="e">
        <f t="shared" si="14"/>
        <v>#DIV/0!</v>
      </c>
      <c r="AU34" s="383" t="e">
        <f t="shared" si="14"/>
        <v>#DIV/0!</v>
      </c>
      <c r="AV34" s="383" t="e">
        <f t="shared" si="14"/>
        <v>#DIV/0!</v>
      </c>
      <c r="AW34" s="383" t="e">
        <f t="shared" si="14"/>
        <v>#DIV/0!</v>
      </c>
      <c r="AX34" s="383" t="e">
        <f t="shared" si="14"/>
        <v>#DIV/0!</v>
      </c>
      <c r="AY34" s="383" t="e">
        <f t="shared" si="14"/>
        <v>#DIV/0!</v>
      </c>
      <c r="AZ34" s="383" t="e">
        <f t="shared" si="14"/>
        <v>#DIV/0!</v>
      </c>
      <c r="BA34" s="383" t="e">
        <f t="shared" si="14"/>
        <v>#DIV/0!</v>
      </c>
      <c r="BB34" s="383" t="e">
        <f t="shared" si="14"/>
        <v>#DIV/0!</v>
      </c>
      <c r="BC34" s="383" t="e">
        <f t="shared" si="14"/>
        <v>#DIV/0!</v>
      </c>
      <c r="BD34" s="383" t="e">
        <f t="shared" si="14"/>
        <v>#DIV/0!</v>
      </c>
      <c r="BE34" s="386">
        <v>0</v>
      </c>
      <c r="BF34" s="383" t="e">
        <f t="shared" si="25"/>
        <v>#DIV/0!</v>
      </c>
      <c r="BG34" s="383" t="e">
        <f t="shared" si="25"/>
        <v>#DIV/0!</v>
      </c>
      <c r="BH34" s="383" t="e">
        <f t="shared" si="25"/>
        <v>#DIV/0!</v>
      </c>
      <c r="BI34" s="383" t="e">
        <f t="shared" si="25"/>
        <v>#DIV/0!</v>
      </c>
      <c r="BJ34" s="383" t="e">
        <f t="shared" si="25"/>
        <v>#DIV/0!</v>
      </c>
      <c r="BK34" s="383" t="e">
        <f t="shared" si="25"/>
        <v>#DIV/0!</v>
      </c>
      <c r="BL34" s="383" t="e">
        <f t="shared" si="25"/>
        <v>#DIV/0!</v>
      </c>
      <c r="BM34" s="383" t="e">
        <f t="shared" si="25"/>
        <v>#DIV/0!</v>
      </c>
      <c r="BN34" s="383" t="e">
        <f t="shared" si="25"/>
        <v>#DIV/0!</v>
      </c>
      <c r="BO34" s="383" t="e">
        <f t="shared" si="25"/>
        <v>#DIV/0!</v>
      </c>
      <c r="BP34" s="383" t="e">
        <f t="shared" si="25"/>
        <v>#DIV/0!</v>
      </c>
      <c r="BQ34" s="383" t="e">
        <f t="shared" si="25"/>
        <v>#DIV/0!</v>
      </c>
      <c r="BR34" s="386">
        <v>1</v>
      </c>
      <c r="BS34" s="383" t="e">
        <f>IF(BF34="","",IF(BS$18=$BR34,"〇",""))</f>
        <v>#DIV/0!</v>
      </c>
      <c r="BT34" s="383" t="e">
        <f t="shared" si="40"/>
        <v>#DIV/0!</v>
      </c>
      <c r="BU34" s="383" t="e">
        <f t="shared" si="40"/>
        <v>#DIV/0!</v>
      </c>
      <c r="BV34" s="383" t="e">
        <f t="shared" si="40"/>
        <v>#DIV/0!</v>
      </c>
      <c r="BW34" s="383" t="e">
        <f t="shared" si="40"/>
        <v>#DIV/0!</v>
      </c>
      <c r="BX34" s="383" t="e">
        <f t="shared" si="40"/>
        <v>#DIV/0!</v>
      </c>
      <c r="BY34" s="383" t="e">
        <f t="shared" si="40"/>
        <v>#DIV/0!</v>
      </c>
      <c r="BZ34" s="383" t="e">
        <f t="shared" si="40"/>
        <v>#DIV/0!</v>
      </c>
      <c r="CA34" s="383" t="e">
        <f t="shared" si="40"/>
        <v>#DIV/0!</v>
      </c>
      <c r="CB34" s="383" t="e">
        <f t="shared" si="40"/>
        <v>#DIV/0!</v>
      </c>
      <c r="CC34" s="383" t="e">
        <f t="shared" si="40"/>
        <v>#DIV/0!</v>
      </c>
      <c r="CD34" s="383" t="e">
        <f t="shared" si="40"/>
        <v>#DIV/0!</v>
      </c>
      <c r="CE34" s="386" t="s">
        <v>1396</v>
      </c>
      <c r="CF34" s="383" t="e">
        <f>IF(BS34="","",IF(CF$18&gt;=1,"〇",""))</f>
        <v>#DIV/0!</v>
      </c>
      <c r="CG34" s="383" t="e">
        <f t="shared" ref="CG34:CQ34" si="45">IF(BT34="","",IF(CG$18&gt;=1,"〇",""))</f>
        <v>#DIV/0!</v>
      </c>
      <c r="CH34" s="383" t="e">
        <f t="shared" si="45"/>
        <v>#DIV/0!</v>
      </c>
      <c r="CI34" s="383" t="e">
        <f t="shared" si="45"/>
        <v>#DIV/0!</v>
      </c>
      <c r="CJ34" s="383" t="e">
        <f t="shared" si="45"/>
        <v>#DIV/0!</v>
      </c>
      <c r="CK34" s="383" t="e">
        <f t="shared" si="45"/>
        <v>#DIV/0!</v>
      </c>
      <c r="CL34" s="383" t="e">
        <f t="shared" si="45"/>
        <v>#DIV/0!</v>
      </c>
      <c r="CM34" s="383" t="e">
        <f t="shared" si="45"/>
        <v>#DIV/0!</v>
      </c>
      <c r="CN34" s="383" t="e">
        <f t="shared" si="45"/>
        <v>#DIV/0!</v>
      </c>
      <c r="CO34" s="383" t="e">
        <f t="shared" si="45"/>
        <v>#DIV/0!</v>
      </c>
      <c r="CP34" s="383" t="e">
        <f t="shared" si="45"/>
        <v>#DIV/0!</v>
      </c>
      <c r="CQ34" s="383" t="e">
        <f t="shared" si="45"/>
        <v>#DIV/0!</v>
      </c>
    </row>
    <row r="35" spans="3:95">
      <c r="C35" s="391">
        <v>1</v>
      </c>
      <c r="D35" s="391" t="s">
        <v>1404</v>
      </c>
      <c r="E35" s="382" t="s">
        <v>1390</v>
      </c>
      <c r="F35" s="382" t="s">
        <v>1390</v>
      </c>
      <c r="G35" s="382" t="s">
        <v>1390</v>
      </c>
      <c r="H35" s="382" t="s">
        <v>1390</v>
      </c>
      <c r="I35" s="389">
        <v>1</v>
      </c>
      <c r="J35" s="389" t="s">
        <v>1404</v>
      </c>
      <c r="K35" s="389">
        <v>1</v>
      </c>
      <c r="L35" s="389" t="s">
        <v>1404</v>
      </c>
      <c r="M35" s="382" t="s">
        <v>1390</v>
      </c>
      <c r="N35" s="382" t="s">
        <v>1390</v>
      </c>
      <c r="O35" s="382" t="s">
        <v>1390</v>
      </c>
      <c r="P35" s="382" t="s">
        <v>1390</v>
      </c>
      <c r="R35" s="386">
        <v>1</v>
      </c>
      <c r="S35" s="383" t="e">
        <f t="shared" si="42"/>
        <v>#DIV/0!</v>
      </c>
      <c r="T35" s="383" t="e">
        <f t="shared" si="42"/>
        <v>#DIV/0!</v>
      </c>
      <c r="U35" s="383" t="e">
        <f t="shared" si="42"/>
        <v>#DIV/0!</v>
      </c>
      <c r="V35" s="383" t="e">
        <f t="shared" si="42"/>
        <v>#DIV/0!</v>
      </c>
      <c r="W35" s="383" t="e">
        <f t="shared" si="42"/>
        <v>#DIV/0!</v>
      </c>
      <c r="X35" s="383" t="e">
        <f t="shared" si="42"/>
        <v>#DIV/0!</v>
      </c>
      <c r="Y35" s="383" t="e">
        <f t="shared" si="42"/>
        <v>#DIV/0!</v>
      </c>
      <c r="Z35" s="383" t="e">
        <f t="shared" si="42"/>
        <v>#DIV/0!</v>
      </c>
      <c r="AA35" s="383" t="e">
        <f t="shared" si="42"/>
        <v>#DIV/0!</v>
      </c>
      <c r="AB35" s="383" t="e">
        <f t="shared" si="42"/>
        <v>#DIV/0!</v>
      </c>
      <c r="AC35" s="383" t="e">
        <f t="shared" si="42"/>
        <v>#DIV/0!</v>
      </c>
      <c r="AD35" s="383" t="e">
        <f t="shared" si="42"/>
        <v>#DIV/0!</v>
      </c>
      <c r="AE35" s="386">
        <v>0</v>
      </c>
      <c r="AF35" s="383" t="e">
        <f t="shared" si="39"/>
        <v>#DIV/0!</v>
      </c>
      <c r="AG35" s="383" t="e">
        <f t="shared" si="39"/>
        <v>#DIV/0!</v>
      </c>
      <c r="AH35" s="383" t="e">
        <f t="shared" si="39"/>
        <v>#DIV/0!</v>
      </c>
      <c r="AI35" s="383" t="e">
        <f t="shared" si="39"/>
        <v>#DIV/0!</v>
      </c>
      <c r="AJ35" s="383" t="e">
        <f t="shared" si="39"/>
        <v>#DIV/0!</v>
      </c>
      <c r="AK35" s="383" t="e">
        <f t="shared" si="39"/>
        <v>#DIV/0!</v>
      </c>
      <c r="AL35" s="383" t="e">
        <f t="shared" si="39"/>
        <v>#DIV/0!</v>
      </c>
      <c r="AM35" s="383" t="e">
        <f t="shared" si="39"/>
        <v>#DIV/0!</v>
      </c>
      <c r="AN35" s="383" t="e">
        <f t="shared" si="39"/>
        <v>#DIV/0!</v>
      </c>
      <c r="AO35" s="383" t="e">
        <f t="shared" si="39"/>
        <v>#DIV/0!</v>
      </c>
      <c r="AP35" s="383" t="e">
        <f t="shared" si="39"/>
        <v>#DIV/0!</v>
      </c>
      <c r="AQ35" s="383" t="e">
        <f t="shared" si="39"/>
        <v>#DIV/0!</v>
      </c>
      <c r="AR35" s="385" t="s">
        <v>1390</v>
      </c>
      <c r="AS35" s="383" t="e">
        <f t="shared" si="24"/>
        <v>#DIV/0!</v>
      </c>
      <c r="AT35" s="383" t="e">
        <f t="shared" si="24"/>
        <v>#DIV/0!</v>
      </c>
      <c r="AU35" s="383" t="e">
        <f t="shared" si="24"/>
        <v>#DIV/0!</v>
      </c>
      <c r="AV35" s="383" t="e">
        <f t="shared" si="24"/>
        <v>#DIV/0!</v>
      </c>
      <c r="AW35" s="383" t="e">
        <f t="shared" si="24"/>
        <v>#DIV/0!</v>
      </c>
      <c r="AX35" s="383" t="e">
        <f t="shared" si="24"/>
        <v>#DIV/0!</v>
      </c>
      <c r="AY35" s="383" t="e">
        <f t="shared" si="24"/>
        <v>#DIV/0!</v>
      </c>
      <c r="AZ35" s="383" t="e">
        <f t="shared" si="24"/>
        <v>#DIV/0!</v>
      </c>
      <c r="BA35" s="383" t="e">
        <f t="shared" si="24"/>
        <v>#DIV/0!</v>
      </c>
      <c r="BB35" s="383" t="e">
        <f t="shared" si="24"/>
        <v>#DIV/0!</v>
      </c>
      <c r="BC35" s="383" t="e">
        <f t="shared" si="24"/>
        <v>#DIV/0!</v>
      </c>
      <c r="BD35" s="383" t="e">
        <f t="shared" si="24"/>
        <v>#DIV/0!</v>
      </c>
      <c r="BE35" s="386">
        <v>0</v>
      </c>
      <c r="BF35" s="383" t="e">
        <f t="shared" si="25"/>
        <v>#DIV/0!</v>
      </c>
      <c r="BG35" s="383" t="e">
        <f t="shared" si="25"/>
        <v>#DIV/0!</v>
      </c>
      <c r="BH35" s="383" t="e">
        <f t="shared" si="25"/>
        <v>#DIV/0!</v>
      </c>
      <c r="BI35" s="383" t="e">
        <f t="shared" si="25"/>
        <v>#DIV/0!</v>
      </c>
      <c r="BJ35" s="383" t="e">
        <f t="shared" si="25"/>
        <v>#DIV/0!</v>
      </c>
      <c r="BK35" s="383" t="e">
        <f t="shared" si="25"/>
        <v>#DIV/0!</v>
      </c>
      <c r="BL35" s="383" t="e">
        <f t="shared" si="25"/>
        <v>#DIV/0!</v>
      </c>
      <c r="BM35" s="383" t="e">
        <f t="shared" si="25"/>
        <v>#DIV/0!</v>
      </c>
      <c r="BN35" s="383" t="e">
        <f t="shared" si="25"/>
        <v>#DIV/0!</v>
      </c>
      <c r="BO35" s="383" t="e">
        <f t="shared" si="25"/>
        <v>#DIV/0!</v>
      </c>
      <c r="BP35" s="383" t="e">
        <f t="shared" si="25"/>
        <v>#DIV/0!</v>
      </c>
      <c r="BQ35" s="383" t="e">
        <f t="shared" si="25"/>
        <v>#DIV/0!</v>
      </c>
      <c r="BR35" s="386" t="s">
        <v>1395</v>
      </c>
      <c r="BS35" s="383" t="e">
        <f>IF(BF35="","",IF(BS$18&gt;=2,"〇",""))</f>
        <v>#DIV/0!</v>
      </c>
      <c r="BT35" s="383" t="e">
        <f t="shared" ref="BT35:CD35" si="46">IF(BG35="","",IF(BT$18&gt;=2,"〇",""))</f>
        <v>#DIV/0!</v>
      </c>
      <c r="BU35" s="383" t="e">
        <f t="shared" si="46"/>
        <v>#DIV/0!</v>
      </c>
      <c r="BV35" s="383" t="e">
        <f t="shared" si="46"/>
        <v>#DIV/0!</v>
      </c>
      <c r="BW35" s="383" t="e">
        <f t="shared" si="46"/>
        <v>#DIV/0!</v>
      </c>
      <c r="BX35" s="383" t="e">
        <f t="shared" si="46"/>
        <v>#DIV/0!</v>
      </c>
      <c r="BY35" s="383" t="e">
        <f t="shared" si="46"/>
        <v>#DIV/0!</v>
      </c>
      <c r="BZ35" s="383" t="e">
        <f t="shared" si="46"/>
        <v>#DIV/0!</v>
      </c>
      <c r="CA35" s="383" t="e">
        <f t="shared" si="46"/>
        <v>#DIV/0!</v>
      </c>
      <c r="CB35" s="383" t="e">
        <f t="shared" si="46"/>
        <v>#DIV/0!</v>
      </c>
      <c r="CC35" s="383" t="e">
        <f t="shared" si="46"/>
        <v>#DIV/0!</v>
      </c>
      <c r="CD35" s="383" t="e">
        <f t="shared" si="46"/>
        <v>#DIV/0!</v>
      </c>
      <c r="CE35" s="386" t="s">
        <v>1390</v>
      </c>
      <c r="CF35" s="383" t="e">
        <f>IF(BS35="","","〇")</f>
        <v>#DIV/0!</v>
      </c>
      <c r="CG35" s="383" t="e">
        <f t="shared" ref="CG35:CQ35" si="47">IF(BT35="","","〇")</f>
        <v>#DIV/0!</v>
      </c>
      <c r="CH35" s="383" t="e">
        <f t="shared" si="47"/>
        <v>#DIV/0!</v>
      </c>
      <c r="CI35" s="383" t="e">
        <f t="shared" si="47"/>
        <v>#DIV/0!</v>
      </c>
      <c r="CJ35" s="383" t="e">
        <f t="shared" si="47"/>
        <v>#DIV/0!</v>
      </c>
      <c r="CK35" s="383" t="e">
        <f t="shared" si="47"/>
        <v>#DIV/0!</v>
      </c>
      <c r="CL35" s="383" t="e">
        <f t="shared" si="47"/>
        <v>#DIV/0!</v>
      </c>
      <c r="CM35" s="383" t="e">
        <f t="shared" si="47"/>
        <v>#DIV/0!</v>
      </c>
      <c r="CN35" s="383" t="e">
        <f t="shared" si="47"/>
        <v>#DIV/0!</v>
      </c>
      <c r="CO35" s="383" t="e">
        <f t="shared" si="47"/>
        <v>#DIV/0!</v>
      </c>
      <c r="CP35" s="383" t="e">
        <f t="shared" si="47"/>
        <v>#DIV/0!</v>
      </c>
      <c r="CQ35" s="383" t="e">
        <f t="shared" si="47"/>
        <v>#DIV/0!</v>
      </c>
    </row>
    <row r="36" spans="3:95">
      <c r="C36" s="391">
        <v>1</v>
      </c>
      <c r="D36" s="391" t="s">
        <v>1404</v>
      </c>
      <c r="E36" s="382" t="s">
        <v>1390</v>
      </c>
      <c r="F36" s="382" t="s">
        <v>1390</v>
      </c>
      <c r="G36" s="382" t="s">
        <v>1390</v>
      </c>
      <c r="H36" s="382" t="s">
        <v>1390</v>
      </c>
      <c r="I36" s="390">
        <v>1</v>
      </c>
      <c r="J36" s="390" t="s">
        <v>1405</v>
      </c>
      <c r="K36" s="382" t="s">
        <v>1390</v>
      </c>
      <c r="L36" s="382" t="s">
        <v>1390</v>
      </c>
      <c r="M36" s="382" t="s">
        <v>1390</v>
      </c>
      <c r="N36" s="382" t="s">
        <v>1390</v>
      </c>
      <c r="O36" s="382" t="s">
        <v>1390</v>
      </c>
      <c r="P36" s="382" t="s">
        <v>1390</v>
      </c>
      <c r="R36" s="386">
        <v>1</v>
      </c>
      <c r="S36" s="383" t="e">
        <f t="shared" si="42"/>
        <v>#DIV/0!</v>
      </c>
      <c r="T36" s="383" t="e">
        <f t="shared" si="42"/>
        <v>#DIV/0!</v>
      </c>
      <c r="U36" s="383" t="e">
        <f t="shared" si="42"/>
        <v>#DIV/0!</v>
      </c>
      <c r="V36" s="383" t="e">
        <f t="shared" si="42"/>
        <v>#DIV/0!</v>
      </c>
      <c r="W36" s="383" t="e">
        <f t="shared" si="42"/>
        <v>#DIV/0!</v>
      </c>
      <c r="X36" s="383" t="e">
        <f t="shared" si="42"/>
        <v>#DIV/0!</v>
      </c>
      <c r="Y36" s="383" t="e">
        <f t="shared" si="42"/>
        <v>#DIV/0!</v>
      </c>
      <c r="Z36" s="383" t="e">
        <f t="shared" si="42"/>
        <v>#DIV/0!</v>
      </c>
      <c r="AA36" s="383" t="e">
        <f t="shared" si="42"/>
        <v>#DIV/0!</v>
      </c>
      <c r="AB36" s="383" t="e">
        <f t="shared" si="42"/>
        <v>#DIV/0!</v>
      </c>
      <c r="AC36" s="383" t="e">
        <f t="shared" si="42"/>
        <v>#DIV/0!</v>
      </c>
      <c r="AD36" s="383" t="e">
        <f t="shared" si="42"/>
        <v>#DIV/0!</v>
      </c>
      <c r="AE36" s="386">
        <v>0</v>
      </c>
      <c r="AF36" s="383" t="e">
        <f t="shared" si="39"/>
        <v>#DIV/0!</v>
      </c>
      <c r="AG36" s="383" t="e">
        <f t="shared" si="39"/>
        <v>#DIV/0!</v>
      </c>
      <c r="AH36" s="383" t="e">
        <f t="shared" si="39"/>
        <v>#DIV/0!</v>
      </c>
      <c r="AI36" s="383" t="e">
        <f t="shared" si="39"/>
        <v>#DIV/0!</v>
      </c>
      <c r="AJ36" s="383" t="e">
        <f t="shared" si="39"/>
        <v>#DIV/0!</v>
      </c>
      <c r="AK36" s="383" t="e">
        <f t="shared" si="39"/>
        <v>#DIV/0!</v>
      </c>
      <c r="AL36" s="383" t="e">
        <f t="shared" si="39"/>
        <v>#DIV/0!</v>
      </c>
      <c r="AM36" s="383" t="e">
        <f t="shared" si="39"/>
        <v>#DIV/0!</v>
      </c>
      <c r="AN36" s="383" t="e">
        <f t="shared" si="39"/>
        <v>#DIV/0!</v>
      </c>
      <c r="AO36" s="383" t="e">
        <f t="shared" si="39"/>
        <v>#DIV/0!</v>
      </c>
      <c r="AP36" s="383" t="e">
        <f t="shared" si="39"/>
        <v>#DIV/0!</v>
      </c>
      <c r="AQ36" s="383" t="e">
        <f t="shared" si="39"/>
        <v>#DIV/0!</v>
      </c>
      <c r="AR36" s="385" t="s">
        <v>1390</v>
      </c>
      <c r="AS36" s="383" t="e">
        <f t="shared" si="24"/>
        <v>#DIV/0!</v>
      </c>
      <c r="AT36" s="383" t="e">
        <f t="shared" si="24"/>
        <v>#DIV/0!</v>
      </c>
      <c r="AU36" s="383" t="e">
        <f t="shared" si="24"/>
        <v>#DIV/0!</v>
      </c>
      <c r="AV36" s="383" t="e">
        <f t="shared" si="24"/>
        <v>#DIV/0!</v>
      </c>
      <c r="AW36" s="383" t="e">
        <f t="shared" si="24"/>
        <v>#DIV/0!</v>
      </c>
      <c r="AX36" s="383" t="e">
        <f t="shared" si="24"/>
        <v>#DIV/0!</v>
      </c>
      <c r="AY36" s="383" t="e">
        <f t="shared" si="24"/>
        <v>#DIV/0!</v>
      </c>
      <c r="AZ36" s="383" t="e">
        <f t="shared" si="24"/>
        <v>#DIV/0!</v>
      </c>
      <c r="BA36" s="383" t="e">
        <f t="shared" si="24"/>
        <v>#DIV/0!</v>
      </c>
      <c r="BB36" s="383" t="e">
        <f t="shared" si="24"/>
        <v>#DIV/0!</v>
      </c>
      <c r="BC36" s="383" t="e">
        <f t="shared" si="24"/>
        <v>#DIV/0!</v>
      </c>
      <c r="BD36" s="383" t="e">
        <f t="shared" si="24"/>
        <v>#DIV/0!</v>
      </c>
      <c r="BE36" s="386">
        <v>1</v>
      </c>
      <c r="BF36" s="383" t="e">
        <f t="shared" si="25"/>
        <v>#DIV/0!</v>
      </c>
      <c r="BG36" s="383" t="e">
        <f t="shared" si="25"/>
        <v>#DIV/0!</v>
      </c>
      <c r="BH36" s="383" t="e">
        <f t="shared" si="25"/>
        <v>#DIV/0!</v>
      </c>
      <c r="BI36" s="383" t="e">
        <f t="shared" si="25"/>
        <v>#DIV/0!</v>
      </c>
      <c r="BJ36" s="383" t="e">
        <f t="shared" si="25"/>
        <v>#DIV/0!</v>
      </c>
      <c r="BK36" s="383" t="e">
        <f t="shared" si="25"/>
        <v>#DIV/0!</v>
      </c>
      <c r="BL36" s="383" t="e">
        <f t="shared" si="25"/>
        <v>#DIV/0!</v>
      </c>
      <c r="BM36" s="383" t="e">
        <f t="shared" si="25"/>
        <v>#DIV/0!</v>
      </c>
      <c r="BN36" s="383" t="e">
        <f t="shared" si="25"/>
        <v>#DIV/0!</v>
      </c>
      <c r="BO36" s="383" t="e">
        <f t="shared" si="25"/>
        <v>#DIV/0!</v>
      </c>
      <c r="BP36" s="383" t="e">
        <f t="shared" si="25"/>
        <v>#DIV/0!</v>
      </c>
      <c r="BQ36" s="383" t="e">
        <f t="shared" si="25"/>
        <v>#DIV/0!</v>
      </c>
      <c r="BR36" s="386">
        <v>0</v>
      </c>
      <c r="BS36" s="383" t="e">
        <f>IF(BF36="","",IF(BS$18=$BR36,"〇",""))</f>
        <v>#DIV/0!</v>
      </c>
      <c r="BT36" s="383" t="e">
        <f t="shared" ref="BT36:CD37" si="48">IF(BG36="","",IF(BT$18=$BR36,"〇",""))</f>
        <v>#DIV/0!</v>
      </c>
      <c r="BU36" s="383" t="e">
        <f t="shared" si="48"/>
        <v>#DIV/0!</v>
      </c>
      <c r="BV36" s="383" t="e">
        <f t="shared" si="48"/>
        <v>#DIV/0!</v>
      </c>
      <c r="BW36" s="383" t="e">
        <f t="shared" si="48"/>
        <v>#DIV/0!</v>
      </c>
      <c r="BX36" s="383" t="e">
        <f t="shared" si="48"/>
        <v>#DIV/0!</v>
      </c>
      <c r="BY36" s="383" t="e">
        <f t="shared" si="48"/>
        <v>#DIV/0!</v>
      </c>
      <c r="BZ36" s="383" t="e">
        <f t="shared" si="48"/>
        <v>#DIV/0!</v>
      </c>
      <c r="CA36" s="383" t="e">
        <f t="shared" si="48"/>
        <v>#DIV/0!</v>
      </c>
      <c r="CB36" s="383" t="e">
        <f t="shared" si="48"/>
        <v>#DIV/0!</v>
      </c>
      <c r="CC36" s="383" t="e">
        <f t="shared" si="48"/>
        <v>#DIV/0!</v>
      </c>
      <c r="CD36" s="383" t="e">
        <f t="shared" si="48"/>
        <v>#DIV/0!</v>
      </c>
      <c r="CE36" s="386">
        <v>0</v>
      </c>
      <c r="CF36" s="383" t="e">
        <f>IF(BS36="","",IF(CF$18=$CE36,"〇",""))</f>
        <v>#DIV/0!</v>
      </c>
      <c r="CG36" s="383" t="e">
        <f t="shared" ref="CG36:CQ36" si="49">IF(BT36="","",IF(CG$18=$CE36,"〇",""))</f>
        <v>#DIV/0!</v>
      </c>
      <c r="CH36" s="383" t="e">
        <f t="shared" si="49"/>
        <v>#DIV/0!</v>
      </c>
      <c r="CI36" s="383" t="e">
        <f t="shared" si="49"/>
        <v>#DIV/0!</v>
      </c>
      <c r="CJ36" s="383" t="e">
        <f t="shared" si="49"/>
        <v>#DIV/0!</v>
      </c>
      <c r="CK36" s="383" t="e">
        <f t="shared" si="49"/>
        <v>#DIV/0!</v>
      </c>
      <c r="CL36" s="383" t="e">
        <f t="shared" si="49"/>
        <v>#DIV/0!</v>
      </c>
      <c r="CM36" s="383" t="e">
        <f t="shared" si="49"/>
        <v>#DIV/0!</v>
      </c>
      <c r="CN36" s="383" t="e">
        <f t="shared" si="49"/>
        <v>#DIV/0!</v>
      </c>
      <c r="CO36" s="383" t="e">
        <f t="shared" si="49"/>
        <v>#DIV/0!</v>
      </c>
      <c r="CP36" s="383" t="e">
        <f t="shared" si="49"/>
        <v>#DIV/0!</v>
      </c>
      <c r="CQ36" s="383" t="e">
        <f t="shared" si="49"/>
        <v>#DIV/0!</v>
      </c>
    </row>
    <row r="37" spans="3:95">
      <c r="C37" s="391">
        <v>1</v>
      </c>
      <c r="D37" s="391" t="s">
        <v>1404</v>
      </c>
      <c r="E37" s="382" t="s">
        <v>1390</v>
      </c>
      <c r="F37" s="382" t="s">
        <v>1390</v>
      </c>
      <c r="G37" s="382" t="s">
        <v>1390</v>
      </c>
      <c r="H37" s="382" t="s">
        <v>1390</v>
      </c>
      <c r="I37" s="390">
        <v>1</v>
      </c>
      <c r="J37" s="390" t="s">
        <v>1405</v>
      </c>
      <c r="K37" s="387">
        <v>1</v>
      </c>
      <c r="L37" s="387" t="s">
        <v>1393</v>
      </c>
      <c r="M37" s="382" t="s">
        <v>1390</v>
      </c>
      <c r="N37" s="382" t="s">
        <v>1390</v>
      </c>
      <c r="O37" s="382" t="s">
        <v>1390</v>
      </c>
      <c r="P37" s="382" t="s">
        <v>1390</v>
      </c>
      <c r="R37" s="386">
        <v>1</v>
      </c>
      <c r="S37" s="383" t="e">
        <f t="shared" si="42"/>
        <v>#DIV/0!</v>
      </c>
      <c r="T37" s="383" t="e">
        <f t="shared" si="42"/>
        <v>#DIV/0!</v>
      </c>
      <c r="U37" s="383" t="e">
        <f t="shared" si="42"/>
        <v>#DIV/0!</v>
      </c>
      <c r="V37" s="383" t="e">
        <f t="shared" si="42"/>
        <v>#DIV/0!</v>
      </c>
      <c r="W37" s="383" t="e">
        <f t="shared" si="42"/>
        <v>#DIV/0!</v>
      </c>
      <c r="X37" s="383" t="e">
        <f t="shared" si="42"/>
        <v>#DIV/0!</v>
      </c>
      <c r="Y37" s="383" t="e">
        <f t="shared" si="42"/>
        <v>#DIV/0!</v>
      </c>
      <c r="Z37" s="383" t="e">
        <f t="shared" si="42"/>
        <v>#DIV/0!</v>
      </c>
      <c r="AA37" s="383" t="e">
        <f t="shared" si="42"/>
        <v>#DIV/0!</v>
      </c>
      <c r="AB37" s="383" t="e">
        <f t="shared" si="42"/>
        <v>#DIV/0!</v>
      </c>
      <c r="AC37" s="383" t="e">
        <f t="shared" si="42"/>
        <v>#DIV/0!</v>
      </c>
      <c r="AD37" s="383" t="e">
        <f t="shared" si="42"/>
        <v>#DIV/0!</v>
      </c>
      <c r="AE37" s="386">
        <v>0</v>
      </c>
      <c r="AF37" s="383" t="e">
        <f t="shared" si="39"/>
        <v>#DIV/0!</v>
      </c>
      <c r="AG37" s="383" t="e">
        <f t="shared" si="39"/>
        <v>#DIV/0!</v>
      </c>
      <c r="AH37" s="383" t="e">
        <f t="shared" si="39"/>
        <v>#DIV/0!</v>
      </c>
      <c r="AI37" s="383" t="e">
        <f t="shared" si="39"/>
        <v>#DIV/0!</v>
      </c>
      <c r="AJ37" s="383" t="e">
        <f t="shared" si="39"/>
        <v>#DIV/0!</v>
      </c>
      <c r="AK37" s="383" t="e">
        <f t="shared" si="39"/>
        <v>#DIV/0!</v>
      </c>
      <c r="AL37" s="383" t="e">
        <f t="shared" si="39"/>
        <v>#DIV/0!</v>
      </c>
      <c r="AM37" s="383" t="e">
        <f t="shared" si="39"/>
        <v>#DIV/0!</v>
      </c>
      <c r="AN37" s="383" t="e">
        <f t="shared" si="39"/>
        <v>#DIV/0!</v>
      </c>
      <c r="AO37" s="383" t="e">
        <f t="shared" si="39"/>
        <v>#DIV/0!</v>
      </c>
      <c r="AP37" s="383" t="e">
        <f t="shared" si="39"/>
        <v>#DIV/0!</v>
      </c>
      <c r="AQ37" s="383" t="e">
        <f t="shared" si="39"/>
        <v>#DIV/0!</v>
      </c>
      <c r="AR37" s="385" t="s">
        <v>1390</v>
      </c>
      <c r="AS37" s="383" t="e">
        <f t="shared" si="24"/>
        <v>#DIV/0!</v>
      </c>
      <c r="AT37" s="383" t="e">
        <f t="shared" si="24"/>
        <v>#DIV/0!</v>
      </c>
      <c r="AU37" s="383" t="e">
        <f t="shared" si="24"/>
        <v>#DIV/0!</v>
      </c>
      <c r="AV37" s="383" t="e">
        <f t="shared" si="24"/>
        <v>#DIV/0!</v>
      </c>
      <c r="AW37" s="383" t="e">
        <f t="shared" si="24"/>
        <v>#DIV/0!</v>
      </c>
      <c r="AX37" s="383" t="e">
        <f t="shared" si="24"/>
        <v>#DIV/0!</v>
      </c>
      <c r="AY37" s="383" t="e">
        <f t="shared" si="24"/>
        <v>#DIV/0!</v>
      </c>
      <c r="AZ37" s="383" t="e">
        <f t="shared" si="24"/>
        <v>#DIV/0!</v>
      </c>
      <c r="BA37" s="383" t="e">
        <f t="shared" si="24"/>
        <v>#DIV/0!</v>
      </c>
      <c r="BB37" s="383" t="e">
        <f t="shared" si="24"/>
        <v>#DIV/0!</v>
      </c>
      <c r="BC37" s="383" t="e">
        <f t="shared" si="24"/>
        <v>#DIV/0!</v>
      </c>
      <c r="BD37" s="383" t="e">
        <f t="shared" si="24"/>
        <v>#DIV/0!</v>
      </c>
      <c r="BE37" s="386">
        <v>1</v>
      </c>
      <c r="BF37" s="383" t="e">
        <f t="shared" si="25"/>
        <v>#DIV/0!</v>
      </c>
      <c r="BG37" s="383" t="e">
        <f t="shared" si="25"/>
        <v>#DIV/0!</v>
      </c>
      <c r="BH37" s="383" t="e">
        <f t="shared" si="25"/>
        <v>#DIV/0!</v>
      </c>
      <c r="BI37" s="383" t="e">
        <f t="shared" si="25"/>
        <v>#DIV/0!</v>
      </c>
      <c r="BJ37" s="383" t="e">
        <f t="shared" si="25"/>
        <v>#DIV/0!</v>
      </c>
      <c r="BK37" s="383" t="e">
        <f t="shared" si="25"/>
        <v>#DIV/0!</v>
      </c>
      <c r="BL37" s="383" t="e">
        <f t="shared" si="25"/>
        <v>#DIV/0!</v>
      </c>
      <c r="BM37" s="383" t="e">
        <f t="shared" si="25"/>
        <v>#DIV/0!</v>
      </c>
      <c r="BN37" s="383" t="e">
        <f t="shared" si="25"/>
        <v>#DIV/0!</v>
      </c>
      <c r="BO37" s="383" t="e">
        <f t="shared" si="25"/>
        <v>#DIV/0!</v>
      </c>
      <c r="BP37" s="383" t="e">
        <f t="shared" si="25"/>
        <v>#DIV/0!</v>
      </c>
      <c r="BQ37" s="383" t="e">
        <f t="shared" si="25"/>
        <v>#DIV/0!</v>
      </c>
      <c r="BR37" s="386">
        <v>0</v>
      </c>
      <c r="BS37" s="383" t="e">
        <f>IF(BF37="","",IF(BS$18=$BR37,"〇",""))</f>
        <v>#DIV/0!</v>
      </c>
      <c r="BT37" s="383" t="e">
        <f t="shared" si="48"/>
        <v>#DIV/0!</v>
      </c>
      <c r="BU37" s="383" t="e">
        <f t="shared" si="48"/>
        <v>#DIV/0!</v>
      </c>
      <c r="BV37" s="383" t="e">
        <f t="shared" si="48"/>
        <v>#DIV/0!</v>
      </c>
      <c r="BW37" s="383" t="e">
        <f t="shared" si="48"/>
        <v>#DIV/0!</v>
      </c>
      <c r="BX37" s="383" t="e">
        <f t="shared" si="48"/>
        <v>#DIV/0!</v>
      </c>
      <c r="BY37" s="383" t="e">
        <f t="shared" si="48"/>
        <v>#DIV/0!</v>
      </c>
      <c r="BZ37" s="383" t="e">
        <f t="shared" si="48"/>
        <v>#DIV/0!</v>
      </c>
      <c r="CA37" s="383" t="e">
        <f t="shared" si="48"/>
        <v>#DIV/0!</v>
      </c>
      <c r="CB37" s="383" t="e">
        <f t="shared" si="48"/>
        <v>#DIV/0!</v>
      </c>
      <c r="CC37" s="383" t="e">
        <f t="shared" si="48"/>
        <v>#DIV/0!</v>
      </c>
      <c r="CD37" s="383" t="e">
        <f t="shared" si="48"/>
        <v>#DIV/0!</v>
      </c>
      <c r="CE37" s="386" t="s">
        <v>1396</v>
      </c>
      <c r="CF37" s="383" t="e">
        <f>IF(BS37="","",IF(CF$18&gt;=1,"〇",""))</f>
        <v>#DIV/0!</v>
      </c>
      <c r="CG37" s="383" t="e">
        <f t="shared" ref="CG37:CQ37" si="50">IF(BT37="","",IF(CG$18&gt;=1,"〇",""))</f>
        <v>#DIV/0!</v>
      </c>
      <c r="CH37" s="383" t="e">
        <f t="shared" si="50"/>
        <v>#DIV/0!</v>
      </c>
      <c r="CI37" s="383" t="e">
        <f t="shared" si="50"/>
        <v>#DIV/0!</v>
      </c>
      <c r="CJ37" s="383" t="e">
        <f t="shared" si="50"/>
        <v>#DIV/0!</v>
      </c>
      <c r="CK37" s="383" t="e">
        <f t="shared" si="50"/>
        <v>#DIV/0!</v>
      </c>
      <c r="CL37" s="383" t="e">
        <f t="shared" si="50"/>
        <v>#DIV/0!</v>
      </c>
      <c r="CM37" s="383" t="e">
        <f t="shared" si="50"/>
        <v>#DIV/0!</v>
      </c>
      <c r="CN37" s="383" t="e">
        <f t="shared" si="50"/>
        <v>#DIV/0!</v>
      </c>
      <c r="CO37" s="383" t="e">
        <f t="shared" si="50"/>
        <v>#DIV/0!</v>
      </c>
      <c r="CP37" s="383" t="e">
        <f t="shared" si="50"/>
        <v>#DIV/0!</v>
      </c>
      <c r="CQ37" s="383" t="e">
        <f t="shared" si="50"/>
        <v>#DIV/0!</v>
      </c>
    </row>
    <row r="38" spans="3:95">
      <c r="C38" s="391">
        <v>1</v>
      </c>
      <c r="D38" s="391" t="s">
        <v>1404</v>
      </c>
      <c r="E38" s="382" t="s">
        <v>1390</v>
      </c>
      <c r="F38" s="382" t="s">
        <v>1390</v>
      </c>
      <c r="G38" s="382" t="s">
        <v>1390</v>
      </c>
      <c r="H38" s="382" t="s">
        <v>1390</v>
      </c>
      <c r="I38" s="390">
        <v>1</v>
      </c>
      <c r="J38" s="390" t="s">
        <v>1405</v>
      </c>
      <c r="K38" s="389">
        <v>1</v>
      </c>
      <c r="L38" s="389" t="s">
        <v>1404</v>
      </c>
      <c r="M38" s="382" t="s">
        <v>1390</v>
      </c>
      <c r="N38" s="382" t="s">
        <v>1390</v>
      </c>
      <c r="O38" s="382" t="s">
        <v>1390</v>
      </c>
      <c r="P38" s="382" t="s">
        <v>1390</v>
      </c>
      <c r="R38" s="386">
        <v>1</v>
      </c>
      <c r="S38" s="383" t="e">
        <f t="shared" si="42"/>
        <v>#DIV/0!</v>
      </c>
      <c r="T38" s="383" t="e">
        <f t="shared" si="42"/>
        <v>#DIV/0!</v>
      </c>
      <c r="U38" s="383" t="e">
        <f t="shared" si="42"/>
        <v>#DIV/0!</v>
      </c>
      <c r="V38" s="383" t="e">
        <f t="shared" si="42"/>
        <v>#DIV/0!</v>
      </c>
      <c r="W38" s="383" t="e">
        <f t="shared" si="42"/>
        <v>#DIV/0!</v>
      </c>
      <c r="X38" s="383" t="e">
        <f t="shared" si="42"/>
        <v>#DIV/0!</v>
      </c>
      <c r="Y38" s="383" t="e">
        <f t="shared" si="42"/>
        <v>#DIV/0!</v>
      </c>
      <c r="Z38" s="383" t="e">
        <f t="shared" si="42"/>
        <v>#DIV/0!</v>
      </c>
      <c r="AA38" s="383" t="e">
        <f t="shared" si="42"/>
        <v>#DIV/0!</v>
      </c>
      <c r="AB38" s="383" t="e">
        <f t="shared" si="42"/>
        <v>#DIV/0!</v>
      </c>
      <c r="AC38" s="383" t="e">
        <f t="shared" si="42"/>
        <v>#DIV/0!</v>
      </c>
      <c r="AD38" s="383" t="e">
        <f t="shared" si="42"/>
        <v>#DIV/0!</v>
      </c>
      <c r="AE38" s="386">
        <v>0</v>
      </c>
      <c r="AF38" s="383" t="e">
        <f t="shared" si="39"/>
        <v>#DIV/0!</v>
      </c>
      <c r="AG38" s="383" t="e">
        <f t="shared" si="39"/>
        <v>#DIV/0!</v>
      </c>
      <c r="AH38" s="383" t="e">
        <f t="shared" si="39"/>
        <v>#DIV/0!</v>
      </c>
      <c r="AI38" s="383" t="e">
        <f t="shared" si="39"/>
        <v>#DIV/0!</v>
      </c>
      <c r="AJ38" s="383" t="e">
        <f t="shared" si="39"/>
        <v>#DIV/0!</v>
      </c>
      <c r="AK38" s="383" t="e">
        <f t="shared" si="39"/>
        <v>#DIV/0!</v>
      </c>
      <c r="AL38" s="383" t="e">
        <f t="shared" si="39"/>
        <v>#DIV/0!</v>
      </c>
      <c r="AM38" s="383" t="e">
        <f t="shared" si="39"/>
        <v>#DIV/0!</v>
      </c>
      <c r="AN38" s="383" t="e">
        <f t="shared" si="39"/>
        <v>#DIV/0!</v>
      </c>
      <c r="AO38" s="383" t="e">
        <f t="shared" si="39"/>
        <v>#DIV/0!</v>
      </c>
      <c r="AP38" s="383" t="e">
        <f t="shared" si="39"/>
        <v>#DIV/0!</v>
      </c>
      <c r="AQ38" s="383" t="e">
        <f t="shared" si="39"/>
        <v>#DIV/0!</v>
      </c>
      <c r="AR38" s="385" t="s">
        <v>1390</v>
      </c>
      <c r="AS38" s="383" t="e">
        <f t="shared" si="24"/>
        <v>#DIV/0!</v>
      </c>
      <c r="AT38" s="383" t="e">
        <f t="shared" si="24"/>
        <v>#DIV/0!</v>
      </c>
      <c r="AU38" s="383" t="e">
        <f t="shared" si="24"/>
        <v>#DIV/0!</v>
      </c>
      <c r="AV38" s="383" t="e">
        <f t="shared" si="24"/>
        <v>#DIV/0!</v>
      </c>
      <c r="AW38" s="383" t="e">
        <f t="shared" si="24"/>
        <v>#DIV/0!</v>
      </c>
      <c r="AX38" s="383" t="e">
        <f t="shared" si="24"/>
        <v>#DIV/0!</v>
      </c>
      <c r="AY38" s="383" t="e">
        <f t="shared" si="24"/>
        <v>#DIV/0!</v>
      </c>
      <c r="AZ38" s="383" t="e">
        <f t="shared" si="24"/>
        <v>#DIV/0!</v>
      </c>
      <c r="BA38" s="383" t="e">
        <f t="shared" si="24"/>
        <v>#DIV/0!</v>
      </c>
      <c r="BB38" s="383" t="e">
        <f t="shared" si="24"/>
        <v>#DIV/0!</v>
      </c>
      <c r="BC38" s="383" t="e">
        <f t="shared" si="24"/>
        <v>#DIV/0!</v>
      </c>
      <c r="BD38" s="383" t="e">
        <f t="shared" si="24"/>
        <v>#DIV/0!</v>
      </c>
      <c r="BE38" s="386">
        <v>1</v>
      </c>
      <c r="BF38" s="383" t="e">
        <f t="shared" si="25"/>
        <v>#DIV/0!</v>
      </c>
      <c r="BG38" s="383" t="e">
        <f t="shared" si="25"/>
        <v>#DIV/0!</v>
      </c>
      <c r="BH38" s="383" t="e">
        <f t="shared" si="25"/>
        <v>#DIV/0!</v>
      </c>
      <c r="BI38" s="383" t="e">
        <f t="shared" si="25"/>
        <v>#DIV/0!</v>
      </c>
      <c r="BJ38" s="383" t="e">
        <f t="shared" si="25"/>
        <v>#DIV/0!</v>
      </c>
      <c r="BK38" s="383" t="e">
        <f t="shared" si="25"/>
        <v>#DIV/0!</v>
      </c>
      <c r="BL38" s="383" t="e">
        <f t="shared" si="25"/>
        <v>#DIV/0!</v>
      </c>
      <c r="BM38" s="383" t="e">
        <f t="shared" si="25"/>
        <v>#DIV/0!</v>
      </c>
      <c r="BN38" s="383" t="e">
        <f t="shared" si="25"/>
        <v>#DIV/0!</v>
      </c>
      <c r="BO38" s="383" t="e">
        <f t="shared" si="25"/>
        <v>#DIV/0!</v>
      </c>
      <c r="BP38" s="383" t="e">
        <f t="shared" si="25"/>
        <v>#DIV/0!</v>
      </c>
      <c r="BQ38" s="383" t="e">
        <f t="shared" si="25"/>
        <v>#DIV/0!</v>
      </c>
      <c r="BR38" s="386" t="s">
        <v>1396</v>
      </c>
      <c r="BS38" s="383" t="e">
        <f>IF(BF38="","",IF(BS$18&gt;=1,"〇",""))</f>
        <v>#DIV/0!</v>
      </c>
      <c r="BT38" s="383" t="e">
        <f t="shared" ref="BT38:CD38" si="51">IF(BG38="","",IF(BT$18&gt;=1,"〇",""))</f>
        <v>#DIV/0!</v>
      </c>
      <c r="BU38" s="383" t="e">
        <f t="shared" si="51"/>
        <v>#DIV/0!</v>
      </c>
      <c r="BV38" s="383" t="e">
        <f t="shared" si="51"/>
        <v>#DIV/0!</v>
      </c>
      <c r="BW38" s="383" t="e">
        <f t="shared" si="51"/>
        <v>#DIV/0!</v>
      </c>
      <c r="BX38" s="383" t="e">
        <f t="shared" si="51"/>
        <v>#DIV/0!</v>
      </c>
      <c r="BY38" s="383" t="e">
        <f t="shared" si="51"/>
        <v>#DIV/0!</v>
      </c>
      <c r="BZ38" s="383" t="e">
        <f t="shared" si="51"/>
        <v>#DIV/0!</v>
      </c>
      <c r="CA38" s="383" t="e">
        <f t="shared" si="51"/>
        <v>#DIV/0!</v>
      </c>
      <c r="CB38" s="383" t="e">
        <f t="shared" si="51"/>
        <v>#DIV/0!</v>
      </c>
      <c r="CC38" s="383" t="e">
        <f t="shared" si="51"/>
        <v>#DIV/0!</v>
      </c>
      <c r="CD38" s="383" t="e">
        <f t="shared" si="51"/>
        <v>#DIV/0!</v>
      </c>
      <c r="CE38" s="386" t="s">
        <v>1390</v>
      </c>
      <c r="CF38" s="383" t="e">
        <f t="shared" ref="CF38:CQ39" si="52">IF(BS38="","","〇")</f>
        <v>#DIV/0!</v>
      </c>
      <c r="CG38" s="383" t="e">
        <f t="shared" si="52"/>
        <v>#DIV/0!</v>
      </c>
      <c r="CH38" s="383" t="e">
        <f t="shared" si="52"/>
        <v>#DIV/0!</v>
      </c>
      <c r="CI38" s="383" t="e">
        <f t="shared" si="52"/>
        <v>#DIV/0!</v>
      </c>
      <c r="CJ38" s="383" t="e">
        <f t="shared" si="52"/>
        <v>#DIV/0!</v>
      </c>
      <c r="CK38" s="383" t="e">
        <f t="shared" si="52"/>
        <v>#DIV/0!</v>
      </c>
      <c r="CL38" s="383" t="e">
        <f t="shared" si="52"/>
        <v>#DIV/0!</v>
      </c>
      <c r="CM38" s="383" t="e">
        <f t="shared" si="52"/>
        <v>#DIV/0!</v>
      </c>
      <c r="CN38" s="383" t="e">
        <f t="shared" si="52"/>
        <v>#DIV/0!</v>
      </c>
      <c r="CO38" s="383" t="e">
        <f t="shared" si="52"/>
        <v>#DIV/0!</v>
      </c>
      <c r="CP38" s="383" t="e">
        <f t="shared" si="52"/>
        <v>#DIV/0!</v>
      </c>
      <c r="CQ38" s="383" t="e">
        <f t="shared" si="52"/>
        <v>#DIV/0!</v>
      </c>
    </row>
    <row r="39" spans="3:95">
      <c r="C39" s="391">
        <v>1</v>
      </c>
      <c r="D39" s="391" t="s">
        <v>1404</v>
      </c>
      <c r="E39" s="382" t="s">
        <v>1390</v>
      </c>
      <c r="F39" s="382" t="s">
        <v>1390</v>
      </c>
      <c r="G39" s="382" t="s">
        <v>1390</v>
      </c>
      <c r="H39" s="382" t="s">
        <v>1390</v>
      </c>
      <c r="I39" s="390">
        <v>1</v>
      </c>
      <c r="J39" s="390" t="s">
        <v>1405</v>
      </c>
      <c r="K39" s="390">
        <v>1</v>
      </c>
      <c r="L39" s="390" t="s">
        <v>1405</v>
      </c>
      <c r="M39" s="382" t="s">
        <v>1390</v>
      </c>
      <c r="N39" s="382" t="s">
        <v>1390</v>
      </c>
      <c r="O39" s="382" t="s">
        <v>1390</v>
      </c>
      <c r="P39" s="382" t="s">
        <v>1390</v>
      </c>
      <c r="R39" s="386">
        <v>1</v>
      </c>
      <c r="S39" s="383" t="e">
        <f t="shared" si="42"/>
        <v>#DIV/0!</v>
      </c>
      <c r="T39" s="383" t="e">
        <f t="shared" si="42"/>
        <v>#DIV/0!</v>
      </c>
      <c r="U39" s="383" t="e">
        <f t="shared" si="42"/>
        <v>#DIV/0!</v>
      </c>
      <c r="V39" s="383" t="e">
        <f t="shared" si="42"/>
        <v>#DIV/0!</v>
      </c>
      <c r="W39" s="383" t="e">
        <f t="shared" si="42"/>
        <v>#DIV/0!</v>
      </c>
      <c r="X39" s="383" t="e">
        <f t="shared" si="42"/>
        <v>#DIV/0!</v>
      </c>
      <c r="Y39" s="383" t="e">
        <f t="shared" si="42"/>
        <v>#DIV/0!</v>
      </c>
      <c r="Z39" s="383" t="e">
        <f t="shared" si="42"/>
        <v>#DIV/0!</v>
      </c>
      <c r="AA39" s="383" t="e">
        <f t="shared" si="42"/>
        <v>#DIV/0!</v>
      </c>
      <c r="AB39" s="383" t="e">
        <f t="shared" si="42"/>
        <v>#DIV/0!</v>
      </c>
      <c r="AC39" s="383" t="e">
        <f t="shared" si="42"/>
        <v>#DIV/0!</v>
      </c>
      <c r="AD39" s="383" t="e">
        <f t="shared" si="42"/>
        <v>#DIV/0!</v>
      </c>
      <c r="AE39" s="386">
        <v>0</v>
      </c>
      <c r="AF39" s="383" t="e">
        <f t="shared" si="39"/>
        <v>#DIV/0!</v>
      </c>
      <c r="AG39" s="383" t="e">
        <f t="shared" si="39"/>
        <v>#DIV/0!</v>
      </c>
      <c r="AH39" s="383" t="e">
        <f t="shared" si="39"/>
        <v>#DIV/0!</v>
      </c>
      <c r="AI39" s="383" t="e">
        <f t="shared" si="39"/>
        <v>#DIV/0!</v>
      </c>
      <c r="AJ39" s="383" t="e">
        <f t="shared" si="39"/>
        <v>#DIV/0!</v>
      </c>
      <c r="AK39" s="383" t="e">
        <f t="shared" si="39"/>
        <v>#DIV/0!</v>
      </c>
      <c r="AL39" s="383" t="e">
        <f t="shared" si="39"/>
        <v>#DIV/0!</v>
      </c>
      <c r="AM39" s="383" t="e">
        <f t="shared" si="39"/>
        <v>#DIV/0!</v>
      </c>
      <c r="AN39" s="383" t="e">
        <f t="shared" si="39"/>
        <v>#DIV/0!</v>
      </c>
      <c r="AO39" s="383" t="e">
        <f t="shared" si="39"/>
        <v>#DIV/0!</v>
      </c>
      <c r="AP39" s="383" t="e">
        <f t="shared" si="39"/>
        <v>#DIV/0!</v>
      </c>
      <c r="AQ39" s="383" t="e">
        <f t="shared" si="39"/>
        <v>#DIV/0!</v>
      </c>
      <c r="AR39" s="385" t="s">
        <v>1390</v>
      </c>
      <c r="AS39" s="383" t="e">
        <f t="shared" si="24"/>
        <v>#DIV/0!</v>
      </c>
      <c r="AT39" s="383" t="e">
        <f t="shared" si="24"/>
        <v>#DIV/0!</v>
      </c>
      <c r="AU39" s="383" t="e">
        <f t="shared" si="24"/>
        <v>#DIV/0!</v>
      </c>
      <c r="AV39" s="383" t="e">
        <f t="shared" si="24"/>
        <v>#DIV/0!</v>
      </c>
      <c r="AW39" s="383" t="e">
        <f t="shared" si="24"/>
        <v>#DIV/0!</v>
      </c>
      <c r="AX39" s="383" t="e">
        <f t="shared" si="24"/>
        <v>#DIV/0!</v>
      </c>
      <c r="AY39" s="383" t="e">
        <f t="shared" si="24"/>
        <v>#DIV/0!</v>
      </c>
      <c r="AZ39" s="383" t="e">
        <f t="shared" si="24"/>
        <v>#DIV/0!</v>
      </c>
      <c r="BA39" s="383" t="e">
        <f t="shared" si="24"/>
        <v>#DIV/0!</v>
      </c>
      <c r="BB39" s="383" t="e">
        <f t="shared" si="24"/>
        <v>#DIV/0!</v>
      </c>
      <c r="BC39" s="383" t="e">
        <f t="shared" si="24"/>
        <v>#DIV/0!</v>
      </c>
      <c r="BD39" s="383" t="e">
        <f t="shared" si="24"/>
        <v>#DIV/0!</v>
      </c>
      <c r="BE39" s="386" t="s">
        <v>1395</v>
      </c>
      <c r="BF39" s="383" t="e">
        <f>IF(AS39="","",IF(BF$18&gt;=2,"〇",""))</f>
        <v>#DIV/0!</v>
      </c>
      <c r="BG39" s="383" t="e">
        <f t="shared" ref="BG39:BQ39" si="53">IF(AT39="","",IF(BG$18&gt;=2,"〇",""))</f>
        <v>#DIV/0!</v>
      </c>
      <c r="BH39" s="383" t="e">
        <f t="shared" si="53"/>
        <v>#DIV/0!</v>
      </c>
      <c r="BI39" s="383" t="e">
        <f t="shared" si="53"/>
        <v>#DIV/0!</v>
      </c>
      <c r="BJ39" s="383" t="e">
        <f t="shared" si="53"/>
        <v>#DIV/0!</v>
      </c>
      <c r="BK39" s="383" t="e">
        <f t="shared" si="53"/>
        <v>#DIV/0!</v>
      </c>
      <c r="BL39" s="383" t="e">
        <f t="shared" si="53"/>
        <v>#DIV/0!</v>
      </c>
      <c r="BM39" s="383" t="e">
        <f t="shared" si="53"/>
        <v>#DIV/0!</v>
      </c>
      <c r="BN39" s="383" t="e">
        <f t="shared" si="53"/>
        <v>#DIV/0!</v>
      </c>
      <c r="BO39" s="383" t="e">
        <f t="shared" si="53"/>
        <v>#DIV/0!</v>
      </c>
      <c r="BP39" s="383" t="e">
        <f t="shared" si="53"/>
        <v>#DIV/0!</v>
      </c>
      <c r="BQ39" s="383" t="e">
        <f t="shared" si="53"/>
        <v>#DIV/0!</v>
      </c>
      <c r="BR39" s="386" t="s">
        <v>1390</v>
      </c>
      <c r="BS39" s="383" t="e">
        <f>IF(BF39="","","〇")</f>
        <v>#DIV/0!</v>
      </c>
      <c r="BT39" s="383" t="e">
        <f t="shared" ref="BT39:CD39" si="54">IF(BG39="","","〇")</f>
        <v>#DIV/0!</v>
      </c>
      <c r="BU39" s="383" t="e">
        <f t="shared" si="54"/>
        <v>#DIV/0!</v>
      </c>
      <c r="BV39" s="383" t="e">
        <f t="shared" si="54"/>
        <v>#DIV/0!</v>
      </c>
      <c r="BW39" s="383" t="e">
        <f t="shared" si="54"/>
        <v>#DIV/0!</v>
      </c>
      <c r="BX39" s="383" t="e">
        <f t="shared" si="54"/>
        <v>#DIV/0!</v>
      </c>
      <c r="BY39" s="383" t="e">
        <f t="shared" si="54"/>
        <v>#DIV/0!</v>
      </c>
      <c r="BZ39" s="383" t="e">
        <f t="shared" si="54"/>
        <v>#DIV/0!</v>
      </c>
      <c r="CA39" s="383" t="e">
        <f t="shared" si="54"/>
        <v>#DIV/0!</v>
      </c>
      <c r="CB39" s="383" t="e">
        <f t="shared" si="54"/>
        <v>#DIV/0!</v>
      </c>
      <c r="CC39" s="383" t="e">
        <f t="shared" si="54"/>
        <v>#DIV/0!</v>
      </c>
      <c r="CD39" s="383" t="e">
        <f t="shared" si="54"/>
        <v>#DIV/0!</v>
      </c>
      <c r="CE39" s="386" t="s">
        <v>1390</v>
      </c>
      <c r="CF39" s="383" t="e">
        <f t="shared" si="52"/>
        <v>#DIV/0!</v>
      </c>
      <c r="CG39" s="383" t="e">
        <f t="shared" si="52"/>
        <v>#DIV/0!</v>
      </c>
      <c r="CH39" s="383" t="e">
        <f t="shared" si="52"/>
        <v>#DIV/0!</v>
      </c>
      <c r="CI39" s="383" t="e">
        <f t="shared" si="52"/>
        <v>#DIV/0!</v>
      </c>
      <c r="CJ39" s="383" t="e">
        <f t="shared" si="52"/>
        <v>#DIV/0!</v>
      </c>
      <c r="CK39" s="383" t="e">
        <f t="shared" si="52"/>
        <v>#DIV/0!</v>
      </c>
      <c r="CL39" s="383" t="e">
        <f t="shared" si="52"/>
        <v>#DIV/0!</v>
      </c>
      <c r="CM39" s="383" t="e">
        <f t="shared" si="52"/>
        <v>#DIV/0!</v>
      </c>
      <c r="CN39" s="383" t="e">
        <f t="shared" si="52"/>
        <v>#DIV/0!</v>
      </c>
      <c r="CO39" s="383" t="e">
        <f t="shared" si="52"/>
        <v>#DIV/0!</v>
      </c>
      <c r="CP39" s="383" t="e">
        <f t="shared" si="52"/>
        <v>#DIV/0!</v>
      </c>
      <c r="CQ39" s="383" t="e">
        <f t="shared" si="52"/>
        <v>#DIV/0!</v>
      </c>
    </row>
    <row r="40" spans="3:95">
      <c r="C40" s="382" t="s">
        <v>1390</v>
      </c>
      <c r="D40" s="382" t="s">
        <v>1390</v>
      </c>
      <c r="E40" s="382" t="s">
        <v>1390</v>
      </c>
      <c r="F40" s="382" t="s">
        <v>1390</v>
      </c>
      <c r="G40" s="382" t="s">
        <v>1390</v>
      </c>
      <c r="H40" s="382" t="s">
        <v>1390</v>
      </c>
      <c r="I40" s="382" t="s">
        <v>1390</v>
      </c>
      <c r="J40" s="382" t="s">
        <v>1390</v>
      </c>
      <c r="K40" s="382" t="s">
        <v>1390</v>
      </c>
      <c r="L40" s="382" t="s">
        <v>1390</v>
      </c>
      <c r="M40" s="391">
        <v>1</v>
      </c>
      <c r="N40" s="391" t="s">
        <v>1404</v>
      </c>
      <c r="O40" s="382" t="s">
        <v>1390</v>
      </c>
      <c r="P40" s="382" t="s">
        <v>1390</v>
      </c>
      <c r="R40" s="386">
        <v>1</v>
      </c>
      <c r="S40" s="383" t="e">
        <f t="shared" si="42"/>
        <v>#DIV/0!</v>
      </c>
      <c r="T40" s="383" t="e">
        <f t="shared" si="42"/>
        <v>#DIV/0!</v>
      </c>
      <c r="U40" s="383" t="e">
        <f t="shared" si="42"/>
        <v>#DIV/0!</v>
      </c>
      <c r="V40" s="383" t="e">
        <f t="shared" si="42"/>
        <v>#DIV/0!</v>
      </c>
      <c r="W40" s="383" t="e">
        <f t="shared" si="42"/>
        <v>#DIV/0!</v>
      </c>
      <c r="X40" s="383" t="e">
        <f t="shared" si="42"/>
        <v>#DIV/0!</v>
      </c>
      <c r="Y40" s="383" t="e">
        <f t="shared" si="42"/>
        <v>#DIV/0!</v>
      </c>
      <c r="Z40" s="383" t="e">
        <f t="shared" si="42"/>
        <v>#DIV/0!</v>
      </c>
      <c r="AA40" s="383" t="e">
        <f t="shared" si="42"/>
        <v>#DIV/0!</v>
      </c>
      <c r="AB40" s="383" t="e">
        <f t="shared" si="42"/>
        <v>#DIV/0!</v>
      </c>
      <c r="AC40" s="383" t="e">
        <f t="shared" si="42"/>
        <v>#DIV/0!</v>
      </c>
      <c r="AD40" s="383" t="e">
        <f t="shared" si="42"/>
        <v>#DIV/0!</v>
      </c>
      <c r="AE40" s="386" t="s">
        <v>1396</v>
      </c>
      <c r="AF40" s="383" t="e">
        <f>IF(S40="","",IF(AF$18&gt;=1,"〇",""))</f>
        <v>#DIV/0!</v>
      </c>
      <c r="AG40" s="383" t="e">
        <f t="shared" ref="AG40:AQ49" si="55">IF(T40="","",IF(AG$18&gt;=1,"〇",""))</f>
        <v>#DIV/0!</v>
      </c>
      <c r="AH40" s="383" t="e">
        <f t="shared" si="55"/>
        <v>#DIV/0!</v>
      </c>
      <c r="AI40" s="383" t="e">
        <f t="shared" si="55"/>
        <v>#DIV/0!</v>
      </c>
      <c r="AJ40" s="383" t="e">
        <f t="shared" si="55"/>
        <v>#DIV/0!</v>
      </c>
      <c r="AK40" s="383" t="e">
        <f t="shared" si="55"/>
        <v>#DIV/0!</v>
      </c>
      <c r="AL40" s="383" t="e">
        <f t="shared" si="55"/>
        <v>#DIV/0!</v>
      </c>
      <c r="AM40" s="383" t="e">
        <f t="shared" si="55"/>
        <v>#DIV/0!</v>
      </c>
      <c r="AN40" s="383" t="e">
        <f t="shared" si="55"/>
        <v>#DIV/0!</v>
      </c>
      <c r="AO40" s="383" t="e">
        <f t="shared" si="55"/>
        <v>#DIV/0!</v>
      </c>
      <c r="AP40" s="383" t="e">
        <f t="shared" si="55"/>
        <v>#DIV/0!</v>
      </c>
      <c r="AQ40" s="383" t="e">
        <f t="shared" si="55"/>
        <v>#DIV/0!</v>
      </c>
      <c r="AR40" s="385" t="s">
        <v>1390</v>
      </c>
      <c r="AS40" s="383" t="e">
        <f t="shared" si="24"/>
        <v>#DIV/0!</v>
      </c>
      <c r="AT40" s="383" t="e">
        <f t="shared" si="24"/>
        <v>#DIV/0!</v>
      </c>
      <c r="AU40" s="383" t="e">
        <f t="shared" si="24"/>
        <v>#DIV/0!</v>
      </c>
      <c r="AV40" s="383" t="e">
        <f t="shared" si="24"/>
        <v>#DIV/0!</v>
      </c>
      <c r="AW40" s="383" t="e">
        <f t="shared" si="24"/>
        <v>#DIV/0!</v>
      </c>
      <c r="AX40" s="383" t="e">
        <f t="shared" si="24"/>
        <v>#DIV/0!</v>
      </c>
      <c r="AY40" s="383" t="e">
        <f t="shared" si="24"/>
        <v>#DIV/0!</v>
      </c>
      <c r="AZ40" s="383" t="e">
        <f t="shared" si="24"/>
        <v>#DIV/0!</v>
      </c>
      <c r="BA40" s="383" t="e">
        <f t="shared" si="24"/>
        <v>#DIV/0!</v>
      </c>
      <c r="BB40" s="383" t="e">
        <f t="shared" si="24"/>
        <v>#DIV/0!</v>
      </c>
      <c r="BC40" s="383" t="e">
        <f t="shared" si="24"/>
        <v>#DIV/0!</v>
      </c>
      <c r="BD40" s="383" t="e">
        <f t="shared" si="24"/>
        <v>#DIV/0!</v>
      </c>
      <c r="BE40" s="386">
        <v>0</v>
      </c>
      <c r="BF40" s="383" t="e">
        <f t="shared" si="25"/>
        <v>#DIV/0!</v>
      </c>
      <c r="BG40" s="383" t="e">
        <f t="shared" si="25"/>
        <v>#DIV/0!</v>
      </c>
      <c r="BH40" s="383" t="e">
        <f t="shared" si="25"/>
        <v>#DIV/0!</v>
      </c>
      <c r="BI40" s="383" t="e">
        <f t="shared" si="25"/>
        <v>#DIV/0!</v>
      </c>
      <c r="BJ40" s="383" t="e">
        <f t="shared" si="25"/>
        <v>#DIV/0!</v>
      </c>
      <c r="BK40" s="383" t="e">
        <f t="shared" si="25"/>
        <v>#DIV/0!</v>
      </c>
      <c r="BL40" s="383" t="e">
        <f t="shared" si="25"/>
        <v>#DIV/0!</v>
      </c>
      <c r="BM40" s="383" t="e">
        <f t="shared" si="25"/>
        <v>#DIV/0!</v>
      </c>
      <c r="BN40" s="383" t="e">
        <f t="shared" si="25"/>
        <v>#DIV/0!</v>
      </c>
      <c r="BO40" s="383" t="e">
        <f t="shared" si="25"/>
        <v>#DIV/0!</v>
      </c>
      <c r="BP40" s="383" t="e">
        <f t="shared" si="25"/>
        <v>#DIV/0!</v>
      </c>
      <c r="BQ40" s="383" t="e">
        <f t="shared" si="25"/>
        <v>#DIV/0!</v>
      </c>
      <c r="BR40" s="386">
        <v>0</v>
      </c>
      <c r="BS40" s="383" t="e">
        <f>IF(BF40="","",IF(BS$18=$BR40,"〇",""))</f>
        <v>#DIV/0!</v>
      </c>
      <c r="BT40" s="383" t="e">
        <f t="shared" ref="BT40:CD44" si="56">IF(BG40="","",IF(BT$18=$BR40,"〇",""))</f>
        <v>#DIV/0!</v>
      </c>
      <c r="BU40" s="383" t="e">
        <f t="shared" si="56"/>
        <v>#DIV/0!</v>
      </c>
      <c r="BV40" s="383" t="e">
        <f t="shared" si="56"/>
        <v>#DIV/0!</v>
      </c>
      <c r="BW40" s="383" t="e">
        <f t="shared" si="56"/>
        <v>#DIV/0!</v>
      </c>
      <c r="BX40" s="383" t="e">
        <f t="shared" si="56"/>
        <v>#DIV/0!</v>
      </c>
      <c r="BY40" s="383" t="e">
        <f t="shared" si="56"/>
        <v>#DIV/0!</v>
      </c>
      <c r="BZ40" s="383" t="e">
        <f t="shared" si="56"/>
        <v>#DIV/0!</v>
      </c>
      <c r="CA40" s="383" t="e">
        <f t="shared" si="56"/>
        <v>#DIV/0!</v>
      </c>
      <c r="CB40" s="383" t="e">
        <f t="shared" si="56"/>
        <v>#DIV/0!</v>
      </c>
      <c r="CC40" s="383" t="e">
        <f t="shared" si="56"/>
        <v>#DIV/0!</v>
      </c>
      <c r="CD40" s="383" t="e">
        <f t="shared" si="56"/>
        <v>#DIV/0!</v>
      </c>
      <c r="CE40" s="386">
        <v>0</v>
      </c>
      <c r="CF40" s="383" t="e">
        <f>IF(BS40="","",IF(CF$18=$CE40,"〇",""))</f>
        <v>#DIV/0!</v>
      </c>
      <c r="CG40" s="383" t="e">
        <f t="shared" ref="CG40:CQ41" si="57">IF(BT40="","",IF(CG$18=$CE40,"〇",""))</f>
        <v>#DIV/0!</v>
      </c>
      <c r="CH40" s="383" t="e">
        <f t="shared" si="57"/>
        <v>#DIV/0!</v>
      </c>
      <c r="CI40" s="383" t="e">
        <f t="shared" si="57"/>
        <v>#DIV/0!</v>
      </c>
      <c r="CJ40" s="383" t="e">
        <f t="shared" si="57"/>
        <v>#DIV/0!</v>
      </c>
      <c r="CK40" s="383" t="e">
        <f t="shared" si="57"/>
        <v>#DIV/0!</v>
      </c>
      <c r="CL40" s="383" t="e">
        <f t="shared" si="57"/>
        <v>#DIV/0!</v>
      </c>
      <c r="CM40" s="383" t="e">
        <f t="shared" si="57"/>
        <v>#DIV/0!</v>
      </c>
      <c r="CN40" s="383" t="e">
        <f t="shared" si="57"/>
        <v>#DIV/0!</v>
      </c>
      <c r="CO40" s="383" t="e">
        <f t="shared" si="57"/>
        <v>#DIV/0!</v>
      </c>
      <c r="CP40" s="383" t="e">
        <f t="shared" si="57"/>
        <v>#DIV/0!</v>
      </c>
      <c r="CQ40" s="383" t="e">
        <f t="shared" si="57"/>
        <v>#DIV/0!</v>
      </c>
    </row>
    <row r="41" spans="3:95">
      <c r="C41" s="391">
        <v>1</v>
      </c>
      <c r="D41" s="391" t="s">
        <v>1404</v>
      </c>
      <c r="E41" s="382" t="s">
        <v>1390</v>
      </c>
      <c r="F41" s="382" t="s">
        <v>1390</v>
      </c>
      <c r="G41" s="382" t="s">
        <v>1390</v>
      </c>
      <c r="H41" s="382" t="s">
        <v>1390</v>
      </c>
      <c r="I41" s="387">
        <v>1</v>
      </c>
      <c r="J41" s="387" t="s">
        <v>1393</v>
      </c>
      <c r="K41" s="382" t="s">
        <v>1390</v>
      </c>
      <c r="L41" s="382" t="s">
        <v>1390</v>
      </c>
      <c r="M41" s="382" t="s">
        <v>1390</v>
      </c>
      <c r="N41" s="382" t="s">
        <v>1390</v>
      </c>
      <c r="O41" s="382" t="s">
        <v>1390</v>
      </c>
      <c r="P41" s="382" t="s">
        <v>1390</v>
      </c>
      <c r="R41" s="386">
        <v>1</v>
      </c>
      <c r="S41" s="383" t="e">
        <f t="shared" si="42"/>
        <v>#DIV/0!</v>
      </c>
      <c r="T41" s="383" t="e">
        <f t="shared" si="42"/>
        <v>#DIV/0!</v>
      </c>
      <c r="U41" s="383" t="e">
        <f t="shared" si="42"/>
        <v>#DIV/0!</v>
      </c>
      <c r="V41" s="383" t="e">
        <f t="shared" si="42"/>
        <v>#DIV/0!</v>
      </c>
      <c r="W41" s="383" t="e">
        <f t="shared" si="42"/>
        <v>#DIV/0!</v>
      </c>
      <c r="X41" s="383" t="e">
        <f t="shared" si="42"/>
        <v>#DIV/0!</v>
      </c>
      <c r="Y41" s="383" t="e">
        <f t="shared" si="42"/>
        <v>#DIV/0!</v>
      </c>
      <c r="Z41" s="383" t="e">
        <f t="shared" si="42"/>
        <v>#DIV/0!</v>
      </c>
      <c r="AA41" s="383" t="e">
        <f t="shared" si="42"/>
        <v>#DIV/0!</v>
      </c>
      <c r="AB41" s="383" t="e">
        <f t="shared" si="42"/>
        <v>#DIV/0!</v>
      </c>
      <c r="AC41" s="383" t="e">
        <f t="shared" si="42"/>
        <v>#DIV/0!</v>
      </c>
      <c r="AD41" s="383" t="e">
        <f t="shared" si="42"/>
        <v>#DIV/0!</v>
      </c>
      <c r="AE41" s="386" t="s">
        <v>1396</v>
      </c>
      <c r="AF41" s="383" t="e">
        <f>IF(S41="","",IF(AF$18&gt;=1,"〇",""))</f>
        <v>#DIV/0!</v>
      </c>
      <c r="AG41" s="383" t="e">
        <f t="shared" si="55"/>
        <v>#DIV/0!</v>
      </c>
      <c r="AH41" s="383" t="e">
        <f t="shared" si="55"/>
        <v>#DIV/0!</v>
      </c>
      <c r="AI41" s="383" t="e">
        <f t="shared" si="55"/>
        <v>#DIV/0!</v>
      </c>
      <c r="AJ41" s="383" t="e">
        <f t="shared" si="55"/>
        <v>#DIV/0!</v>
      </c>
      <c r="AK41" s="383" t="e">
        <f t="shared" si="55"/>
        <v>#DIV/0!</v>
      </c>
      <c r="AL41" s="383" t="e">
        <f t="shared" si="55"/>
        <v>#DIV/0!</v>
      </c>
      <c r="AM41" s="383" t="e">
        <f t="shared" si="55"/>
        <v>#DIV/0!</v>
      </c>
      <c r="AN41" s="383" t="e">
        <f t="shared" si="55"/>
        <v>#DIV/0!</v>
      </c>
      <c r="AO41" s="383" t="e">
        <f t="shared" si="55"/>
        <v>#DIV/0!</v>
      </c>
      <c r="AP41" s="383" t="e">
        <f t="shared" si="55"/>
        <v>#DIV/0!</v>
      </c>
      <c r="AQ41" s="383" t="e">
        <f t="shared" si="55"/>
        <v>#DIV/0!</v>
      </c>
      <c r="AR41" s="385" t="s">
        <v>1390</v>
      </c>
      <c r="AS41" s="383" t="e">
        <f t="shared" si="24"/>
        <v>#DIV/0!</v>
      </c>
      <c r="AT41" s="383" t="e">
        <f t="shared" si="24"/>
        <v>#DIV/0!</v>
      </c>
      <c r="AU41" s="383" t="e">
        <f t="shared" si="24"/>
        <v>#DIV/0!</v>
      </c>
      <c r="AV41" s="383" t="e">
        <f t="shared" si="24"/>
        <v>#DIV/0!</v>
      </c>
      <c r="AW41" s="383" t="e">
        <f t="shared" si="24"/>
        <v>#DIV/0!</v>
      </c>
      <c r="AX41" s="383" t="e">
        <f t="shared" si="24"/>
        <v>#DIV/0!</v>
      </c>
      <c r="AY41" s="383" t="e">
        <f t="shared" si="24"/>
        <v>#DIV/0!</v>
      </c>
      <c r="AZ41" s="383" t="e">
        <f t="shared" si="24"/>
        <v>#DIV/0!</v>
      </c>
      <c r="BA41" s="383" t="e">
        <f t="shared" si="24"/>
        <v>#DIV/0!</v>
      </c>
      <c r="BB41" s="383" t="e">
        <f t="shared" si="24"/>
        <v>#DIV/0!</v>
      </c>
      <c r="BC41" s="383" t="e">
        <f t="shared" si="24"/>
        <v>#DIV/0!</v>
      </c>
      <c r="BD41" s="383" t="e">
        <f t="shared" si="24"/>
        <v>#DIV/0!</v>
      </c>
      <c r="BE41" s="386">
        <v>0</v>
      </c>
      <c r="BF41" s="383" t="e">
        <f t="shared" si="25"/>
        <v>#DIV/0!</v>
      </c>
      <c r="BG41" s="383" t="e">
        <f t="shared" si="25"/>
        <v>#DIV/0!</v>
      </c>
      <c r="BH41" s="383" t="e">
        <f t="shared" si="25"/>
        <v>#DIV/0!</v>
      </c>
      <c r="BI41" s="383" t="e">
        <f t="shared" si="25"/>
        <v>#DIV/0!</v>
      </c>
      <c r="BJ41" s="383" t="e">
        <f t="shared" si="25"/>
        <v>#DIV/0!</v>
      </c>
      <c r="BK41" s="383" t="e">
        <f t="shared" si="25"/>
        <v>#DIV/0!</v>
      </c>
      <c r="BL41" s="383" t="e">
        <f t="shared" si="25"/>
        <v>#DIV/0!</v>
      </c>
      <c r="BM41" s="383" t="e">
        <f t="shared" si="25"/>
        <v>#DIV/0!</v>
      </c>
      <c r="BN41" s="383" t="e">
        <f t="shared" si="25"/>
        <v>#DIV/0!</v>
      </c>
      <c r="BO41" s="383" t="e">
        <f t="shared" si="25"/>
        <v>#DIV/0!</v>
      </c>
      <c r="BP41" s="383" t="e">
        <f t="shared" si="25"/>
        <v>#DIV/0!</v>
      </c>
      <c r="BQ41" s="383" t="e">
        <f t="shared" si="25"/>
        <v>#DIV/0!</v>
      </c>
      <c r="BR41" s="386">
        <v>0</v>
      </c>
      <c r="BS41" s="383" t="e">
        <f>IF(BF41="","",IF(BS$18=$BR41,"〇",""))</f>
        <v>#DIV/0!</v>
      </c>
      <c r="BT41" s="383" t="e">
        <f t="shared" si="56"/>
        <v>#DIV/0!</v>
      </c>
      <c r="BU41" s="383" t="e">
        <f t="shared" si="56"/>
        <v>#DIV/0!</v>
      </c>
      <c r="BV41" s="383" t="e">
        <f t="shared" si="56"/>
        <v>#DIV/0!</v>
      </c>
      <c r="BW41" s="383" t="e">
        <f t="shared" si="56"/>
        <v>#DIV/0!</v>
      </c>
      <c r="BX41" s="383" t="e">
        <f t="shared" si="56"/>
        <v>#DIV/0!</v>
      </c>
      <c r="BY41" s="383" t="e">
        <f t="shared" si="56"/>
        <v>#DIV/0!</v>
      </c>
      <c r="BZ41" s="383" t="e">
        <f t="shared" si="56"/>
        <v>#DIV/0!</v>
      </c>
      <c r="CA41" s="383" t="e">
        <f t="shared" si="56"/>
        <v>#DIV/0!</v>
      </c>
      <c r="CB41" s="383" t="e">
        <f t="shared" si="56"/>
        <v>#DIV/0!</v>
      </c>
      <c r="CC41" s="383" t="e">
        <f t="shared" si="56"/>
        <v>#DIV/0!</v>
      </c>
      <c r="CD41" s="383" t="e">
        <f t="shared" si="56"/>
        <v>#DIV/0!</v>
      </c>
      <c r="CE41" s="386">
        <v>1</v>
      </c>
      <c r="CF41" s="383" t="e">
        <f>IF(BS41="","",IF(CF$18=$CE41,"〇",""))</f>
        <v>#DIV/0!</v>
      </c>
      <c r="CG41" s="383" t="e">
        <f t="shared" si="57"/>
        <v>#DIV/0!</v>
      </c>
      <c r="CH41" s="383" t="e">
        <f t="shared" si="57"/>
        <v>#DIV/0!</v>
      </c>
      <c r="CI41" s="383" t="e">
        <f t="shared" si="57"/>
        <v>#DIV/0!</v>
      </c>
      <c r="CJ41" s="383" t="e">
        <f t="shared" si="57"/>
        <v>#DIV/0!</v>
      </c>
      <c r="CK41" s="383" t="e">
        <f t="shared" si="57"/>
        <v>#DIV/0!</v>
      </c>
      <c r="CL41" s="383" t="e">
        <f t="shared" si="57"/>
        <v>#DIV/0!</v>
      </c>
      <c r="CM41" s="383" t="e">
        <f t="shared" si="57"/>
        <v>#DIV/0!</v>
      </c>
      <c r="CN41" s="383" t="e">
        <f t="shared" si="57"/>
        <v>#DIV/0!</v>
      </c>
      <c r="CO41" s="383" t="e">
        <f t="shared" si="57"/>
        <v>#DIV/0!</v>
      </c>
      <c r="CP41" s="383" t="e">
        <f t="shared" si="57"/>
        <v>#DIV/0!</v>
      </c>
      <c r="CQ41" s="383" t="e">
        <f t="shared" si="57"/>
        <v>#DIV/0!</v>
      </c>
    </row>
    <row r="42" spans="3:95">
      <c r="C42" s="391">
        <v>1</v>
      </c>
      <c r="D42" s="391" t="s">
        <v>1404</v>
      </c>
      <c r="E42" s="382" t="s">
        <v>1390</v>
      </c>
      <c r="F42" s="382" t="s">
        <v>1390</v>
      </c>
      <c r="G42" s="382" t="s">
        <v>1390</v>
      </c>
      <c r="H42" s="382" t="s">
        <v>1390</v>
      </c>
      <c r="I42" s="387">
        <v>1</v>
      </c>
      <c r="J42" s="387" t="s">
        <v>1393</v>
      </c>
      <c r="K42" s="388">
        <v>1</v>
      </c>
      <c r="L42" s="388" t="s">
        <v>1404</v>
      </c>
      <c r="M42" s="382" t="s">
        <v>1390</v>
      </c>
      <c r="N42" s="382" t="s">
        <v>1390</v>
      </c>
      <c r="O42" s="382" t="s">
        <v>1390</v>
      </c>
      <c r="P42" s="382" t="s">
        <v>1390</v>
      </c>
      <c r="R42" s="386">
        <v>1</v>
      </c>
      <c r="S42" s="383" t="e">
        <f t="shared" si="42"/>
        <v>#DIV/0!</v>
      </c>
      <c r="T42" s="383" t="e">
        <f t="shared" si="42"/>
        <v>#DIV/0!</v>
      </c>
      <c r="U42" s="383" t="e">
        <f t="shared" si="42"/>
        <v>#DIV/0!</v>
      </c>
      <c r="V42" s="383" t="e">
        <f t="shared" si="42"/>
        <v>#DIV/0!</v>
      </c>
      <c r="W42" s="383" t="e">
        <f t="shared" si="42"/>
        <v>#DIV/0!</v>
      </c>
      <c r="X42" s="383" t="e">
        <f t="shared" si="42"/>
        <v>#DIV/0!</v>
      </c>
      <c r="Y42" s="383" t="e">
        <f t="shared" si="42"/>
        <v>#DIV/0!</v>
      </c>
      <c r="Z42" s="383" t="e">
        <f t="shared" si="42"/>
        <v>#DIV/0!</v>
      </c>
      <c r="AA42" s="383" t="e">
        <f t="shared" si="42"/>
        <v>#DIV/0!</v>
      </c>
      <c r="AB42" s="383" t="e">
        <f t="shared" si="42"/>
        <v>#DIV/0!</v>
      </c>
      <c r="AC42" s="383" t="e">
        <f t="shared" si="42"/>
        <v>#DIV/0!</v>
      </c>
      <c r="AD42" s="383" t="e">
        <f t="shared" si="42"/>
        <v>#DIV/0!</v>
      </c>
      <c r="AE42" s="386" t="s">
        <v>1396</v>
      </c>
      <c r="AF42" s="383" t="e">
        <f t="shared" ref="AF42:AF49" si="58">IF(S42="","",IF(AF$18&gt;=1,"〇",""))</f>
        <v>#DIV/0!</v>
      </c>
      <c r="AG42" s="383" t="e">
        <f t="shared" si="55"/>
        <v>#DIV/0!</v>
      </c>
      <c r="AH42" s="383" t="e">
        <f t="shared" si="55"/>
        <v>#DIV/0!</v>
      </c>
      <c r="AI42" s="383" t="e">
        <f t="shared" si="55"/>
        <v>#DIV/0!</v>
      </c>
      <c r="AJ42" s="383" t="e">
        <f t="shared" si="55"/>
        <v>#DIV/0!</v>
      </c>
      <c r="AK42" s="383" t="e">
        <f t="shared" si="55"/>
        <v>#DIV/0!</v>
      </c>
      <c r="AL42" s="383" t="e">
        <f t="shared" si="55"/>
        <v>#DIV/0!</v>
      </c>
      <c r="AM42" s="383" t="e">
        <f t="shared" si="55"/>
        <v>#DIV/0!</v>
      </c>
      <c r="AN42" s="383" t="e">
        <f t="shared" si="55"/>
        <v>#DIV/0!</v>
      </c>
      <c r="AO42" s="383" t="e">
        <f t="shared" si="55"/>
        <v>#DIV/0!</v>
      </c>
      <c r="AP42" s="383" t="e">
        <f t="shared" si="55"/>
        <v>#DIV/0!</v>
      </c>
      <c r="AQ42" s="383" t="e">
        <f t="shared" si="55"/>
        <v>#DIV/0!</v>
      </c>
      <c r="AR42" s="385" t="s">
        <v>1390</v>
      </c>
      <c r="AS42" s="383" t="e">
        <f t="shared" si="24"/>
        <v>#DIV/0!</v>
      </c>
      <c r="AT42" s="383" t="e">
        <f t="shared" si="24"/>
        <v>#DIV/0!</v>
      </c>
      <c r="AU42" s="383" t="e">
        <f t="shared" si="24"/>
        <v>#DIV/0!</v>
      </c>
      <c r="AV42" s="383" t="e">
        <f t="shared" si="24"/>
        <v>#DIV/0!</v>
      </c>
      <c r="AW42" s="383" t="e">
        <f t="shared" si="24"/>
        <v>#DIV/0!</v>
      </c>
      <c r="AX42" s="383" t="e">
        <f t="shared" si="24"/>
        <v>#DIV/0!</v>
      </c>
      <c r="AY42" s="383" t="e">
        <f t="shared" si="24"/>
        <v>#DIV/0!</v>
      </c>
      <c r="AZ42" s="383" t="e">
        <f t="shared" si="24"/>
        <v>#DIV/0!</v>
      </c>
      <c r="BA42" s="383" t="e">
        <f t="shared" si="24"/>
        <v>#DIV/0!</v>
      </c>
      <c r="BB42" s="383" t="e">
        <f t="shared" si="24"/>
        <v>#DIV/0!</v>
      </c>
      <c r="BC42" s="383" t="e">
        <f t="shared" si="24"/>
        <v>#DIV/0!</v>
      </c>
      <c r="BD42" s="383" t="e">
        <f t="shared" si="24"/>
        <v>#DIV/0!</v>
      </c>
      <c r="BE42" s="386">
        <v>0</v>
      </c>
      <c r="BF42" s="383" t="e">
        <f t="shared" si="25"/>
        <v>#DIV/0!</v>
      </c>
      <c r="BG42" s="383" t="e">
        <f t="shared" si="25"/>
        <v>#DIV/0!</v>
      </c>
      <c r="BH42" s="383" t="e">
        <f t="shared" si="25"/>
        <v>#DIV/0!</v>
      </c>
      <c r="BI42" s="383" t="e">
        <f t="shared" si="25"/>
        <v>#DIV/0!</v>
      </c>
      <c r="BJ42" s="383" t="e">
        <f t="shared" si="25"/>
        <v>#DIV/0!</v>
      </c>
      <c r="BK42" s="383" t="e">
        <f t="shared" si="25"/>
        <v>#DIV/0!</v>
      </c>
      <c r="BL42" s="383" t="e">
        <f t="shared" si="25"/>
        <v>#DIV/0!</v>
      </c>
      <c r="BM42" s="383" t="e">
        <f t="shared" si="25"/>
        <v>#DIV/0!</v>
      </c>
      <c r="BN42" s="383" t="e">
        <f t="shared" si="25"/>
        <v>#DIV/0!</v>
      </c>
      <c r="BO42" s="383" t="e">
        <f t="shared" si="25"/>
        <v>#DIV/0!</v>
      </c>
      <c r="BP42" s="383" t="e">
        <f t="shared" si="25"/>
        <v>#DIV/0!</v>
      </c>
      <c r="BQ42" s="383" t="e">
        <f t="shared" si="25"/>
        <v>#DIV/0!</v>
      </c>
      <c r="BR42" s="386">
        <v>0</v>
      </c>
      <c r="BS42" s="383" t="e">
        <f>IF(BF42="","",IF(BS$18=$BR42,"〇",""))</f>
        <v>#DIV/0!</v>
      </c>
      <c r="BT42" s="383" t="e">
        <f t="shared" si="56"/>
        <v>#DIV/0!</v>
      </c>
      <c r="BU42" s="383" t="e">
        <f t="shared" si="56"/>
        <v>#DIV/0!</v>
      </c>
      <c r="BV42" s="383" t="e">
        <f t="shared" si="56"/>
        <v>#DIV/0!</v>
      </c>
      <c r="BW42" s="383" t="e">
        <f t="shared" si="56"/>
        <v>#DIV/0!</v>
      </c>
      <c r="BX42" s="383" t="e">
        <f t="shared" si="56"/>
        <v>#DIV/0!</v>
      </c>
      <c r="BY42" s="383" t="e">
        <f t="shared" si="56"/>
        <v>#DIV/0!</v>
      </c>
      <c r="BZ42" s="383" t="e">
        <f t="shared" si="56"/>
        <v>#DIV/0!</v>
      </c>
      <c r="CA42" s="383" t="e">
        <f t="shared" si="56"/>
        <v>#DIV/0!</v>
      </c>
      <c r="CB42" s="383" t="e">
        <f t="shared" si="56"/>
        <v>#DIV/0!</v>
      </c>
      <c r="CC42" s="383" t="e">
        <f t="shared" si="56"/>
        <v>#DIV/0!</v>
      </c>
      <c r="CD42" s="383" t="e">
        <f t="shared" si="56"/>
        <v>#DIV/0!</v>
      </c>
      <c r="CE42" s="386" t="s">
        <v>1395</v>
      </c>
      <c r="CF42" s="383" t="e">
        <f>IF(BS42="","",IF(CF$18&gt;=2,"〇",""))</f>
        <v>#DIV/0!</v>
      </c>
      <c r="CG42" s="383" t="e">
        <f t="shared" ref="CG42:CQ42" si="59">IF(BT42="","",IF(CG$18&gt;=2,"〇",""))</f>
        <v>#DIV/0!</v>
      </c>
      <c r="CH42" s="383" t="e">
        <f t="shared" si="59"/>
        <v>#DIV/0!</v>
      </c>
      <c r="CI42" s="383" t="e">
        <f t="shared" si="59"/>
        <v>#DIV/0!</v>
      </c>
      <c r="CJ42" s="383" t="e">
        <f t="shared" si="59"/>
        <v>#DIV/0!</v>
      </c>
      <c r="CK42" s="383" t="e">
        <f t="shared" si="59"/>
        <v>#DIV/0!</v>
      </c>
      <c r="CL42" s="383" t="e">
        <f t="shared" si="59"/>
        <v>#DIV/0!</v>
      </c>
      <c r="CM42" s="383" t="e">
        <f t="shared" si="59"/>
        <v>#DIV/0!</v>
      </c>
      <c r="CN42" s="383" t="e">
        <f t="shared" si="59"/>
        <v>#DIV/0!</v>
      </c>
      <c r="CO42" s="383" t="e">
        <f t="shared" si="59"/>
        <v>#DIV/0!</v>
      </c>
      <c r="CP42" s="383" t="e">
        <f t="shared" si="59"/>
        <v>#DIV/0!</v>
      </c>
      <c r="CQ42" s="383" t="e">
        <f t="shared" si="59"/>
        <v>#DIV/0!</v>
      </c>
    </row>
    <row r="43" spans="3:95">
      <c r="C43" s="391">
        <v>1</v>
      </c>
      <c r="D43" s="391" t="s">
        <v>1404</v>
      </c>
      <c r="E43" s="382" t="s">
        <v>1390</v>
      </c>
      <c r="F43" s="382" t="s">
        <v>1390</v>
      </c>
      <c r="G43" s="382" t="s">
        <v>1390</v>
      </c>
      <c r="H43" s="382" t="s">
        <v>1390</v>
      </c>
      <c r="I43" s="389">
        <v>1</v>
      </c>
      <c r="J43" s="389" t="s">
        <v>1404</v>
      </c>
      <c r="K43" s="382" t="s">
        <v>1390</v>
      </c>
      <c r="L43" s="382" t="s">
        <v>1390</v>
      </c>
      <c r="M43" s="382" t="s">
        <v>1390</v>
      </c>
      <c r="N43" s="382" t="s">
        <v>1390</v>
      </c>
      <c r="O43" s="382" t="s">
        <v>1390</v>
      </c>
      <c r="P43" s="382" t="s">
        <v>1390</v>
      </c>
      <c r="R43" s="386">
        <v>1</v>
      </c>
      <c r="S43" s="383" t="e">
        <f t="shared" si="42"/>
        <v>#DIV/0!</v>
      </c>
      <c r="T43" s="383" t="e">
        <f t="shared" si="42"/>
        <v>#DIV/0!</v>
      </c>
      <c r="U43" s="383" t="e">
        <f t="shared" si="42"/>
        <v>#DIV/0!</v>
      </c>
      <c r="V43" s="383" t="e">
        <f t="shared" si="42"/>
        <v>#DIV/0!</v>
      </c>
      <c r="W43" s="383" t="e">
        <f t="shared" si="42"/>
        <v>#DIV/0!</v>
      </c>
      <c r="X43" s="383" t="e">
        <f t="shared" si="42"/>
        <v>#DIV/0!</v>
      </c>
      <c r="Y43" s="383" t="e">
        <f t="shared" si="42"/>
        <v>#DIV/0!</v>
      </c>
      <c r="Z43" s="383" t="e">
        <f t="shared" si="42"/>
        <v>#DIV/0!</v>
      </c>
      <c r="AA43" s="383" t="e">
        <f t="shared" si="42"/>
        <v>#DIV/0!</v>
      </c>
      <c r="AB43" s="383" t="e">
        <f t="shared" si="42"/>
        <v>#DIV/0!</v>
      </c>
      <c r="AC43" s="383" t="e">
        <f t="shared" si="42"/>
        <v>#DIV/0!</v>
      </c>
      <c r="AD43" s="383" t="e">
        <f t="shared" si="42"/>
        <v>#DIV/0!</v>
      </c>
      <c r="AE43" s="386" t="s">
        <v>1396</v>
      </c>
      <c r="AF43" s="383" t="e">
        <f t="shared" si="58"/>
        <v>#DIV/0!</v>
      </c>
      <c r="AG43" s="383" t="e">
        <f t="shared" si="55"/>
        <v>#DIV/0!</v>
      </c>
      <c r="AH43" s="383" t="e">
        <f t="shared" si="55"/>
        <v>#DIV/0!</v>
      </c>
      <c r="AI43" s="383" t="e">
        <f t="shared" si="55"/>
        <v>#DIV/0!</v>
      </c>
      <c r="AJ43" s="383" t="e">
        <f t="shared" si="55"/>
        <v>#DIV/0!</v>
      </c>
      <c r="AK43" s="383" t="e">
        <f t="shared" si="55"/>
        <v>#DIV/0!</v>
      </c>
      <c r="AL43" s="383" t="e">
        <f t="shared" si="55"/>
        <v>#DIV/0!</v>
      </c>
      <c r="AM43" s="383" t="e">
        <f t="shared" si="55"/>
        <v>#DIV/0!</v>
      </c>
      <c r="AN43" s="383" t="e">
        <f t="shared" si="55"/>
        <v>#DIV/0!</v>
      </c>
      <c r="AO43" s="383" t="e">
        <f t="shared" si="55"/>
        <v>#DIV/0!</v>
      </c>
      <c r="AP43" s="383" t="e">
        <f t="shared" si="55"/>
        <v>#DIV/0!</v>
      </c>
      <c r="AQ43" s="383" t="e">
        <f t="shared" si="55"/>
        <v>#DIV/0!</v>
      </c>
      <c r="AR43" s="385" t="s">
        <v>1390</v>
      </c>
      <c r="AS43" s="383" t="e">
        <f t="shared" si="24"/>
        <v>#DIV/0!</v>
      </c>
      <c r="AT43" s="383" t="e">
        <f t="shared" si="24"/>
        <v>#DIV/0!</v>
      </c>
      <c r="AU43" s="383" t="e">
        <f t="shared" si="24"/>
        <v>#DIV/0!</v>
      </c>
      <c r="AV43" s="383" t="e">
        <f t="shared" si="24"/>
        <v>#DIV/0!</v>
      </c>
      <c r="AW43" s="383" t="e">
        <f t="shared" si="24"/>
        <v>#DIV/0!</v>
      </c>
      <c r="AX43" s="383" t="e">
        <f t="shared" si="24"/>
        <v>#DIV/0!</v>
      </c>
      <c r="AY43" s="383" t="e">
        <f t="shared" si="24"/>
        <v>#DIV/0!</v>
      </c>
      <c r="AZ43" s="383" t="e">
        <f t="shared" si="24"/>
        <v>#DIV/0!</v>
      </c>
      <c r="BA43" s="383" t="e">
        <f t="shared" si="24"/>
        <v>#DIV/0!</v>
      </c>
      <c r="BB43" s="383" t="e">
        <f t="shared" si="24"/>
        <v>#DIV/0!</v>
      </c>
      <c r="BC43" s="383" t="e">
        <f t="shared" si="24"/>
        <v>#DIV/0!</v>
      </c>
      <c r="BD43" s="383" t="e">
        <f t="shared" si="24"/>
        <v>#DIV/0!</v>
      </c>
      <c r="BE43" s="386">
        <v>0</v>
      </c>
      <c r="BF43" s="383" t="e">
        <f t="shared" si="25"/>
        <v>#DIV/0!</v>
      </c>
      <c r="BG43" s="383" t="e">
        <f t="shared" si="25"/>
        <v>#DIV/0!</v>
      </c>
      <c r="BH43" s="383" t="e">
        <f t="shared" si="25"/>
        <v>#DIV/0!</v>
      </c>
      <c r="BI43" s="383" t="e">
        <f t="shared" si="25"/>
        <v>#DIV/0!</v>
      </c>
      <c r="BJ43" s="383" t="e">
        <f t="shared" si="25"/>
        <v>#DIV/0!</v>
      </c>
      <c r="BK43" s="383" t="e">
        <f t="shared" si="25"/>
        <v>#DIV/0!</v>
      </c>
      <c r="BL43" s="383" t="e">
        <f t="shared" si="25"/>
        <v>#DIV/0!</v>
      </c>
      <c r="BM43" s="383" t="e">
        <f t="shared" si="25"/>
        <v>#DIV/0!</v>
      </c>
      <c r="BN43" s="383" t="e">
        <f t="shared" si="25"/>
        <v>#DIV/0!</v>
      </c>
      <c r="BO43" s="383" t="e">
        <f t="shared" si="25"/>
        <v>#DIV/0!</v>
      </c>
      <c r="BP43" s="383" t="e">
        <f t="shared" si="25"/>
        <v>#DIV/0!</v>
      </c>
      <c r="BQ43" s="383" t="e">
        <f t="shared" si="25"/>
        <v>#DIV/0!</v>
      </c>
      <c r="BR43" s="386">
        <v>1</v>
      </c>
      <c r="BS43" s="383" t="e">
        <f>IF(BF43="","",IF(BS$18=$BR43,"〇",""))</f>
        <v>#DIV/0!</v>
      </c>
      <c r="BT43" s="383" t="e">
        <f t="shared" si="56"/>
        <v>#DIV/0!</v>
      </c>
      <c r="BU43" s="383" t="e">
        <f t="shared" si="56"/>
        <v>#DIV/0!</v>
      </c>
      <c r="BV43" s="383" t="e">
        <f t="shared" si="56"/>
        <v>#DIV/0!</v>
      </c>
      <c r="BW43" s="383" t="e">
        <f t="shared" si="56"/>
        <v>#DIV/0!</v>
      </c>
      <c r="BX43" s="383" t="e">
        <f t="shared" si="56"/>
        <v>#DIV/0!</v>
      </c>
      <c r="BY43" s="383" t="e">
        <f t="shared" si="56"/>
        <v>#DIV/0!</v>
      </c>
      <c r="BZ43" s="383" t="e">
        <f t="shared" si="56"/>
        <v>#DIV/0!</v>
      </c>
      <c r="CA43" s="383" t="e">
        <f t="shared" si="56"/>
        <v>#DIV/0!</v>
      </c>
      <c r="CB43" s="383" t="e">
        <f t="shared" si="56"/>
        <v>#DIV/0!</v>
      </c>
      <c r="CC43" s="383" t="e">
        <f t="shared" si="56"/>
        <v>#DIV/0!</v>
      </c>
      <c r="CD43" s="383" t="e">
        <f t="shared" si="56"/>
        <v>#DIV/0!</v>
      </c>
      <c r="CE43" s="386">
        <v>0</v>
      </c>
      <c r="CF43" s="383" t="e">
        <f>IF(BS43="","",IF(CF$18=$CE43,"〇",""))</f>
        <v>#DIV/0!</v>
      </c>
      <c r="CG43" s="383" t="e">
        <f t="shared" ref="CG43:CQ43" si="60">IF(BT43="","",IF(CG$18=$CE43,"〇",""))</f>
        <v>#DIV/0!</v>
      </c>
      <c r="CH43" s="383" t="e">
        <f t="shared" si="60"/>
        <v>#DIV/0!</v>
      </c>
      <c r="CI43" s="383" t="e">
        <f t="shared" si="60"/>
        <v>#DIV/0!</v>
      </c>
      <c r="CJ43" s="383" t="e">
        <f t="shared" si="60"/>
        <v>#DIV/0!</v>
      </c>
      <c r="CK43" s="383" t="e">
        <f t="shared" si="60"/>
        <v>#DIV/0!</v>
      </c>
      <c r="CL43" s="383" t="e">
        <f t="shared" si="60"/>
        <v>#DIV/0!</v>
      </c>
      <c r="CM43" s="383" t="e">
        <f t="shared" si="60"/>
        <v>#DIV/0!</v>
      </c>
      <c r="CN43" s="383" t="e">
        <f t="shared" si="60"/>
        <v>#DIV/0!</v>
      </c>
      <c r="CO43" s="383" t="e">
        <f t="shared" si="60"/>
        <v>#DIV/0!</v>
      </c>
      <c r="CP43" s="383" t="e">
        <f t="shared" si="60"/>
        <v>#DIV/0!</v>
      </c>
      <c r="CQ43" s="383" t="e">
        <f t="shared" si="60"/>
        <v>#DIV/0!</v>
      </c>
    </row>
    <row r="44" spans="3:95">
      <c r="C44" s="391">
        <v>1</v>
      </c>
      <c r="D44" s="391" t="s">
        <v>1404</v>
      </c>
      <c r="E44" s="382" t="s">
        <v>1390</v>
      </c>
      <c r="F44" s="382" t="s">
        <v>1390</v>
      </c>
      <c r="G44" s="382" t="s">
        <v>1390</v>
      </c>
      <c r="H44" s="382" t="s">
        <v>1390</v>
      </c>
      <c r="I44" s="389">
        <v>1</v>
      </c>
      <c r="J44" s="389" t="s">
        <v>1404</v>
      </c>
      <c r="K44" s="387">
        <v>1</v>
      </c>
      <c r="L44" s="387" t="s">
        <v>1393</v>
      </c>
      <c r="M44" s="382" t="s">
        <v>1390</v>
      </c>
      <c r="N44" s="382" t="s">
        <v>1390</v>
      </c>
      <c r="O44" s="382" t="s">
        <v>1390</v>
      </c>
      <c r="P44" s="382" t="s">
        <v>1390</v>
      </c>
      <c r="R44" s="386">
        <v>1</v>
      </c>
      <c r="S44" s="383" t="e">
        <f t="shared" si="42"/>
        <v>#DIV/0!</v>
      </c>
      <c r="T44" s="383" t="e">
        <f t="shared" si="42"/>
        <v>#DIV/0!</v>
      </c>
      <c r="U44" s="383" t="e">
        <f t="shared" si="42"/>
        <v>#DIV/0!</v>
      </c>
      <c r="V44" s="383" t="e">
        <f t="shared" si="42"/>
        <v>#DIV/0!</v>
      </c>
      <c r="W44" s="383" t="e">
        <f t="shared" si="42"/>
        <v>#DIV/0!</v>
      </c>
      <c r="X44" s="383" t="e">
        <f t="shared" si="42"/>
        <v>#DIV/0!</v>
      </c>
      <c r="Y44" s="383" t="e">
        <f t="shared" si="42"/>
        <v>#DIV/0!</v>
      </c>
      <c r="Z44" s="383" t="e">
        <f t="shared" si="42"/>
        <v>#DIV/0!</v>
      </c>
      <c r="AA44" s="383" t="e">
        <f t="shared" si="42"/>
        <v>#DIV/0!</v>
      </c>
      <c r="AB44" s="383" t="e">
        <f t="shared" si="42"/>
        <v>#DIV/0!</v>
      </c>
      <c r="AC44" s="383" t="e">
        <f t="shared" si="42"/>
        <v>#DIV/0!</v>
      </c>
      <c r="AD44" s="383" t="e">
        <f t="shared" si="42"/>
        <v>#DIV/0!</v>
      </c>
      <c r="AE44" s="386" t="s">
        <v>1396</v>
      </c>
      <c r="AF44" s="383" t="e">
        <f t="shared" si="58"/>
        <v>#DIV/0!</v>
      </c>
      <c r="AG44" s="383" t="e">
        <f t="shared" si="55"/>
        <v>#DIV/0!</v>
      </c>
      <c r="AH44" s="383" t="e">
        <f t="shared" si="55"/>
        <v>#DIV/0!</v>
      </c>
      <c r="AI44" s="383" t="e">
        <f t="shared" si="55"/>
        <v>#DIV/0!</v>
      </c>
      <c r="AJ44" s="383" t="e">
        <f t="shared" si="55"/>
        <v>#DIV/0!</v>
      </c>
      <c r="AK44" s="383" t="e">
        <f t="shared" si="55"/>
        <v>#DIV/0!</v>
      </c>
      <c r="AL44" s="383" t="e">
        <f t="shared" si="55"/>
        <v>#DIV/0!</v>
      </c>
      <c r="AM44" s="383" t="e">
        <f t="shared" si="55"/>
        <v>#DIV/0!</v>
      </c>
      <c r="AN44" s="383" t="e">
        <f t="shared" si="55"/>
        <v>#DIV/0!</v>
      </c>
      <c r="AO44" s="383" t="e">
        <f t="shared" si="55"/>
        <v>#DIV/0!</v>
      </c>
      <c r="AP44" s="383" t="e">
        <f t="shared" si="55"/>
        <v>#DIV/0!</v>
      </c>
      <c r="AQ44" s="383" t="e">
        <f t="shared" si="55"/>
        <v>#DIV/0!</v>
      </c>
      <c r="AR44" s="385" t="s">
        <v>1390</v>
      </c>
      <c r="AS44" s="383" t="e">
        <f t="shared" si="24"/>
        <v>#DIV/0!</v>
      </c>
      <c r="AT44" s="383" t="e">
        <f t="shared" si="24"/>
        <v>#DIV/0!</v>
      </c>
      <c r="AU44" s="383" t="e">
        <f t="shared" si="24"/>
        <v>#DIV/0!</v>
      </c>
      <c r="AV44" s="383" t="e">
        <f t="shared" si="24"/>
        <v>#DIV/0!</v>
      </c>
      <c r="AW44" s="383" t="e">
        <f t="shared" si="24"/>
        <v>#DIV/0!</v>
      </c>
      <c r="AX44" s="383" t="e">
        <f t="shared" si="24"/>
        <v>#DIV/0!</v>
      </c>
      <c r="AY44" s="383" t="e">
        <f t="shared" si="24"/>
        <v>#DIV/0!</v>
      </c>
      <c r="AZ44" s="383" t="e">
        <f t="shared" si="24"/>
        <v>#DIV/0!</v>
      </c>
      <c r="BA44" s="383" t="e">
        <f t="shared" si="24"/>
        <v>#DIV/0!</v>
      </c>
      <c r="BB44" s="383" t="e">
        <f t="shared" si="24"/>
        <v>#DIV/0!</v>
      </c>
      <c r="BC44" s="383" t="e">
        <f t="shared" si="24"/>
        <v>#DIV/0!</v>
      </c>
      <c r="BD44" s="383" t="e">
        <f t="shared" si="24"/>
        <v>#DIV/0!</v>
      </c>
      <c r="BE44" s="386">
        <v>0</v>
      </c>
      <c r="BF44" s="383" t="e">
        <f t="shared" si="25"/>
        <v>#DIV/0!</v>
      </c>
      <c r="BG44" s="383" t="e">
        <f t="shared" si="25"/>
        <v>#DIV/0!</v>
      </c>
      <c r="BH44" s="383" t="e">
        <f t="shared" si="25"/>
        <v>#DIV/0!</v>
      </c>
      <c r="BI44" s="383" t="e">
        <f t="shared" si="25"/>
        <v>#DIV/0!</v>
      </c>
      <c r="BJ44" s="383" t="e">
        <f t="shared" si="25"/>
        <v>#DIV/0!</v>
      </c>
      <c r="BK44" s="383" t="e">
        <f t="shared" si="25"/>
        <v>#DIV/0!</v>
      </c>
      <c r="BL44" s="383" t="e">
        <f t="shared" si="25"/>
        <v>#DIV/0!</v>
      </c>
      <c r="BM44" s="383" t="e">
        <f t="shared" si="25"/>
        <v>#DIV/0!</v>
      </c>
      <c r="BN44" s="383" t="e">
        <f t="shared" si="25"/>
        <v>#DIV/0!</v>
      </c>
      <c r="BO44" s="383" t="e">
        <f t="shared" si="25"/>
        <v>#DIV/0!</v>
      </c>
      <c r="BP44" s="383" t="e">
        <f t="shared" si="25"/>
        <v>#DIV/0!</v>
      </c>
      <c r="BQ44" s="383" t="e">
        <f t="shared" si="25"/>
        <v>#DIV/0!</v>
      </c>
      <c r="BR44" s="386">
        <v>1</v>
      </c>
      <c r="BS44" s="383" t="e">
        <f>IF(BF44="","",IF(BS$18=$BR44,"〇",""))</f>
        <v>#DIV/0!</v>
      </c>
      <c r="BT44" s="383" t="e">
        <f t="shared" si="56"/>
        <v>#DIV/0!</v>
      </c>
      <c r="BU44" s="383" t="e">
        <f t="shared" si="56"/>
        <v>#DIV/0!</v>
      </c>
      <c r="BV44" s="383" t="e">
        <f t="shared" si="56"/>
        <v>#DIV/0!</v>
      </c>
      <c r="BW44" s="383" t="e">
        <f t="shared" si="56"/>
        <v>#DIV/0!</v>
      </c>
      <c r="BX44" s="383" t="e">
        <f t="shared" si="56"/>
        <v>#DIV/0!</v>
      </c>
      <c r="BY44" s="383" t="e">
        <f t="shared" si="56"/>
        <v>#DIV/0!</v>
      </c>
      <c r="BZ44" s="383" t="e">
        <f t="shared" si="56"/>
        <v>#DIV/0!</v>
      </c>
      <c r="CA44" s="383" t="e">
        <f t="shared" si="56"/>
        <v>#DIV/0!</v>
      </c>
      <c r="CB44" s="383" t="e">
        <f t="shared" si="56"/>
        <v>#DIV/0!</v>
      </c>
      <c r="CC44" s="383" t="e">
        <f t="shared" si="56"/>
        <v>#DIV/0!</v>
      </c>
      <c r="CD44" s="383" t="e">
        <f t="shared" si="56"/>
        <v>#DIV/0!</v>
      </c>
      <c r="CE44" s="386" t="s">
        <v>1396</v>
      </c>
      <c r="CF44" s="383" t="e">
        <f>IF(BS44="","",IF(CF$18&gt;=1,"〇",""))</f>
        <v>#DIV/0!</v>
      </c>
      <c r="CG44" s="383" t="e">
        <f t="shared" ref="CG44:CQ44" si="61">IF(BT44="","",IF(CG$18&gt;=1,"〇",""))</f>
        <v>#DIV/0!</v>
      </c>
      <c r="CH44" s="383" t="e">
        <f t="shared" si="61"/>
        <v>#DIV/0!</v>
      </c>
      <c r="CI44" s="383" t="e">
        <f t="shared" si="61"/>
        <v>#DIV/0!</v>
      </c>
      <c r="CJ44" s="383" t="e">
        <f t="shared" si="61"/>
        <v>#DIV/0!</v>
      </c>
      <c r="CK44" s="383" t="e">
        <f t="shared" si="61"/>
        <v>#DIV/0!</v>
      </c>
      <c r="CL44" s="383" t="e">
        <f t="shared" si="61"/>
        <v>#DIV/0!</v>
      </c>
      <c r="CM44" s="383" t="e">
        <f t="shared" si="61"/>
        <v>#DIV/0!</v>
      </c>
      <c r="CN44" s="383" t="e">
        <f t="shared" si="61"/>
        <v>#DIV/0!</v>
      </c>
      <c r="CO44" s="383" t="e">
        <f t="shared" si="61"/>
        <v>#DIV/0!</v>
      </c>
      <c r="CP44" s="383" t="e">
        <f t="shared" si="61"/>
        <v>#DIV/0!</v>
      </c>
      <c r="CQ44" s="383" t="e">
        <f t="shared" si="61"/>
        <v>#DIV/0!</v>
      </c>
    </row>
    <row r="45" spans="3:95">
      <c r="C45" s="391">
        <v>1</v>
      </c>
      <c r="D45" s="391" t="s">
        <v>1404</v>
      </c>
      <c r="E45" s="382" t="s">
        <v>1390</v>
      </c>
      <c r="F45" s="382" t="s">
        <v>1390</v>
      </c>
      <c r="G45" s="382" t="s">
        <v>1390</v>
      </c>
      <c r="H45" s="382" t="s">
        <v>1390</v>
      </c>
      <c r="I45" s="389">
        <v>1</v>
      </c>
      <c r="J45" s="389" t="s">
        <v>1404</v>
      </c>
      <c r="K45" s="389">
        <v>1</v>
      </c>
      <c r="L45" s="389" t="s">
        <v>1404</v>
      </c>
      <c r="M45" s="382" t="s">
        <v>1390</v>
      </c>
      <c r="N45" s="382" t="s">
        <v>1390</v>
      </c>
      <c r="O45" s="382" t="s">
        <v>1390</v>
      </c>
      <c r="P45" s="382" t="s">
        <v>1390</v>
      </c>
      <c r="R45" s="386">
        <v>1</v>
      </c>
      <c r="S45" s="383" t="e">
        <f t="shared" si="42"/>
        <v>#DIV/0!</v>
      </c>
      <c r="T45" s="383" t="e">
        <f t="shared" si="42"/>
        <v>#DIV/0!</v>
      </c>
      <c r="U45" s="383" t="e">
        <f t="shared" si="42"/>
        <v>#DIV/0!</v>
      </c>
      <c r="V45" s="383" t="e">
        <f t="shared" si="42"/>
        <v>#DIV/0!</v>
      </c>
      <c r="W45" s="383" t="e">
        <f t="shared" si="42"/>
        <v>#DIV/0!</v>
      </c>
      <c r="X45" s="383" t="e">
        <f t="shared" si="42"/>
        <v>#DIV/0!</v>
      </c>
      <c r="Y45" s="383" t="e">
        <f t="shared" si="42"/>
        <v>#DIV/0!</v>
      </c>
      <c r="Z45" s="383" t="e">
        <f t="shared" si="42"/>
        <v>#DIV/0!</v>
      </c>
      <c r="AA45" s="383" t="e">
        <f t="shared" si="42"/>
        <v>#DIV/0!</v>
      </c>
      <c r="AB45" s="383" t="e">
        <f t="shared" si="42"/>
        <v>#DIV/0!</v>
      </c>
      <c r="AC45" s="383" t="e">
        <f t="shared" si="42"/>
        <v>#DIV/0!</v>
      </c>
      <c r="AD45" s="383" t="e">
        <f t="shared" si="42"/>
        <v>#DIV/0!</v>
      </c>
      <c r="AE45" s="386" t="s">
        <v>1396</v>
      </c>
      <c r="AF45" s="383" t="e">
        <f t="shared" si="58"/>
        <v>#DIV/0!</v>
      </c>
      <c r="AG45" s="383" t="e">
        <f t="shared" si="55"/>
        <v>#DIV/0!</v>
      </c>
      <c r="AH45" s="383" t="e">
        <f t="shared" si="55"/>
        <v>#DIV/0!</v>
      </c>
      <c r="AI45" s="383" t="e">
        <f t="shared" si="55"/>
        <v>#DIV/0!</v>
      </c>
      <c r="AJ45" s="383" t="e">
        <f t="shared" si="55"/>
        <v>#DIV/0!</v>
      </c>
      <c r="AK45" s="383" t="e">
        <f t="shared" si="55"/>
        <v>#DIV/0!</v>
      </c>
      <c r="AL45" s="383" t="e">
        <f t="shared" si="55"/>
        <v>#DIV/0!</v>
      </c>
      <c r="AM45" s="383" t="e">
        <f t="shared" si="55"/>
        <v>#DIV/0!</v>
      </c>
      <c r="AN45" s="383" t="e">
        <f t="shared" si="55"/>
        <v>#DIV/0!</v>
      </c>
      <c r="AO45" s="383" t="e">
        <f t="shared" si="55"/>
        <v>#DIV/0!</v>
      </c>
      <c r="AP45" s="383" t="e">
        <f t="shared" si="55"/>
        <v>#DIV/0!</v>
      </c>
      <c r="AQ45" s="383" t="e">
        <f t="shared" si="55"/>
        <v>#DIV/0!</v>
      </c>
      <c r="AR45" s="385" t="s">
        <v>1390</v>
      </c>
      <c r="AS45" s="383" t="e">
        <f t="shared" si="24"/>
        <v>#DIV/0!</v>
      </c>
      <c r="AT45" s="383" t="e">
        <f t="shared" si="24"/>
        <v>#DIV/0!</v>
      </c>
      <c r="AU45" s="383" t="e">
        <f t="shared" si="24"/>
        <v>#DIV/0!</v>
      </c>
      <c r="AV45" s="383" t="e">
        <f t="shared" si="24"/>
        <v>#DIV/0!</v>
      </c>
      <c r="AW45" s="383" t="e">
        <f t="shared" si="24"/>
        <v>#DIV/0!</v>
      </c>
      <c r="AX45" s="383" t="e">
        <f t="shared" si="24"/>
        <v>#DIV/0!</v>
      </c>
      <c r="AY45" s="383" t="e">
        <f t="shared" si="24"/>
        <v>#DIV/0!</v>
      </c>
      <c r="AZ45" s="383" t="e">
        <f t="shared" si="24"/>
        <v>#DIV/0!</v>
      </c>
      <c r="BA45" s="383" t="e">
        <f t="shared" si="24"/>
        <v>#DIV/0!</v>
      </c>
      <c r="BB45" s="383" t="e">
        <f t="shared" si="24"/>
        <v>#DIV/0!</v>
      </c>
      <c r="BC45" s="383" t="e">
        <f t="shared" si="24"/>
        <v>#DIV/0!</v>
      </c>
      <c r="BD45" s="383" t="e">
        <f t="shared" si="24"/>
        <v>#DIV/0!</v>
      </c>
      <c r="BE45" s="386">
        <v>0</v>
      </c>
      <c r="BF45" s="383" t="e">
        <f t="shared" si="25"/>
        <v>#DIV/0!</v>
      </c>
      <c r="BG45" s="383" t="e">
        <f t="shared" si="25"/>
        <v>#DIV/0!</v>
      </c>
      <c r="BH45" s="383" t="e">
        <f t="shared" si="25"/>
        <v>#DIV/0!</v>
      </c>
      <c r="BI45" s="383" t="e">
        <f t="shared" si="25"/>
        <v>#DIV/0!</v>
      </c>
      <c r="BJ45" s="383" t="e">
        <f t="shared" si="25"/>
        <v>#DIV/0!</v>
      </c>
      <c r="BK45" s="383" t="e">
        <f t="shared" si="25"/>
        <v>#DIV/0!</v>
      </c>
      <c r="BL45" s="383" t="e">
        <f t="shared" si="25"/>
        <v>#DIV/0!</v>
      </c>
      <c r="BM45" s="383" t="e">
        <f t="shared" si="25"/>
        <v>#DIV/0!</v>
      </c>
      <c r="BN45" s="383" t="e">
        <f t="shared" si="25"/>
        <v>#DIV/0!</v>
      </c>
      <c r="BO45" s="383" t="e">
        <f t="shared" si="25"/>
        <v>#DIV/0!</v>
      </c>
      <c r="BP45" s="383" t="e">
        <f t="shared" si="25"/>
        <v>#DIV/0!</v>
      </c>
      <c r="BQ45" s="383" t="e">
        <f t="shared" si="25"/>
        <v>#DIV/0!</v>
      </c>
      <c r="BR45" s="386" t="s">
        <v>1395</v>
      </c>
      <c r="BS45" s="383" t="e">
        <f>IF(BF45="","",IF(BS$18&gt;=2,"〇",""))</f>
        <v>#DIV/0!</v>
      </c>
      <c r="BT45" s="383" t="e">
        <f t="shared" ref="BT45:CD45" si="62">IF(BG45="","",IF(BT$18&gt;=2,"〇",""))</f>
        <v>#DIV/0!</v>
      </c>
      <c r="BU45" s="383" t="e">
        <f t="shared" si="62"/>
        <v>#DIV/0!</v>
      </c>
      <c r="BV45" s="383" t="e">
        <f t="shared" si="62"/>
        <v>#DIV/0!</v>
      </c>
      <c r="BW45" s="383" t="e">
        <f t="shared" si="62"/>
        <v>#DIV/0!</v>
      </c>
      <c r="BX45" s="383" t="e">
        <f t="shared" si="62"/>
        <v>#DIV/0!</v>
      </c>
      <c r="BY45" s="383" t="e">
        <f t="shared" si="62"/>
        <v>#DIV/0!</v>
      </c>
      <c r="BZ45" s="383" t="e">
        <f t="shared" si="62"/>
        <v>#DIV/0!</v>
      </c>
      <c r="CA45" s="383" t="e">
        <f t="shared" si="62"/>
        <v>#DIV/0!</v>
      </c>
      <c r="CB45" s="383" t="e">
        <f t="shared" si="62"/>
        <v>#DIV/0!</v>
      </c>
      <c r="CC45" s="383" t="e">
        <f t="shared" si="62"/>
        <v>#DIV/0!</v>
      </c>
      <c r="CD45" s="383" t="e">
        <f t="shared" si="62"/>
        <v>#DIV/0!</v>
      </c>
      <c r="CE45" s="386" t="s">
        <v>1390</v>
      </c>
      <c r="CF45" s="383" t="e">
        <f>IF(BS45="","","〇")</f>
        <v>#DIV/0!</v>
      </c>
      <c r="CG45" s="383" t="e">
        <f t="shared" ref="CG45:CQ45" si="63">IF(BT45="","","〇")</f>
        <v>#DIV/0!</v>
      </c>
      <c r="CH45" s="383" t="e">
        <f t="shared" si="63"/>
        <v>#DIV/0!</v>
      </c>
      <c r="CI45" s="383" t="e">
        <f t="shared" si="63"/>
        <v>#DIV/0!</v>
      </c>
      <c r="CJ45" s="383" t="e">
        <f t="shared" si="63"/>
        <v>#DIV/0!</v>
      </c>
      <c r="CK45" s="383" t="e">
        <f t="shared" si="63"/>
        <v>#DIV/0!</v>
      </c>
      <c r="CL45" s="383" t="e">
        <f t="shared" si="63"/>
        <v>#DIV/0!</v>
      </c>
      <c r="CM45" s="383" t="e">
        <f t="shared" si="63"/>
        <v>#DIV/0!</v>
      </c>
      <c r="CN45" s="383" t="e">
        <f t="shared" si="63"/>
        <v>#DIV/0!</v>
      </c>
      <c r="CO45" s="383" t="e">
        <f t="shared" si="63"/>
        <v>#DIV/0!</v>
      </c>
      <c r="CP45" s="383" t="e">
        <f t="shared" si="63"/>
        <v>#DIV/0!</v>
      </c>
      <c r="CQ45" s="383" t="e">
        <f t="shared" si="63"/>
        <v>#DIV/0!</v>
      </c>
    </row>
    <row r="46" spans="3:95">
      <c r="C46" s="391">
        <v>1</v>
      </c>
      <c r="D46" s="391" t="s">
        <v>1404</v>
      </c>
      <c r="E46" s="382" t="s">
        <v>1390</v>
      </c>
      <c r="F46" s="382" t="s">
        <v>1390</v>
      </c>
      <c r="G46" s="382" t="s">
        <v>1390</v>
      </c>
      <c r="H46" s="382" t="s">
        <v>1390</v>
      </c>
      <c r="I46" s="390">
        <v>1</v>
      </c>
      <c r="J46" s="390" t="s">
        <v>1405</v>
      </c>
      <c r="K46" s="382" t="s">
        <v>1390</v>
      </c>
      <c r="L46" s="382" t="s">
        <v>1390</v>
      </c>
      <c r="M46" s="382" t="s">
        <v>1390</v>
      </c>
      <c r="N46" s="382" t="s">
        <v>1390</v>
      </c>
      <c r="O46" s="382" t="s">
        <v>1390</v>
      </c>
      <c r="P46" s="382" t="s">
        <v>1390</v>
      </c>
      <c r="R46" s="386">
        <v>1</v>
      </c>
      <c r="S46" s="383" t="e">
        <f t="shared" si="42"/>
        <v>#DIV/0!</v>
      </c>
      <c r="T46" s="383" t="e">
        <f t="shared" si="42"/>
        <v>#DIV/0!</v>
      </c>
      <c r="U46" s="383" t="e">
        <f t="shared" si="42"/>
        <v>#DIV/0!</v>
      </c>
      <c r="V46" s="383" t="e">
        <f t="shared" si="42"/>
        <v>#DIV/0!</v>
      </c>
      <c r="W46" s="383" t="e">
        <f t="shared" si="42"/>
        <v>#DIV/0!</v>
      </c>
      <c r="X46" s="383" t="e">
        <f t="shared" si="42"/>
        <v>#DIV/0!</v>
      </c>
      <c r="Y46" s="383" t="e">
        <f t="shared" si="42"/>
        <v>#DIV/0!</v>
      </c>
      <c r="Z46" s="383" t="e">
        <f t="shared" si="42"/>
        <v>#DIV/0!</v>
      </c>
      <c r="AA46" s="383" t="e">
        <f t="shared" si="42"/>
        <v>#DIV/0!</v>
      </c>
      <c r="AB46" s="383" t="e">
        <f t="shared" si="42"/>
        <v>#DIV/0!</v>
      </c>
      <c r="AC46" s="383" t="e">
        <f t="shared" si="42"/>
        <v>#DIV/0!</v>
      </c>
      <c r="AD46" s="383" t="e">
        <f t="shared" si="42"/>
        <v>#DIV/0!</v>
      </c>
      <c r="AE46" s="386" t="s">
        <v>1396</v>
      </c>
      <c r="AF46" s="383" t="e">
        <f t="shared" si="58"/>
        <v>#DIV/0!</v>
      </c>
      <c r="AG46" s="383" t="e">
        <f t="shared" si="55"/>
        <v>#DIV/0!</v>
      </c>
      <c r="AH46" s="383" t="e">
        <f t="shared" si="55"/>
        <v>#DIV/0!</v>
      </c>
      <c r="AI46" s="383" t="e">
        <f t="shared" si="55"/>
        <v>#DIV/0!</v>
      </c>
      <c r="AJ46" s="383" t="e">
        <f t="shared" si="55"/>
        <v>#DIV/0!</v>
      </c>
      <c r="AK46" s="383" t="e">
        <f t="shared" si="55"/>
        <v>#DIV/0!</v>
      </c>
      <c r="AL46" s="383" t="e">
        <f t="shared" si="55"/>
        <v>#DIV/0!</v>
      </c>
      <c r="AM46" s="383" t="e">
        <f t="shared" si="55"/>
        <v>#DIV/0!</v>
      </c>
      <c r="AN46" s="383" t="e">
        <f t="shared" si="55"/>
        <v>#DIV/0!</v>
      </c>
      <c r="AO46" s="383" t="e">
        <f t="shared" si="55"/>
        <v>#DIV/0!</v>
      </c>
      <c r="AP46" s="383" t="e">
        <f t="shared" si="55"/>
        <v>#DIV/0!</v>
      </c>
      <c r="AQ46" s="383" t="e">
        <f t="shared" si="55"/>
        <v>#DIV/0!</v>
      </c>
      <c r="AR46" s="385" t="s">
        <v>1390</v>
      </c>
      <c r="AS46" s="383" t="e">
        <f t="shared" si="24"/>
        <v>#DIV/0!</v>
      </c>
      <c r="AT46" s="383" t="e">
        <f t="shared" si="24"/>
        <v>#DIV/0!</v>
      </c>
      <c r="AU46" s="383" t="e">
        <f t="shared" si="24"/>
        <v>#DIV/0!</v>
      </c>
      <c r="AV46" s="383" t="e">
        <f t="shared" si="24"/>
        <v>#DIV/0!</v>
      </c>
      <c r="AW46" s="383" t="e">
        <f t="shared" si="24"/>
        <v>#DIV/0!</v>
      </c>
      <c r="AX46" s="383" t="e">
        <f t="shared" si="24"/>
        <v>#DIV/0!</v>
      </c>
      <c r="AY46" s="383" t="e">
        <f t="shared" si="24"/>
        <v>#DIV/0!</v>
      </c>
      <c r="AZ46" s="383" t="e">
        <f t="shared" si="24"/>
        <v>#DIV/0!</v>
      </c>
      <c r="BA46" s="383" t="e">
        <f t="shared" si="24"/>
        <v>#DIV/0!</v>
      </c>
      <c r="BB46" s="383" t="e">
        <f t="shared" si="24"/>
        <v>#DIV/0!</v>
      </c>
      <c r="BC46" s="383" t="e">
        <f t="shared" si="24"/>
        <v>#DIV/0!</v>
      </c>
      <c r="BD46" s="383" t="e">
        <f t="shared" si="24"/>
        <v>#DIV/0!</v>
      </c>
      <c r="BE46" s="386">
        <v>1</v>
      </c>
      <c r="BF46" s="383" t="e">
        <f t="shared" si="25"/>
        <v>#DIV/0!</v>
      </c>
      <c r="BG46" s="383" t="e">
        <f t="shared" si="25"/>
        <v>#DIV/0!</v>
      </c>
      <c r="BH46" s="383" t="e">
        <f t="shared" si="25"/>
        <v>#DIV/0!</v>
      </c>
      <c r="BI46" s="383" t="e">
        <f t="shared" si="25"/>
        <v>#DIV/0!</v>
      </c>
      <c r="BJ46" s="383" t="e">
        <f t="shared" si="25"/>
        <v>#DIV/0!</v>
      </c>
      <c r="BK46" s="383" t="e">
        <f t="shared" si="25"/>
        <v>#DIV/0!</v>
      </c>
      <c r="BL46" s="383" t="e">
        <f t="shared" si="25"/>
        <v>#DIV/0!</v>
      </c>
      <c r="BM46" s="383" t="e">
        <f t="shared" si="25"/>
        <v>#DIV/0!</v>
      </c>
      <c r="BN46" s="383" t="e">
        <f t="shared" si="25"/>
        <v>#DIV/0!</v>
      </c>
      <c r="BO46" s="383" t="e">
        <f t="shared" si="25"/>
        <v>#DIV/0!</v>
      </c>
      <c r="BP46" s="383" t="e">
        <f t="shared" si="25"/>
        <v>#DIV/0!</v>
      </c>
      <c r="BQ46" s="383" t="e">
        <f t="shared" si="25"/>
        <v>#DIV/0!</v>
      </c>
      <c r="BR46" s="386">
        <v>0</v>
      </c>
      <c r="BS46" s="383" t="e">
        <f>IF(BF46="","",IF(BS$18=$BR46,"〇",""))</f>
        <v>#DIV/0!</v>
      </c>
      <c r="BT46" s="383" t="e">
        <f t="shared" ref="BT46:CD47" si="64">IF(BG46="","",IF(BT$18=$BR46,"〇",""))</f>
        <v>#DIV/0!</v>
      </c>
      <c r="BU46" s="383" t="e">
        <f t="shared" si="64"/>
        <v>#DIV/0!</v>
      </c>
      <c r="BV46" s="383" t="e">
        <f t="shared" si="64"/>
        <v>#DIV/0!</v>
      </c>
      <c r="BW46" s="383" t="e">
        <f t="shared" si="64"/>
        <v>#DIV/0!</v>
      </c>
      <c r="BX46" s="383" t="e">
        <f t="shared" si="64"/>
        <v>#DIV/0!</v>
      </c>
      <c r="BY46" s="383" t="e">
        <f t="shared" si="64"/>
        <v>#DIV/0!</v>
      </c>
      <c r="BZ46" s="383" t="e">
        <f t="shared" si="64"/>
        <v>#DIV/0!</v>
      </c>
      <c r="CA46" s="383" t="e">
        <f t="shared" si="64"/>
        <v>#DIV/0!</v>
      </c>
      <c r="CB46" s="383" t="e">
        <f t="shared" si="64"/>
        <v>#DIV/0!</v>
      </c>
      <c r="CC46" s="383" t="e">
        <f t="shared" si="64"/>
        <v>#DIV/0!</v>
      </c>
      <c r="CD46" s="383" t="e">
        <f t="shared" si="64"/>
        <v>#DIV/0!</v>
      </c>
      <c r="CE46" s="386">
        <v>0</v>
      </c>
      <c r="CF46" s="383" t="e">
        <f>IF(BS46="","",IF(CF$18=$CE46,"〇",""))</f>
        <v>#DIV/0!</v>
      </c>
      <c r="CG46" s="383" t="e">
        <f t="shared" ref="CG46:CQ46" si="65">IF(BT46="","",IF(CG$18=$CE46,"〇",""))</f>
        <v>#DIV/0!</v>
      </c>
      <c r="CH46" s="383" t="e">
        <f t="shared" si="65"/>
        <v>#DIV/0!</v>
      </c>
      <c r="CI46" s="383" t="e">
        <f t="shared" si="65"/>
        <v>#DIV/0!</v>
      </c>
      <c r="CJ46" s="383" t="e">
        <f t="shared" si="65"/>
        <v>#DIV/0!</v>
      </c>
      <c r="CK46" s="383" t="e">
        <f t="shared" si="65"/>
        <v>#DIV/0!</v>
      </c>
      <c r="CL46" s="383" t="e">
        <f t="shared" si="65"/>
        <v>#DIV/0!</v>
      </c>
      <c r="CM46" s="383" t="e">
        <f t="shared" si="65"/>
        <v>#DIV/0!</v>
      </c>
      <c r="CN46" s="383" t="e">
        <f t="shared" si="65"/>
        <v>#DIV/0!</v>
      </c>
      <c r="CO46" s="383" t="e">
        <f t="shared" si="65"/>
        <v>#DIV/0!</v>
      </c>
      <c r="CP46" s="383" t="e">
        <f t="shared" si="65"/>
        <v>#DIV/0!</v>
      </c>
      <c r="CQ46" s="383" t="e">
        <f t="shared" si="65"/>
        <v>#DIV/0!</v>
      </c>
    </row>
    <row r="47" spans="3:95">
      <c r="C47" s="391">
        <v>1</v>
      </c>
      <c r="D47" s="391" t="s">
        <v>1404</v>
      </c>
      <c r="E47" s="382" t="s">
        <v>1390</v>
      </c>
      <c r="F47" s="382" t="s">
        <v>1390</v>
      </c>
      <c r="G47" s="382" t="s">
        <v>1390</v>
      </c>
      <c r="H47" s="382" t="s">
        <v>1390</v>
      </c>
      <c r="I47" s="390">
        <v>1</v>
      </c>
      <c r="J47" s="390" t="s">
        <v>1405</v>
      </c>
      <c r="K47" s="387">
        <v>1</v>
      </c>
      <c r="L47" s="387" t="s">
        <v>1393</v>
      </c>
      <c r="M47" s="382" t="s">
        <v>1390</v>
      </c>
      <c r="N47" s="382" t="s">
        <v>1390</v>
      </c>
      <c r="O47" s="382" t="s">
        <v>1390</v>
      </c>
      <c r="P47" s="382" t="s">
        <v>1390</v>
      </c>
      <c r="R47" s="386">
        <v>1</v>
      </c>
      <c r="S47" s="383" t="e">
        <f t="shared" si="42"/>
        <v>#DIV/0!</v>
      </c>
      <c r="T47" s="383" t="e">
        <f t="shared" si="42"/>
        <v>#DIV/0!</v>
      </c>
      <c r="U47" s="383" t="e">
        <f t="shared" si="42"/>
        <v>#DIV/0!</v>
      </c>
      <c r="V47" s="383" t="e">
        <f t="shared" si="42"/>
        <v>#DIV/0!</v>
      </c>
      <c r="W47" s="383" t="e">
        <f t="shared" si="42"/>
        <v>#DIV/0!</v>
      </c>
      <c r="X47" s="383" t="e">
        <f t="shared" si="42"/>
        <v>#DIV/0!</v>
      </c>
      <c r="Y47" s="383" t="e">
        <f t="shared" si="42"/>
        <v>#DIV/0!</v>
      </c>
      <c r="Z47" s="383" t="e">
        <f t="shared" si="42"/>
        <v>#DIV/0!</v>
      </c>
      <c r="AA47" s="383" t="e">
        <f t="shared" si="42"/>
        <v>#DIV/0!</v>
      </c>
      <c r="AB47" s="383" t="e">
        <f t="shared" si="42"/>
        <v>#DIV/0!</v>
      </c>
      <c r="AC47" s="383" t="e">
        <f t="shared" si="42"/>
        <v>#DIV/0!</v>
      </c>
      <c r="AD47" s="383" t="e">
        <f t="shared" si="42"/>
        <v>#DIV/0!</v>
      </c>
      <c r="AE47" s="386" t="s">
        <v>1396</v>
      </c>
      <c r="AF47" s="383" t="e">
        <f t="shared" si="58"/>
        <v>#DIV/0!</v>
      </c>
      <c r="AG47" s="383" t="e">
        <f t="shared" si="55"/>
        <v>#DIV/0!</v>
      </c>
      <c r="AH47" s="383" t="e">
        <f t="shared" si="55"/>
        <v>#DIV/0!</v>
      </c>
      <c r="AI47" s="383" t="e">
        <f t="shared" si="55"/>
        <v>#DIV/0!</v>
      </c>
      <c r="AJ47" s="383" t="e">
        <f t="shared" si="55"/>
        <v>#DIV/0!</v>
      </c>
      <c r="AK47" s="383" t="e">
        <f t="shared" si="55"/>
        <v>#DIV/0!</v>
      </c>
      <c r="AL47" s="383" t="e">
        <f t="shared" si="55"/>
        <v>#DIV/0!</v>
      </c>
      <c r="AM47" s="383" t="e">
        <f t="shared" si="55"/>
        <v>#DIV/0!</v>
      </c>
      <c r="AN47" s="383" t="e">
        <f t="shared" si="55"/>
        <v>#DIV/0!</v>
      </c>
      <c r="AO47" s="383" t="e">
        <f t="shared" si="55"/>
        <v>#DIV/0!</v>
      </c>
      <c r="AP47" s="383" t="e">
        <f t="shared" si="55"/>
        <v>#DIV/0!</v>
      </c>
      <c r="AQ47" s="383" t="e">
        <f t="shared" si="55"/>
        <v>#DIV/0!</v>
      </c>
      <c r="AR47" s="385" t="s">
        <v>1390</v>
      </c>
      <c r="AS47" s="383" t="e">
        <f t="shared" si="24"/>
        <v>#DIV/0!</v>
      </c>
      <c r="AT47" s="383" t="e">
        <f t="shared" si="24"/>
        <v>#DIV/0!</v>
      </c>
      <c r="AU47" s="383" t="e">
        <f t="shared" si="24"/>
        <v>#DIV/0!</v>
      </c>
      <c r="AV47" s="383" t="e">
        <f t="shared" si="24"/>
        <v>#DIV/0!</v>
      </c>
      <c r="AW47" s="383" t="e">
        <f t="shared" si="24"/>
        <v>#DIV/0!</v>
      </c>
      <c r="AX47" s="383" t="e">
        <f t="shared" si="24"/>
        <v>#DIV/0!</v>
      </c>
      <c r="AY47" s="383" t="e">
        <f t="shared" si="24"/>
        <v>#DIV/0!</v>
      </c>
      <c r="AZ47" s="383" t="e">
        <f t="shared" si="24"/>
        <v>#DIV/0!</v>
      </c>
      <c r="BA47" s="383" t="e">
        <f t="shared" si="24"/>
        <v>#DIV/0!</v>
      </c>
      <c r="BB47" s="383" t="e">
        <f t="shared" si="24"/>
        <v>#DIV/0!</v>
      </c>
      <c r="BC47" s="383" t="e">
        <f t="shared" si="24"/>
        <v>#DIV/0!</v>
      </c>
      <c r="BD47" s="383" t="e">
        <f t="shared" si="24"/>
        <v>#DIV/0!</v>
      </c>
      <c r="BE47" s="386">
        <v>1</v>
      </c>
      <c r="BF47" s="383" t="e">
        <f t="shared" si="25"/>
        <v>#DIV/0!</v>
      </c>
      <c r="BG47" s="383" t="e">
        <f t="shared" si="25"/>
        <v>#DIV/0!</v>
      </c>
      <c r="BH47" s="383" t="e">
        <f t="shared" si="25"/>
        <v>#DIV/0!</v>
      </c>
      <c r="BI47" s="383" t="e">
        <f t="shared" si="25"/>
        <v>#DIV/0!</v>
      </c>
      <c r="BJ47" s="383" t="e">
        <f t="shared" si="25"/>
        <v>#DIV/0!</v>
      </c>
      <c r="BK47" s="383" t="e">
        <f t="shared" si="25"/>
        <v>#DIV/0!</v>
      </c>
      <c r="BL47" s="383" t="e">
        <f t="shared" si="25"/>
        <v>#DIV/0!</v>
      </c>
      <c r="BM47" s="383" t="e">
        <f t="shared" si="25"/>
        <v>#DIV/0!</v>
      </c>
      <c r="BN47" s="383" t="e">
        <f t="shared" si="25"/>
        <v>#DIV/0!</v>
      </c>
      <c r="BO47" s="383" t="e">
        <f t="shared" si="25"/>
        <v>#DIV/0!</v>
      </c>
      <c r="BP47" s="383" t="e">
        <f t="shared" si="25"/>
        <v>#DIV/0!</v>
      </c>
      <c r="BQ47" s="383" t="e">
        <f t="shared" si="25"/>
        <v>#DIV/0!</v>
      </c>
      <c r="BR47" s="386">
        <v>0</v>
      </c>
      <c r="BS47" s="383" t="e">
        <f>IF(BF47="","",IF(BS$18=$BR47,"〇",""))</f>
        <v>#DIV/0!</v>
      </c>
      <c r="BT47" s="383" t="e">
        <f t="shared" si="64"/>
        <v>#DIV/0!</v>
      </c>
      <c r="BU47" s="383" t="e">
        <f t="shared" si="64"/>
        <v>#DIV/0!</v>
      </c>
      <c r="BV47" s="383" t="e">
        <f t="shared" si="64"/>
        <v>#DIV/0!</v>
      </c>
      <c r="BW47" s="383" t="e">
        <f t="shared" si="64"/>
        <v>#DIV/0!</v>
      </c>
      <c r="BX47" s="383" t="e">
        <f t="shared" si="64"/>
        <v>#DIV/0!</v>
      </c>
      <c r="BY47" s="383" t="e">
        <f t="shared" si="64"/>
        <v>#DIV/0!</v>
      </c>
      <c r="BZ47" s="383" t="e">
        <f t="shared" si="64"/>
        <v>#DIV/0!</v>
      </c>
      <c r="CA47" s="383" t="e">
        <f t="shared" si="64"/>
        <v>#DIV/0!</v>
      </c>
      <c r="CB47" s="383" t="e">
        <f t="shared" si="64"/>
        <v>#DIV/0!</v>
      </c>
      <c r="CC47" s="383" t="e">
        <f t="shared" si="64"/>
        <v>#DIV/0!</v>
      </c>
      <c r="CD47" s="383" t="e">
        <f t="shared" si="64"/>
        <v>#DIV/0!</v>
      </c>
      <c r="CE47" s="386" t="s">
        <v>1396</v>
      </c>
      <c r="CF47" s="383" t="e">
        <f>IF(BS47="","",IF(CF$18&gt;=1,"〇",""))</f>
        <v>#DIV/0!</v>
      </c>
      <c r="CG47" s="383" t="e">
        <f t="shared" ref="CG47:CQ47" si="66">IF(BT47="","",IF(CG$18&gt;=1,"〇",""))</f>
        <v>#DIV/0!</v>
      </c>
      <c r="CH47" s="383" t="e">
        <f t="shared" si="66"/>
        <v>#DIV/0!</v>
      </c>
      <c r="CI47" s="383" t="e">
        <f t="shared" si="66"/>
        <v>#DIV/0!</v>
      </c>
      <c r="CJ47" s="383" t="e">
        <f t="shared" si="66"/>
        <v>#DIV/0!</v>
      </c>
      <c r="CK47" s="383" t="e">
        <f t="shared" si="66"/>
        <v>#DIV/0!</v>
      </c>
      <c r="CL47" s="383" t="e">
        <f t="shared" si="66"/>
        <v>#DIV/0!</v>
      </c>
      <c r="CM47" s="383" t="e">
        <f t="shared" si="66"/>
        <v>#DIV/0!</v>
      </c>
      <c r="CN47" s="383" t="e">
        <f t="shared" si="66"/>
        <v>#DIV/0!</v>
      </c>
      <c r="CO47" s="383" t="e">
        <f t="shared" si="66"/>
        <v>#DIV/0!</v>
      </c>
      <c r="CP47" s="383" t="e">
        <f t="shared" si="66"/>
        <v>#DIV/0!</v>
      </c>
      <c r="CQ47" s="383" t="e">
        <f t="shared" si="66"/>
        <v>#DIV/0!</v>
      </c>
    </row>
    <row r="48" spans="3:95">
      <c r="C48" s="391">
        <v>1</v>
      </c>
      <c r="D48" s="391" t="s">
        <v>1404</v>
      </c>
      <c r="E48" s="382" t="s">
        <v>1390</v>
      </c>
      <c r="F48" s="382" t="s">
        <v>1390</v>
      </c>
      <c r="G48" s="382" t="s">
        <v>1390</v>
      </c>
      <c r="H48" s="382" t="s">
        <v>1390</v>
      </c>
      <c r="I48" s="390">
        <v>1</v>
      </c>
      <c r="J48" s="390" t="s">
        <v>1405</v>
      </c>
      <c r="K48" s="389">
        <v>1</v>
      </c>
      <c r="L48" s="389" t="s">
        <v>1404</v>
      </c>
      <c r="M48" s="382" t="s">
        <v>1390</v>
      </c>
      <c r="N48" s="382" t="s">
        <v>1390</v>
      </c>
      <c r="O48" s="382" t="s">
        <v>1390</v>
      </c>
      <c r="P48" s="382" t="s">
        <v>1390</v>
      </c>
      <c r="R48" s="386">
        <v>1</v>
      </c>
      <c r="S48" s="383" t="e">
        <f t="shared" si="42"/>
        <v>#DIV/0!</v>
      </c>
      <c r="T48" s="383" t="e">
        <f t="shared" si="42"/>
        <v>#DIV/0!</v>
      </c>
      <c r="U48" s="383" t="e">
        <f t="shared" si="42"/>
        <v>#DIV/0!</v>
      </c>
      <c r="V48" s="383" t="e">
        <f t="shared" si="42"/>
        <v>#DIV/0!</v>
      </c>
      <c r="W48" s="383" t="e">
        <f t="shared" si="42"/>
        <v>#DIV/0!</v>
      </c>
      <c r="X48" s="383" t="e">
        <f t="shared" si="42"/>
        <v>#DIV/0!</v>
      </c>
      <c r="Y48" s="383" t="e">
        <f t="shared" si="42"/>
        <v>#DIV/0!</v>
      </c>
      <c r="Z48" s="383" t="e">
        <f t="shared" si="42"/>
        <v>#DIV/0!</v>
      </c>
      <c r="AA48" s="383" t="e">
        <f t="shared" si="42"/>
        <v>#DIV/0!</v>
      </c>
      <c r="AB48" s="383" t="e">
        <f t="shared" si="42"/>
        <v>#DIV/0!</v>
      </c>
      <c r="AC48" s="383" t="e">
        <f t="shared" si="42"/>
        <v>#DIV/0!</v>
      </c>
      <c r="AD48" s="383" t="e">
        <f t="shared" si="42"/>
        <v>#DIV/0!</v>
      </c>
      <c r="AE48" s="386" t="s">
        <v>1396</v>
      </c>
      <c r="AF48" s="383" t="e">
        <f t="shared" si="58"/>
        <v>#DIV/0!</v>
      </c>
      <c r="AG48" s="383" t="e">
        <f t="shared" si="55"/>
        <v>#DIV/0!</v>
      </c>
      <c r="AH48" s="383" t="e">
        <f t="shared" si="55"/>
        <v>#DIV/0!</v>
      </c>
      <c r="AI48" s="383" t="e">
        <f t="shared" si="55"/>
        <v>#DIV/0!</v>
      </c>
      <c r="AJ48" s="383" t="e">
        <f t="shared" si="55"/>
        <v>#DIV/0!</v>
      </c>
      <c r="AK48" s="383" t="e">
        <f t="shared" si="55"/>
        <v>#DIV/0!</v>
      </c>
      <c r="AL48" s="383" t="e">
        <f t="shared" si="55"/>
        <v>#DIV/0!</v>
      </c>
      <c r="AM48" s="383" t="e">
        <f t="shared" si="55"/>
        <v>#DIV/0!</v>
      </c>
      <c r="AN48" s="383" t="e">
        <f t="shared" si="55"/>
        <v>#DIV/0!</v>
      </c>
      <c r="AO48" s="383" t="e">
        <f t="shared" si="55"/>
        <v>#DIV/0!</v>
      </c>
      <c r="AP48" s="383" t="e">
        <f t="shared" si="55"/>
        <v>#DIV/0!</v>
      </c>
      <c r="AQ48" s="383" t="e">
        <f t="shared" si="55"/>
        <v>#DIV/0!</v>
      </c>
      <c r="AR48" s="385" t="s">
        <v>1390</v>
      </c>
      <c r="AS48" s="383" t="e">
        <f t="shared" si="24"/>
        <v>#DIV/0!</v>
      </c>
      <c r="AT48" s="383" t="e">
        <f t="shared" si="24"/>
        <v>#DIV/0!</v>
      </c>
      <c r="AU48" s="383" t="e">
        <f t="shared" si="24"/>
        <v>#DIV/0!</v>
      </c>
      <c r="AV48" s="383" t="e">
        <f t="shared" si="24"/>
        <v>#DIV/0!</v>
      </c>
      <c r="AW48" s="383" t="e">
        <f t="shared" si="24"/>
        <v>#DIV/0!</v>
      </c>
      <c r="AX48" s="383" t="e">
        <f t="shared" si="24"/>
        <v>#DIV/0!</v>
      </c>
      <c r="AY48" s="383" t="e">
        <f t="shared" si="24"/>
        <v>#DIV/0!</v>
      </c>
      <c r="AZ48" s="383" t="e">
        <f t="shared" si="24"/>
        <v>#DIV/0!</v>
      </c>
      <c r="BA48" s="383" t="e">
        <f t="shared" si="24"/>
        <v>#DIV/0!</v>
      </c>
      <c r="BB48" s="383" t="e">
        <f t="shared" si="24"/>
        <v>#DIV/0!</v>
      </c>
      <c r="BC48" s="383" t="e">
        <f t="shared" si="24"/>
        <v>#DIV/0!</v>
      </c>
      <c r="BD48" s="383" t="e">
        <f t="shared" si="24"/>
        <v>#DIV/0!</v>
      </c>
      <c r="BE48" s="386">
        <v>1</v>
      </c>
      <c r="BF48" s="383" t="e">
        <f t="shared" si="25"/>
        <v>#DIV/0!</v>
      </c>
      <c r="BG48" s="383" t="e">
        <f t="shared" si="25"/>
        <v>#DIV/0!</v>
      </c>
      <c r="BH48" s="383" t="e">
        <f t="shared" si="25"/>
        <v>#DIV/0!</v>
      </c>
      <c r="BI48" s="383" t="e">
        <f t="shared" si="25"/>
        <v>#DIV/0!</v>
      </c>
      <c r="BJ48" s="383" t="e">
        <f t="shared" si="25"/>
        <v>#DIV/0!</v>
      </c>
      <c r="BK48" s="383" t="e">
        <f t="shared" si="25"/>
        <v>#DIV/0!</v>
      </c>
      <c r="BL48" s="383" t="e">
        <f t="shared" si="25"/>
        <v>#DIV/0!</v>
      </c>
      <c r="BM48" s="383" t="e">
        <f t="shared" si="25"/>
        <v>#DIV/0!</v>
      </c>
      <c r="BN48" s="383" t="e">
        <f t="shared" si="25"/>
        <v>#DIV/0!</v>
      </c>
      <c r="BO48" s="383" t="e">
        <f t="shared" si="25"/>
        <v>#DIV/0!</v>
      </c>
      <c r="BP48" s="383" t="e">
        <f t="shared" si="25"/>
        <v>#DIV/0!</v>
      </c>
      <c r="BQ48" s="383" t="e">
        <f t="shared" si="25"/>
        <v>#DIV/0!</v>
      </c>
      <c r="BR48" s="386" t="s">
        <v>1396</v>
      </c>
      <c r="BS48" s="383" t="e">
        <f>IF(BF48="","",IF(BS$18&gt;=1,"〇",""))</f>
        <v>#DIV/0!</v>
      </c>
      <c r="BT48" s="383" t="e">
        <f t="shared" ref="BT48:CD48" si="67">IF(BG48="","",IF(BT$18&gt;=1,"〇",""))</f>
        <v>#DIV/0!</v>
      </c>
      <c r="BU48" s="383" t="e">
        <f t="shared" si="67"/>
        <v>#DIV/0!</v>
      </c>
      <c r="BV48" s="383" t="e">
        <f t="shared" si="67"/>
        <v>#DIV/0!</v>
      </c>
      <c r="BW48" s="383" t="e">
        <f t="shared" si="67"/>
        <v>#DIV/0!</v>
      </c>
      <c r="BX48" s="383" t="e">
        <f t="shared" si="67"/>
        <v>#DIV/0!</v>
      </c>
      <c r="BY48" s="383" t="e">
        <f t="shared" si="67"/>
        <v>#DIV/0!</v>
      </c>
      <c r="BZ48" s="383" t="e">
        <f t="shared" si="67"/>
        <v>#DIV/0!</v>
      </c>
      <c r="CA48" s="383" t="e">
        <f t="shared" si="67"/>
        <v>#DIV/0!</v>
      </c>
      <c r="CB48" s="383" t="e">
        <f t="shared" si="67"/>
        <v>#DIV/0!</v>
      </c>
      <c r="CC48" s="383" t="e">
        <f t="shared" si="67"/>
        <v>#DIV/0!</v>
      </c>
      <c r="CD48" s="383" t="e">
        <f t="shared" si="67"/>
        <v>#DIV/0!</v>
      </c>
      <c r="CE48" s="386" t="s">
        <v>1390</v>
      </c>
      <c r="CF48" s="383" t="e">
        <f t="shared" ref="CF48:CQ49" si="68">IF(BS48="","","〇")</f>
        <v>#DIV/0!</v>
      </c>
      <c r="CG48" s="383" t="e">
        <f t="shared" si="68"/>
        <v>#DIV/0!</v>
      </c>
      <c r="CH48" s="383" t="e">
        <f t="shared" si="68"/>
        <v>#DIV/0!</v>
      </c>
      <c r="CI48" s="383" t="e">
        <f t="shared" si="68"/>
        <v>#DIV/0!</v>
      </c>
      <c r="CJ48" s="383" t="e">
        <f t="shared" si="68"/>
        <v>#DIV/0!</v>
      </c>
      <c r="CK48" s="383" t="e">
        <f t="shared" si="68"/>
        <v>#DIV/0!</v>
      </c>
      <c r="CL48" s="383" t="e">
        <f t="shared" si="68"/>
        <v>#DIV/0!</v>
      </c>
      <c r="CM48" s="383" t="e">
        <f t="shared" si="68"/>
        <v>#DIV/0!</v>
      </c>
      <c r="CN48" s="383" t="e">
        <f t="shared" si="68"/>
        <v>#DIV/0!</v>
      </c>
      <c r="CO48" s="383" t="e">
        <f t="shared" si="68"/>
        <v>#DIV/0!</v>
      </c>
      <c r="CP48" s="383" t="e">
        <f t="shared" si="68"/>
        <v>#DIV/0!</v>
      </c>
      <c r="CQ48" s="383" t="e">
        <f t="shared" si="68"/>
        <v>#DIV/0!</v>
      </c>
    </row>
    <row r="49" spans="3:95">
      <c r="C49" s="391">
        <v>1</v>
      </c>
      <c r="D49" s="391" t="s">
        <v>1404</v>
      </c>
      <c r="E49" s="382" t="s">
        <v>1390</v>
      </c>
      <c r="F49" s="382" t="s">
        <v>1390</v>
      </c>
      <c r="G49" s="382" t="s">
        <v>1390</v>
      </c>
      <c r="H49" s="382" t="s">
        <v>1390</v>
      </c>
      <c r="I49" s="390">
        <v>1</v>
      </c>
      <c r="J49" s="390" t="s">
        <v>1405</v>
      </c>
      <c r="K49" s="390">
        <v>1</v>
      </c>
      <c r="L49" s="390" t="s">
        <v>1405</v>
      </c>
      <c r="M49" s="382" t="s">
        <v>1390</v>
      </c>
      <c r="N49" s="382" t="s">
        <v>1390</v>
      </c>
      <c r="O49" s="382" t="s">
        <v>1390</v>
      </c>
      <c r="P49" s="382" t="s">
        <v>1390</v>
      </c>
      <c r="R49" s="386">
        <v>1</v>
      </c>
      <c r="S49" s="383" t="e">
        <f t="shared" si="42"/>
        <v>#DIV/0!</v>
      </c>
      <c r="T49" s="383" t="e">
        <f t="shared" si="42"/>
        <v>#DIV/0!</v>
      </c>
      <c r="U49" s="383" t="e">
        <f t="shared" si="42"/>
        <v>#DIV/0!</v>
      </c>
      <c r="V49" s="383" t="e">
        <f t="shared" si="42"/>
        <v>#DIV/0!</v>
      </c>
      <c r="W49" s="383" t="e">
        <f t="shared" si="42"/>
        <v>#DIV/0!</v>
      </c>
      <c r="X49" s="383" t="e">
        <f t="shared" si="42"/>
        <v>#DIV/0!</v>
      </c>
      <c r="Y49" s="383" t="e">
        <f t="shared" si="42"/>
        <v>#DIV/0!</v>
      </c>
      <c r="Z49" s="383" t="e">
        <f t="shared" si="42"/>
        <v>#DIV/0!</v>
      </c>
      <c r="AA49" s="383" t="e">
        <f t="shared" si="42"/>
        <v>#DIV/0!</v>
      </c>
      <c r="AB49" s="383" t="e">
        <f t="shared" si="42"/>
        <v>#DIV/0!</v>
      </c>
      <c r="AC49" s="383" t="e">
        <f t="shared" si="42"/>
        <v>#DIV/0!</v>
      </c>
      <c r="AD49" s="383" t="e">
        <f t="shared" si="42"/>
        <v>#DIV/0!</v>
      </c>
      <c r="AE49" s="386" t="s">
        <v>1396</v>
      </c>
      <c r="AF49" s="383" t="e">
        <f t="shared" si="58"/>
        <v>#DIV/0!</v>
      </c>
      <c r="AG49" s="383" t="e">
        <f t="shared" si="55"/>
        <v>#DIV/0!</v>
      </c>
      <c r="AH49" s="383" t="e">
        <f t="shared" si="55"/>
        <v>#DIV/0!</v>
      </c>
      <c r="AI49" s="383" t="e">
        <f t="shared" si="55"/>
        <v>#DIV/0!</v>
      </c>
      <c r="AJ49" s="383" t="e">
        <f t="shared" si="55"/>
        <v>#DIV/0!</v>
      </c>
      <c r="AK49" s="383" t="e">
        <f t="shared" si="55"/>
        <v>#DIV/0!</v>
      </c>
      <c r="AL49" s="383" t="e">
        <f t="shared" si="55"/>
        <v>#DIV/0!</v>
      </c>
      <c r="AM49" s="383" t="e">
        <f t="shared" si="55"/>
        <v>#DIV/0!</v>
      </c>
      <c r="AN49" s="383" t="e">
        <f t="shared" si="55"/>
        <v>#DIV/0!</v>
      </c>
      <c r="AO49" s="383" t="e">
        <f t="shared" si="55"/>
        <v>#DIV/0!</v>
      </c>
      <c r="AP49" s="383" t="e">
        <f t="shared" si="55"/>
        <v>#DIV/0!</v>
      </c>
      <c r="AQ49" s="383" t="e">
        <f t="shared" si="55"/>
        <v>#DIV/0!</v>
      </c>
      <c r="AR49" s="385" t="s">
        <v>1390</v>
      </c>
      <c r="AS49" s="383" t="e">
        <f t="shared" si="24"/>
        <v>#DIV/0!</v>
      </c>
      <c r="AT49" s="383" t="e">
        <f t="shared" si="24"/>
        <v>#DIV/0!</v>
      </c>
      <c r="AU49" s="383" t="e">
        <f t="shared" si="24"/>
        <v>#DIV/0!</v>
      </c>
      <c r="AV49" s="383" t="e">
        <f t="shared" si="24"/>
        <v>#DIV/0!</v>
      </c>
      <c r="AW49" s="383" t="e">
        <f t="shared" si="24"/>
        <v>#DIV/0!</v>
      </c>
      <c r="AX49" s="383" t="e">
        <f t="shared" si="24"/>
        <v>#DIV/0!</v>
      </c>
      <c r="AY49" s="383" t="e">
        <f t="shared" si="24"/>
        <v>#DIV/0!</v>
      </c>
      <c r="AZ49" s="383" t="e">
        <f t="shared" si="24"/>
        <v>#DIV/0!</v>
      </c>
      <c r="BA49" s="383" t="e">
        <f t="shared" si="24"/>
        <v>#DIV/0!</v>
      </c>
      <c r="BB49" s="383" t="e">
        <f t="shared" si="24"/>
        <v>#DIV/0!</v>
      </c>
      <c r="BC49" s="383" t="e">
        <f t="shared" si="24"/>
        <v>#DIV/0!</v>
      </c>
      <c r="BD49" s="383" t="e">
        <f t="shared" si="24"/>
        <v>#DIV/0!</v>
      </c>
      <c r="BE49" s="386" t="s">
        <v>1395</v>
      </c>
      <c r="BF49" s="383" t="e">
        <f>IF(AS49="","",IF(BF$18&gt;=2,"〇",""))</f>
        <v>#DIV/0!</v>
      </c>
      <c r="BG49" s="383" t="e">
        <f t="shared" ref="BG49:BQ49" si="69">IF(AT49="","",IF(BG$18&gt;=2,"〇",""))</f>
        <v>#DIV/0!</v>
      </c>
      <c r="BH49" s="383" t="e">
        <f t="shared" si="69"/>
        <v>#DIV/0!</v>
      </c>
      <c r="BI49" s="383" t="e">
        <f t="shared" si="69"/>
        <v>#DIV/0!</v>
      </c>
      <c r="BJ49" s="383" t="e">
        <f t="shared" si="69"/>
        <v>#DIV/0!</v>
      </c>
      <c r="BK49" s="383" t="e">
        <f t="shared" si="69"/>
        <v>#DIV/0!</v>
      </c>
      <c r="BL49" s="383" t="e">
        <f t="shared" si="69"/>
        <v>#DIV/0!</v>
      </c>
      <c r="BM49" s="383" t="e">
        <f t="shared" si="69"/>
        <v>#DIV/0!</v>
      </c>
      <c r="BN49" s="383" t="e">
        <f t="shared" si="69"/>
        <v>#DIV/0!</v>
      </c>
      <c r="BO49" s="383" t="e">
        <f t="shared" si="69"/>
        <v>#DIV/0!</v>
      </c>
      <c r="BP49" s="383" t="e">
        <f t="shared" si="69"/>
        <v>#DIV/0!</v>
      </c>
      <c r="BQ49" s="383" t="e">
        <f t="shared" si="69"/>
        <v>#DIV/0!</v>
      </c>
      <c r="BR49" s="386" t="s">
        <v>1390</v>
      </c>
      <c r="BS49" s="383" t="e">
        <f>IF(BF49="","","〇")</f>
        <v>#DIV/0!</v>
      </c>
      <c r="BT49" s="383" t="e">
        <f t="shared" ref="BT49:CD49" si="70">IF(BG49="","","〇")</f>
        <v>#DIV/0!</v>
      </c>
      <c r="BU49" s="383" t="e">
        <f t="shared" si="70"/>
        <v>#DIV/0!</v>
      </c>
      <c r="BV49" s="383" t="e">
        <f t="shared" si="70"/>
        <v>#DIV/0!</v>
      </c>
      <c r="BW49" s="383" t="e">
        <f t="shared" si="70"/>
        <v>#DIV/0!</v>
      </c>
      <c r="BX49" s="383" t="e">
        <f t="shared" si="70"/>
        <v>#DIV/0!</v>
      </c>
      <c r="BY49" s="383" t="e">
        <f t="shared" si="70"/>
        <v>#DIV/0!</v>
      </c>
      <c r="BZ49" s="383" t="e">
        <f t="shared" si="70"/>
        <v>#DIV/0!</v>
      </c>
      <c r="CA49" s="383" t="e">
        <f t="shared" si="70"/>
        <v>#DIV/0!</v>
      </c>
      <c r="CB49" s="383" t="e">
        <f t="shared" si="70"/>
        <v>#DIV/0!</v>
      </c>
      <c r="CC49" s="383" t="e">
        <f t="shared" si="70"/>
        <v>#DIV/0!</v>
      </c>
      <c r="CD49" s="383" t="e">
        <f t="shared" si="70"/>
        <v>#DIV/0!</v>
      </c>
      <c r="CE49" s="386" t="s">
        <v>1390</v>
      </c>
      <c r="CF49" s="383" t="e">
        <f t="shared" si="68"/>
        <v>#DIV/0!</v>
      </c>
      <c r="CG49" s="383" t="e">
        <f t="shared" si="68"/>
        <v>#DIV/0!</v>
      </c>
      <c r="CH49" s="383" t="e">
        <f t="shared" si="68"/>
        <v>#DIV/0!</v>
      </c>
      <c r="CI49" s="383" t="e">
        <f t="shared" si="68"/>
        <v>#DIV/0!</v>
      </c>
      <c r="CJ49" s="383" t="e">
        <f t="shared" si="68"/>
        <v>#DIV/0!</v>
      </c>
      <c r="CK49" s="383" t="e">
        <f t="shared" si="68"/>
        <v>#DIV/0!</v>
      </c>
      <c r="CL49" s="383" t="e">
        <f t="shared" si="68"/>
        <v>#DIV/0!</v>
      </c>
      <c r="CM49" s="383" t="e">
        <f t="shared" si="68"/>
        <v>#DIV/0!</v>
      </c>
      <c r="CN49" s="383" t="e">
        <f t="shared" si="68"/>
        <v>#DIV/0!</v>
      </c>
      <c r="CO49" s="383" t="e">
        <f t="shared" si="68"/>
        <v>#DIV/0!</v>
      </c>
      <c r="CP49" s="383" t="e">
        <f t="shared" si="68"/>
        <v>#DIV/0!</v>
      </c>
      <c r="CQ49" s="383" t="e">
        <f t="shared" si="68"/>
        <v>#DIV/0!</v>
      </c>
    </row>
    <row r="50" spans="3:95">
      <c r="C50" s="391">
        <v>1</v>
      </c>
      <c r="D50" s="391" t="s">
        <v>1404</v>
      </c>
      <c r="E50" s="391">
        <v>1</v>
      </c>
      <c r="F50" s="391" t="s">
        <v>1404</v>
      </c>
      <c r="G50" s="382" t="s">
        <v>1390</v>
      </c>
      <c r="H50" s="382" t="s">
        <v>1390</v>
      </c>
      <c r="I50" s="382" t="s">
        <v>1390</v>
      </c>
      <c r="J50" s="382" t="s">
        <v>1390</v>
      </c>
      <c r="K50" s="382" t="s">
        <v>1390</v>
      </c>
      <c r="L50" s="382" t="s">
        <v>1390</v>
      </c>
      <c r="M50" s="382" t="s">
        <v>1390</v>
      </c>
      <c r="N50" s="382" t="s">
        <v>1390</v>
      </c>
      <c r="O50" s="382" t="s">
        <v>1390</v>
      </c>
      <c r="P50" s="382" t="s">
        <v>1390</v>
      </c>
      <c r="R50" s="386">
        <v>2</v>
      </c>
      <c r="S50" s="383" t="e">
        <f>IF(AND(S$18&gt;=2,S$18&lt;3),"〇","")</f>
        <v>#DIV/0!</v>
      </c>
      <c r="T50" s="383" t="e">
        <f t="shared" ref="T50:AD50" si="71">IF(AND(T$18&gt;=2,T$18&lt;3),"〇","")</f>
        <v>#DIV/0!</v>
      </c>
      <c r="U50" s="383" t="e">
        <f t="shared" si="71"/>
        <v>#DIV/0!</v>
      </c>
      <c r="V50" s="383" t="e">
        <f t="shared" si="71"/>
        <v>#DIV/0!</v>
      </c>
      <c r="W50" s="383" t="e">
        <f t="shared" si="71"/>
        <v>#DIV/0!</v>
      </c>
      <c r="X50" s="383" t="e">
        <f t="shared" si="71"/>
        <v>#DIV/0!</v>
      </c>
      <c r="Y50" s="383" t="e">
        <f t="shared" si="71"/>
        <v>#DIV/0!</v>
      </c>
      <c r="Z50" s="383" t="e">
        <f t="shared" si="71"/>
        <v>#DIV/0!</v>
      </c>
      <c r="AA50" s="383" t="e">
        <f t="shared" si="71"/>
        <v>#DIV/0!</v>
      </c>
      <c r="AB50" s="383" t="e">
        <f t="shared" si="71"/>
        <v>#DIV/0!</v>
      </c>
      <c r="AC50" s="383" t="e">
        <f t="shared" si="71"/>
        <v>#DIV/0!</v>
      </c>
      <c r="AD50" s="383" t="e">
        <f t="shared" si="71"/>
        <v>#DIV/0!</v>
      </c>
      <c r="AE50" s="386" t="s">
        <v>1390</v>
      </c>
      <c r="AF50" s="383" t="e">
        <f t="shared" ref="AF50:AQ63" si="72">IF(S50="","","〇")</f>
        <v>#DIV/0!</v>
      </c>
      <c r="AG50" s="383" t="e">
        <f t="shared" si="72"/>
        <v>#DIV/0!</v>
      </c>
      <c r="AH50" s="383" t="e">
        <f t="shared" si="72"/>
        <v>#DIV/0!</v>
      </c>
      <c r="AI50" s="383" t="e">
        <f t="shared" si="72"/>
        <v>#DIV/0!</v>
      </c>
      <c r="AJ50" s="383" t="e">
        <f t="shared" si="72"/>
        <v>#DIV/0!</v>
      </c>
      <c r="AK50" s="383" t="e">
        <f t="shared" si="72"/>
        <v>#DIV/0!</v>
      </c>
      <c r="AL50" s="383" t="e">
        <f t="shared" si="72"/>
        <v>#DIV/0!</v>
      </c>
      <c r="AM50" s="383" t="e">
        <f t="shared" si="72"/>
        <v>#DIV/0!</v>
      </c>
      <c r="AN50" s="383" t="e">
        <f t="shared" si="72"/>
        <v>#DIV/0!</v>
      </c>
      <c r="AO50" s="383" t="e">
        <f t="shared" si="72"/>
        <v>#DIV/0!</v>
      </c>
      <c r="AP50" s="383" t="e">
        <f t="shared" si="72"/>
        <v>#DIV/0!</v>
      </c>
      <c r="AQ50" s="383" t="e">
        <f t="shared" si="72"/>
        <v>#DIV/0!</v>
      </c>
      <c r="AR50" s="385" t="s">
        <v>1390</v>
      </c>
      <c r="AS50" s="383" t="e">
        <f t="shared" si="24"/>
        <v>#DIV/0!</v>
      </c>
      <c r="AT50" s="383" t="e">
        <f t="shared" si="24"/>
        <v>#DIV/0!</v>
      </c>
      <c r="AU50" s="383" t="e">
        <f t="shared" si="24"/>
        <v>#DIV/0!</v>
      </c>
      <c r="AV50" s="383" t="e">
        <f t="shared" si="24"/>
        <v>#DIV/0!</v>
      </c>
      <c r="AW50" s="383" t="e">
        <f t="shared" si="24"/>
        <v>#DIV/0!</v>
      </c>
      <c r="AX50" s="383" t="e">
        <f t="shared" si="24"/>
        <v>#DIV/0!</v>
      </c>
      <c r="AY50" s="383" t="e">
        <f t="shared" si="24"/>
        <v>#DIV/0!</v>
      </c>
      <c r="AZ50" s="383" t="e">
        <f t="shared" si="24"/>
        <v>#DIV/0!</v>
      </c>
      <c r="BA50" s="383" t="e">
        <f t="shared" si="24"/>
        <v>#DIV/0!</v>
      </c>
      <c r="BB50" s="383" t="e">
        <f t="shared" si="24"/>
        <v>#DIV/0!</v>
      </c>
      <c r="BC50" s="383" t="e">
        <f t="shared" si="24"/>
        <v>#DIV/0!</v>
      </c>
      <c r="BD50" s="383" t="e">
        <f t="shared" si="24"/>
        <v>#DIV/0!</v>
      </c>
      <c r="BE50" s="386">
        <v>0</v>
      </c>
      <c r="BF50" s="383" t="e">
        <f t="shared" si="25"/>
        <v>#DIV/0!</v>
      </c>
      <c r="BG50" s="383" t="e">
        <f t="shared" si="25"/>
        <v>#DIV/0!</v>
      </c>
      <c r="BH50" s="383" t="e">
        <f t="shared" si="25"/>
        <v>#DIV/0!</v>
      </c>
      <c r="BI50" s="383" t="e">
        <f t="shared" si="25"/>
        <v>#DIV/0!</v>
      </c>
      <c r="BJ50" s="383" t="e">
        <f t="shared" si="25"/>
        <v>#DIV/0!</v>
      </c>
      <c r="BK50" s="383" t="e">
        <f t="shared" si="25"/>
        <v>#DIV/0!</v>
      </c>
      <c r="BL50" s="383" t="e">
        <f t="shared" si="25"/>
        <v>#DIV/0!</v>
      </c>
      <c r="BM50" s="383" t="e">
        <f t="shared" si="25"/>
        <v>#DIV/0!</v>
      </c>
      <c r="BN50" s="383" t="e">
        <f t="shared" si="25"/>
        <v>#DIV/0!</v>
      </c>
      <c r="BO50" s="383" t="e">
        <f t="shared" si="25"/>
        <v>#DIV/0!</v>
      </c>
      <c r="BP50" s="383" t="e">
        <f t="shared" si="25"/>
        <v>#DIV/0!</v>
      </c>
      <c r="BQ50" s="383" t="e">
        <f t="shared" si="25"/>
        <v>#DIV/0!</v>
      </c>
      <c r="BR50" s="386">
        <v>0</v>
      </c>
      <c r="BS50" s="383" t="e">
        <f>IF(BF50="","",IF(BS$18=$BR50,"〇",""))</f>
        <v>#DIV/0!</v>
      </c>
      <c r="BT50" s="383" t="e">
        <f t="shared" ref="BT50:CD54" si="73">IF(BG50="","",IF(BT$18=$BR50,"〇",""))</f>
        <v>#DIV/0!</v>
      </c>
      <c r="BU50" s="383" t="e">
        <f t="shared" si="73"/>
        <v>#DIV/0!</v>
      </c>
      <c r="BV50" s="383" t="e">
        <f t="shared" si="73"/>
        <v>#DIV/0!</v>
      </c>
      <c r="BW50" s="383" t="e">
        <f t="shared" si="73"/>
        <v>#DIV/0!</v>
      </c>
      <c r="BX50" s="383" t="e">
        <f t="shared" si="73"/>
        <v>#DIV/0!</v>
      </c>
      <c r="BY50" s="383" t="e">
        <f t="shared" si="73"/>
        <v>#DIV/0!</v>
      </c>
      <c r="BZ50" s="383" t="e">
        <f t="shared" si="73"/>
        <v>#DIV/0!</v>
      </c>
      <c r="CA50" s="383" t="e">
        <f t="shared" si="73"/>
        <v>#DIV/0!</v>
      </c>
      <c r="CB50" s="383" t="e">
        <f t="shared" si="73"/>
        <v>#DIV/0!</v>
      </c>
      <c r="CC50" s="383" t="e">
        <f t="shared" si="73"/>
        <v>#DIV/0!</v>
      </c>
      <c r="CD50" s="383" t="e">
        <f t="shared" si="73"/>
        <v>#DIV/0!</v>
      </c>
      <c r="CE50" s="386">
        <v>0</v>
      </c>
      <c r="CF50" s="383" t="e">
        <f>IF(BS50="","",IF(CF$18=$CE50,"〇",""))</f>
        <v>#DIV/0!</v>
      </c>
      <c r="CG50" s="383" t="e">
        <f t="shared" ref="CG50:CQ51" si="74">IF(BT50="","",IF(CG$18=$CE50,"〇",""))</f>
        <v>#DIV/0!</v>
      </c>
      <c r="CH50" s="383" t="e">
        <f t="shared" si="74"/>
        <v>#DIV/0!</v>
      </c>
      <c r="CI50" s="383" t="e">
        <f t="shared" si="74"/>
        <v>#DIV/0!</v>
      </c>
      <c r="CJ50" s="383" t="e">
        <f t="shared" si="74"/>
        <v>#DIV/0!</v>
      </c>
      <c r="CK50" s="383" t="e">
        <f t="shared" si="74"/>
        <v>#DIV/0!</v>
      </c>
      <c r="CL50" s="383" t="e">
        <f t="shared" si="74"/>
        <v>#DIV/0!</v>
      </c>
      <c r="CM50" s="383" t="e">
        <f t="shared" si="74"/>
        <v>#DIV/0!</v>
      </c>
      <c r="CN50" s="383" t="e">
        <f t="shared" si="74"/>
        <v>#DIV/0!</v>
      </c>
      <c r="CO50" s="383" t="e">
        <f t="shared" si="74"/>
        <v>#DIV/0!</v>
      </c>
      <c r="CP50" s="383" t="e">
        <f t="shared" si="74"/>
        <v>#DIV/0!</v>
      </c>
      <c r="CQ50" s="383" t="e">
        <f t="shared" si="74"/>
        <v>#DIV/0!</v>
      </c>
    </row>
    <row r="51" spans="3:95">
      <c r="C51" s="391">
        <v>1</v>
      </c>
      <c r="D51" s="391" t="s">
        <v>1404</v>
      </c>
      <c r="E51" s="391">
        <v>1</v>
      </c>
      <c r="F51" s="391" t="s">
        <v>1404</v>
      </c>
      <c r="G51" s="382" t="s">
        <v>1390</v>
      </c>
      <c r="H51" s="382" t="s">
        <v>1390</v>
      </c>
      <c r="I51" s="387">
        <v>1</v>
      </c>
      <c r="J51" s="387" t="s">
        <v>1393</v>
      </c>
      <c r="K51" s="382" t="s">
        <v>1390</v>
      </c>
      <c r="L51" s="382" t="s">
        <v>1390</v>
      </c>
      <c r="M51" s="382" t="s">
        <v>1390</v>
      </c>
      <c r="N51" s="382" t="s">
        <v>1390</v>
      </c>
      <c r="O51" s="382" t="s">
        <v>1390</v>
      </c>
      <c r="P51" s="382" t="s">
        <v>1390</v>
      </c>
      <c r="R51" s="386">
        <v>2</v>
      </c>
      <c r="S51" s="383" t="e">
        <f t="shared" ref="S51:AD59" si="75">IF(AND(S$18&gt;=2,S$18&lt;3),"〇","")</f>
        <v>#DIV/0!</v>
      </c>
      <c r="T51" s="383" t="e">
        <f t="shared" si="75"/>
        <v>#DIV/0!</v>
      </c>
      <c r="U51" s="383" t="e">
        <f t="shared" si="75"/>
        <v>#DIV/0!</v>
      </c>
      <c r="V51" s="383" t="e">
        <f t="shared" si="75"/>
        <v>#DIV/0!</v>
      </c>
      <c r="W51" s="383" t="e">
        <f t="shared" si="75"/>
        <v>#DIV/0!</v>
      </c>
      <c r="X51" s="383" t="e">
        <f t="shared" si="75"/>
        <v>#DIV/0!</v>
      </c>
      <c r="Y51" s="383" t="e">
        <f t="shared" si="75"/>
        <v>#DIV/0!</v>
      </c>
      <c r="Z51" s="383" t="e">
        <f t="shared" si="75"/>
        <v>#DIV/0!</v>
      </c>
      <c r="AA51" s="383" t="e">
        <f t="shared" si="75"/>
        <v>#DIV/0!</v>
      </c>
      <c r="AB51" s="383" t="e">
        <f t="shared" si="75"/>
        <v>#DIV/0!</v>
      </c>
      <c r="AC51" s="383" t="e">
        <f t="shared" si="75"/>
        <v>#DIV/0!</v>
      </c>
      <c r="AD51" s="383" t="e">
        <f t="shared" si="75"/>
        <v>#DIV/0!</v>
      </c>
      <c r="AE51" s="386" t="s">
        <v>1390</v>
      </c>
      <c r="AF51" s="383" t="e">
        <f t="shared" si="72"/>
        <v>#DIV/0!</v>
      </c>
      <c r="AG51" s="383" t="e">
        <f t="shared" si="72"/>
        <v>#DIV/0!</v>
      </c>
      <c r="AH51" s="383" t="e">
        <f t="shared" si="72"/>
        <v>#DIV/0!</v>
      </c>
      <c r="AI51" s="383" t="e">
        <f t="shared" si="72"/>
        <v>#DIV/0!</v>
      </c>
      <c r="AJ51" s="383" t="e">
        <f t="shared" si="72"/>
        <v>#DIV/0!</v>
      </c>
      <c r="AK51" s="383" t="e">
        <f t="shared" si="72"/>
        <v>#DIV/0!</v>
      </c>
      <c r="AL51" s="383" t="e">
        <f t="shared" si="72"/>
        <v>#DIV/0!</v>
      </c>
      <c r="AM51" s="383" t="e">
        <f t="shared" si="72"/>
        <v>#DIV/0!</v>
      </c>
      <c r="AN51" s="383" t="e">
        <f t="shared" si="72"/>
        <v>#DIV/0!</v>
      </c>
      <c r="AO51" s="383" t="e">
        <f t="shared" si="72"/>
        <v>#DIV/0!</v>
      </c>
      <c r="AP51" s="383" t="e">
        <f t="shared" si="72"/>
        <v>#DIV/0!</v>
      </c>
      <c r="AQ51" s="383" t="e">
        <f t="shared" si="72"/>
        <v>#DIV/0!</v>
      </c>
      <c r="AR51" s="385" t="s">
        <v>1390</v>
      </c>
      <c r="AS51" s="383" t="e">
        <f t="shared" si="24"/>
        <v>#DIV/0!</v>
      </c>
      <c r="AT51" s="383" t="e">
        <f t="shared" si="24"/>
        <v>#DIV/0!</v>
      </c>
      <c r="AU51" s="383" t="e">
        <f t="shared" si="24"/>
        <v>#DIV/0!</v>
      </c>
      <c r="AV51" s="383" t="e">
        <f t="shared" si="24"/>
        <v>#DIV/0!</v>
      </c>
      <c r="AW51" s="383" t="e">
        <f t="shared" si="24"/>
        <v>#DIV/0!</v>
      </c>
      <c r="AX51" s="383" t="e">
        <f t="shared" si="24"/>
        <v>#DIV/0!</v>
      </c>
      <c r="AY51" s="383" t="e">
        <f t="shared" si="24"/>
        <v>#DIV/0!</v>
      </c>
      <c r="AZ51" s="383" t="e">
        <f t="shared" si="24"/>
        <v>#DIV/0!</v>
      </c>
      <c r="BA51" s="383" t="e">
        <f t="shared" si="24"/>
        <v>#DIV/0!</v>
      </c>
      <c r="BB51" s="383" t="e">
        <f t="shared" si="24"/>
        <v>#DIV/0!</v>
      </c>
      <c r="BC51" s="383" t="e">
        <f t="shared" si="24"/>
        <v>#DIV/0!</v>
      </c>
      <c r="BD51" s="383" t="e">
        <f t="shared" si="24"/>
        <v>#DIV/0!</v>
      </c>
      <c r="BE51" s="386">
        <v>0</v>
      </c>
      <c r="BF51" s="383" t="e">
        <f t="shared" si="25"/>
        <v>#DIV/0!</v>
      </c>
      <c r="BG51" s="383" t="e">
        <f t="shared" si="25"/>
        <v>#DIV/0!</v>
      </c>
      <c r="BH51" s="383" t="e">
        <f t="shared" si="25"/>
        <v>#DIV/0!</v>
      </c>
      <c r="BI51" s="383" t="e">
        <f t="shared" si="25"/>
        <v>#DIV/0!</v>
      </c>
      <c r="BJ51" s="383" t="e">
        <f t="shared" si="25"/>
        <v>#DIV/0!</v>
      </c>
      <c r="BK51" s="383" t="e">
        <f t="shared" si="25"/>
        <v>#DIV/0!</v>
      </c>
      <c r="BL51" s="383" t="e">
        <f t="shared" si="25"/>
        <v>#DIV/0!</v>
      </c>
      <c r="BM51" s="383" t="e">
        <f t="shared" si="25"/>
        <v>#DIV/0!</v>
      </c>
      <c r="BN51" s="383" t="e">
        <f t="shared" si="25"/>
        <v>#DIV/0!</v>
      </c>
      <c r="BO51" s="383" t="e">
        <f t="shared" si="25"/>
        <v>#DIV/0!</v>
      </c>
      <c r="BP51" s="383" t="e">
        <f t="shared" si="25"/>
        <v>#DIV/0!</v>
      </c>
      <c r="BQ51" s="383" t="e">
        <f t="shared" si="25"/>
        <v>#DIV/0!</v>
      </c>
      <c r="BR51" s="386">
        <v>0</v>
      </c>
      <c r="BS51" s="383" t="e">
        <f>IF(BF51="","",IF(BS$18=$BR51,"〇",""))</f>
        <v>#DIV/0!</v>
      </c>
      <c r="BT51" s="383" t="e">
        <f t="shared" si="73"/>
        <v>#DIV/0!</v>
      </c>
      <c r="BU51" s="383" t="e">
        <f t="shared" si="73"/>
        <v>#DIV/0!</v>
      </c>
      <c r="BV51" s="383" t="e">
        <f t="shared" si="73"/>
        <v>#DIV/0!</v>
      </c>
      <c r="BW51" s="383" t="e">
        <f t="shared" si="73"/>
        <v>#DIV/0!</v>
      </c>
      <c r="BX51" s="383" t="e">
        <f t="shared" si="73"/>
        <v>#DIV/0!</v>
      </c>
      <c r="BY51" s="383" t="e">
        <f t="shared" si="73"/>
        <v>#DIV/0!</v>
      </c>
      <c r="BZ51" s="383" t="e">
        <f t="shared" si="73"/>
        <v>#DIV/0!</v>
      </c>
      <c r="CA51" s="383" t="e">
        <f t="shared" si="73"/>
        <v>#DIV/0!</v>
      </c>
      <c r="CB51" s="383" t="e">
        <f t="shared" si="73"/>
        <v>#DIV/0!</v>
      </c>
      <c r="CC51" s="383" t="e">
        <f t="shared" si="73"/>
        <v>#DIV/0!</v>
      </c>
      <c r="CD51" s="383" t="e">
        <f t="shared" si="73"/>
        <v>#DIV/0!</v>
      </c>
      <c r="CE51" s="386">
        <v>1</v>
      </c>
      <c r="CF51" s="383" t="e">
        <f>IF(BS51="","",IF(CF$18=$CE51,"〇",""))</f>
        <v>#DIV/0!</v>
      </c>
      <c r="CG51" s="383" t="e">
        <f t="shared" si="74"/>
        <v>#DIV/0!</v>
      </c>
      <c r="CH51" s="383" t="e">
        <f t="shared" si="74"/>
        <v>#DIV/0!</v>
      </c>
      <c r="CI51" s="383" t="e">
        <f t="shared" si="74"/>
        <v>#DIV/0!</v>
      </c>
      <c r="CJ51" s="383" t="e">
        <f t="shared" si="74"/>
        <v>#DIV/0!</v>
      </c>
      <c r="CK51" s="383" t="e">
        <f t="shared" si="74"/>
        <v>#DIV/0!</v>
      </c>
      <c r="CL51" s="383" t="e">
        <f t="shared" si="74"/>
        <v>#DIV/0!</v>
      </c>
      <c r="CM51" s="383" t="e">
        <f t="shared" si="74"/>
        <v>#DIV/0!</v>
      </c>
      <c r="CN51" s="383" t="e">
        <f t="shared" si="74"/>
        <v>#DIV/0!</v>
      </c>
      <c r="CO51" s="383" t="e">
        <f t="shared" si="74"/>
        <v>#DIV/0!</v>
      </c>
      <c r="CP51" s="383" t="e">
        <f t="shared" si="74"/>
        <v>#DIV/0!</v>
      </c>
      <c r="CQ51" s="383" t="e">
        <f t="shared" si="74"/>
        <v>#DIV/0!</v>
      </c>
    </row>
    <row r="52" spans="3:95">
      <c r="C52" s="391">
        <v>1</v>
      </c>
      <c r="D52" s="391" t="s">
        <v>1404</v>
      </c>
      <c r="E52" s="391">
        <v>1</v>
      </c>
      <c r="F52" s="391" t="s">
        <v>1404</v>
      </c>
      <c r="G52" s="382" t="s">
        <v>1390</v>
      </c>
      <c r="H52" s="382" t="s">
        <v>1390</v>
      </c>
      <c r="I52" s="387">
        <v>1</v>
      </c>
      <c r="J52" s="387" t="s">
        <v>1393</v>
      </c>
      <c r="K52" s="388">
        <v>1</v>
      </c>
      <c r="L52" s="388" t="s">
        <v>1404</v>
      </c>
      <c r="M52" s="382" t="s">
        <v>1390</v>
      </c>
      <c r="N52" s="382" t="s">
        <v>1390</v>
      </c>
      <c r="O52" s="382" t="s">
        <v>1390</v>
      </c>
      <c r="P52" s="382" t="s">
        <v>1390</v>
      </c>
      <c r="R52" s="386">
        <v>2</v>
      </c>
      <c r="S52" s="383" t="e">
        <f t="shared" si="75"/>
        <v>#DIV/0!</v>
      </c>
      <c r="T52" s="383" t="e">
        <f t="shared" si="75"/>
        <v>#DIV/0!</v>
      </c>
      <c r="U52" s="383" t="e">
        <f t="shared" si="75"/>
        <v>#DIV/0!</v>
      </c>
      <c r="V52" s="383" t="e">
        <f t="shared" si="75"/>
        <v>#DIV/0!</v>
      </c>
      <c r="W52" s="383" t="e">
        <f t="shared" si="75"/>
        <v>#DIV/0!</v>
      </c>
      <c r="X52" s="383" t="e">
        <f t="shared" si="75"/>
        <v>#DIV/0!</v>
      </c>
      <c r="Y52" s="383" t="e">
        <f t="shared" si="75"/>
        <v>#DIV/0!</v>
      </c>
      <c r="Z52" s="383" t="e">
        <f t="shared" si="75"/>
        <v>#DIV/0!</v>
      </c>
      <c r="AA52" s="383" t="e">
        <f t="shared" si="75"/>
        <v>#DIV/0!</v>
      </c>
      <c r="AB52" s="383" t="e">
        <f t="shared" si="75"/>
        <v>#DIV/0!</v>
      </c>
      <c r="AC52" s="383" t="e">
        <f t="shared" si="75"/>
        <v>#DIV/0!</v>
      </c>
      <c r="AD52" s="383" t="e">
        <f t="shared" si="75"/>
        <v>#DIV/0!</v>
      </c>
      <c r="AE52" s="386" t="s">
        <v>1390</v>
      </c>
      <c r="AF52" s="383" t="e">
        <f t="shared" si="72"/>
        <v>#DIV/0!</v>
      </c>
      <c r="AG52" s="383" t="e">
        <f t="shared" si="72"/>
        <v>#DIV/0!</v>
      </c>
      <c r="AH52" s="383" t="e">
        <f t="shared" si="72"/>
        <v>#DIV/0!</v>
      </c>
      <c r="AI52" s="383" t="e">
        <f t="shared" si="72"/>
        <v>#DIV/0!</v>
      </c>
      <c r="AJ52" s="383" t="e">
        <f t="shared" si="72"/>
        <v>#DIV/0!</v>
      </c>
      <c r="AK52" s="383" t="e">
        <f t="shared" si="72"/>
        <v>#DIV/0!</v>
      </c>
      <c r="AL52" s="383" t="e">
        <f t="shared" si="72"/>
        <v>#DIV/0!</v>
      </c>
      <c r="AM52" s="383" t="e">
        <f t="shared" si="72"/>
        <v>#DIV/0!</v>
      </c>
      <c r="AN52" s="383" t="e">
        <f t="shared" si="72"/>
        <v>#DIV/0!</v>
      </c>
      <c r="AO52" s="383" t="e">
        <f t="shared" si="72"/>
        <v>#DIV/0!</v>
      </c>
      <c r="AP52" s="383" t="e">
        <f t="shared" si="72"/>
        <v>#DIV/0!</v>
      </c>
      <c r="AQ52" s="383" t="e">
        <f t="shared" si="72"/>
        <v>#DIV/0!</v>
      </c>
      <c r="AR52" s="385" t="s">
        <v>1390</v>
      </c>
      <c r="AS52" s="383" t="e">
        <f t="shared" si="24"/>
        <v>#DIV/0!</v>
      </c>
      <c r="AT52" s="383" t="e">
        <f t="shared" si="24"/>
        <v>#DIV/0!</v>
      </c>
      <c r="AU52" s="383" t="e">
        <f t="shared" si="24"/>
        <v>#DIV/0!</v>
      </c>
      <c r="AV52" s="383" t="e">
        <f t="shared" si="24"/>
        <v>#DIV/0!</v>
      </c>
      <c r="AW52" s="383" t="e">
        <f t="shared" si="24"/>
        <v>#DIV/0!</v>
      </c>
      <c r="AX52" s="383" t="e">
        <f t="shared" si="24"/>
        <v>#DIV/0!</v>
      </c>
      <c r="AY52" s="383" t="e">
        <f t="shared" si="24"/>
        <v>#DIV/0!</v>
      </c>
      <c r="AZ52" s="383" t="e">
        <f t="shared" si="24"/>
        <v>#DIV/0!</v>
      </c>
      <c r="BA52" s="383" t="e">
        <f t="shared" si="24"/>
        <v>#DIV/0!</v>
      </c>
      <c r="BB52" s="383" t="e">
        <f t="shared" si="24"/>
        <v>#DIV/0!</v>
      </c>
      <c r="BC52" s="383" t="e">
        <f t="shared" si="24"/>
        <v>#DIV/0!</v>
      </c>
      <c r="BD52" s="383" t="e">
        <f t="shared" si="24"/>
        <v>#DIV/0!</v>
      </c>
      <c r="BE52" s="386">
        <v>0</v>
      </c>
      <c r="BF52" s="383" t="e">
        <f t="shared" si="25"/>
        <v>#DIV/0!</v>
      </c>
      <c r="BG52" s="383" t="e">
        <f t="shared" si="25"/>
        <v>#DIV/0!</v>
      </c>
      <c r="BH52" s="383" t="e">
        <f t="shared" si="25"/>
        <v>#DIV/0!</v>
      </c>
      <c r="BI52" s="383" t="e">
        <f t="shared" si="25"/>
        <v>#DIV/0!</v>
      </c>
      <c r="BJ52" s="383" t="e">
        <f t="shared" si="25"/>
        <v>#DIV/0!</v>
      </c>
      <c r="BK52" s="383" t="e">
        <f t="shared" si="25"/>
        <v>#DIV/0!</v>
      </c>
      <c r="BL52" s="383" t="e">
        <f t="shared" si="25"/>
        <v>#DIV/0!</v>
      </c>
      <c r="BM52" s="383" t="e">
        <f t="shared" ref="BM52:BQ58" si="76">IF(AZ52="","",IF(BM$18=$BE52,"〇",""))</f>
        <v>#DIV/0!</v>
      </c>
      <c r="BN52" s="383" t="e">
        <f t="shared" si="76"/>
        <v>#DIV/0!</v>
      </c>
      <c r="BO52" s="383" t="e">
        <f t="shared" si="76"/>
        <v>#DIV/0!</v>
      </c>
      <c r="BP52" s="383" t="e">
        <f t="shared" si="76"/>
        <v>#DIV/0!</v>
      </c>
      <c r="BQ52" s="383" t="e">
        <f t="shared" si="76"/>
        <v>#DIV/0!</v>
      </c>
      <c r="BR52" s="386">
        <v>0</v>
      </c>
      <c r="BS52" s="383" t="e">
        <f>IF(BF52="","",IF(BS$18=$BR52,"〇",""))</f>
        <v>#DIV/0!</v>
      </c>
      <c r="BT52" s="383" t="e">
        <f t="shared" si="73"/>
        <v>#DIV/0!</v>
      </c>
      <c r="BU52" s="383" t="e">
        <f t="shared" si="73"/>
        <v>#DIV/0!</v>
      </c>
      <c r="BV52" s="383" t="e">
        <f t="shared" si="73"/>
        <v>#DIV/0!</v>
      </c>
      <c r="BW52" s="383" t="e">
        <f t="shared" si="73"/>
        <v>#DIV/0!</v>
      </c>
      <c r="BX52" s="383" t="e">
        <f t="shared" si="73"/>
        <v>#DIV/0!</v>
      </c>
      <c r="BY52" s="383" t="e">
        <f t="shared" si="73"/>
        <v>#DIV/0!</v>
      </c>
      <c r="BZ52" s="383" t="e">
        <f t="shared" si="73"/>
        <v>#DIV/0!</v>
      </c>
      <c r="CA52" s="383" t="e">
        <f t="shared" si="73"/>
        <v>#DIV/0!</v>
      </c>
      <c r="CB52" s="383" t="e">
        <f t="shared" si="73"/>
        <v>#DIV/0!</v>
      </c>
      <c r="CC52" s="383" t="e">
        <f t="shared" si="73"/>
        <v>#DIV/0!</v>
      </c>
      <c r="CD52" s="383" t="e">
        <f t="shared" si="73"/>
        <v>#DIV/0!</v>
      </c>
      <c r="CE52" s="386" t="s">
        <v>1395</v>
      </c>
      <c r="CF52" s="383" t="e">
        <f>IF(BS52="","",IF(CF$18&gt;=2,"〇",""))</f>
        <v>#DIV/0!</v>
      </c>
      <c r="CG52" s="383" t="e">
        <f t="shared" ref="CG52:CQ52" si="77">IF(BT52="","",IF(CG$18&gt;=2,"〇",""))</f>
        <v>#DIV/0!</v>
      </c>
      <c r="CH52" s="383" t="e">
        <f t="shared" si="77"/>
        <v>#DIV/0!</v>
      </c>
      <c r="CI52" s="383" t="e">
        <f t="shared" si="77"/>
        <v>#DIV/0!</v>
      </c>
      <c r="CJ52" s="383" t="e">
        <f t="shared" si="77"/>
        <v>#DIV/0!</v>
      </c>
      <c r="CK52" s="383" t="e">
        <f t="shared" si="77"/>
        <v>#DIV/0!</v>
      </c>
      <c r="CL52" s="383" t="e">
        <f t="shared" si="77"/>
        <v>#DIV/0!</v>
      </c>
      <c r="CM52" s="383" t="e">
        <f t="shared" si="77"/>
        <v>#DIV/0!</v>
      </c>
      <c r="CN52" s="383" t="e">
        <f t="shared" si="77"/>
        <v>#DIV/0!</v>
      </c>
      <c r="CO52" s="383" t="e">
        <f t="shared" si="77"/>
        <v>#DIV/0!</v>
      </c>
      <c r="CP52" s="383" t="e">
        <f t="shared" si="77"/>
        <v>#DIV/0!</v>
      </c>
      <c r="CQ52" s="383" t="e">
        <f t="shared" si="77"/>
        <v>#DIV/0!</v>
      </c>
    </row>
    <row r="53" spans="3:95">
      <c r="C53" s="391">
        <v>1</v>
      </c>
      <c r="D53" s="391" t="s">
        <v>1404</v>
      </c>
      <c r="E53" s="391">
        <v>1</v>
      </c>
      <c r="F53" s="391" t="s">
        <v>1404</v>
      </c>
      <c r="G53" s="382" t="s">
        <v>1390</v>
      </c>
      <c r="H53" s="382" t="s">
        <v>1390</v>
      </c>
      <c r="I53" s="389">
        <v>1</v>
      </c>
      <c r="J53" s="389" t="s">
        <v>1404</v>
      </c>
      <c r="K53" s="382" t="s">
        <v>1390</v>
      </c>
      <c r="L53" s="382" t="s">
        <v>1390</v>
      </c>
      <c r="M53" s="382" t="s">
        <v>1390</v>
      </c>
      <c r="N53" s="382" t="s">
        <v>1390</v>
      </c>
      <c r="O53" s="382" t="s">
        <v>1390</v>
      </c>
      <c r="P53" s="382" t="s">
        <v>1390</v>
      </c>
      <c r="R53" s="386">
        <v>2</v>
      </c>
      <c r="S53" s="383" t="e">
        <f t="shared" si="75"/>
        <v>#DIV/0!</v>
      </c>
      <c r="T53" s="383" t="e">
        <f t="shared" si="75"/>
        <v>#DIV/0!</v>
      </c>
      <c r="U53" s="383" t="e">
        <f t="shared" si="75"/>
        <v>#DIV/0!</v>
      </c>
      <c r="V53" s="383" t="e">
        <f t="shared" si="75"/>
        <v>#DIV/0!</v>
      </c>
      <c r="W53" s="383" t="e">
        <f t="shared" si="75"/>
        <v>#DIV/0!</v>
      </c>
      <c r="X53" s="383" t="e">
        <f t="shared" si="75"/>
        <v>#DIV/0!</v>
      </c>
      <c r="Y53" s="383" t="e">
        <f t="shared" si="75"/>
        <v>#DIV/0!</v>
      </c>
      <c r="Z53" s="383" t="e">
        <f t="shared" si="75"/>
        <v>#DIV/0!</v>
      </c>
      <c r="AA53" s="383" t="e">
        <f t="shared" si="75"/>
        <v>#DIV/0!</v>
      </c>
      <c r="AB53" s="383" t="e">
        <f t="shared" si="75"/>
        <v>#DIV/0!</v>
      </c>
      <c r="AC53" s="383" t="e">
        <f t="shared" si="75"/>
        <v>#DIV/0!</v>
      </c>
      <c r="AD53" s="383" t="e">
        <f t="shared" si="75"/>
        <v>#DIV/0!</v>
      </c>
      <c r="AE53" s="386" t="s">
        <v>1390</v>
      </c>
      <c r="AF53" s="383" t="e">
        <f t="shared" si="72"/>
        <v>#DIV/0!</v>
      </c>
      <c r="AG53" s="383" t="e">
        <f t="shared" si="72"/>
        <v>#DIV/0!</v>
      </c>
      <c r="AH53" s="383" t="e">
        <f t="shared" si="72"/>
        <v>#DIV/0!</v>
      </c>
      <c r="AI53" s="383" t="e">
        <f t="shared" si="72"/>
        <v>#DIV/0!</v>
      </c>
      <c r="AJ53" s="383" t="e">
        <f t="shared" si="72"/>
        <v>#DIV/0!</v>
      </c>
      <c r="AK53" s="383" t="e">
        <f t="shared" si="72"/>
        <v>#DIV/0!</v>
      </c>
      <c r="AL53" s="383" t="e">
        <f t="shared" si="72"/>
        <v>#DIV/0!</v>
      </c>
      <c r="AM53" s="383" t="e">
        <f t="shared" si="72"/>
        <v>#DIV/0!</v>
      </c>
      <c r="AN53" s="383" t="e">
        <f t="shared" si="72"/>
        <v>#DIV/0!</v>
      </c>
      <c r="AO53" s="383" t="e">
        <f t="shared" si="72"/>
        <v>#DIV/0!</v>
      </c>
      <c r="AP53" s="383" t="e">
        <f t="shared" si="72"/>
        <v>#DIV/0!</v>
      </c>
      <c r="AQ53" s="383" t="e">
        <f t="shared" si="72"/>
        <v>#DIV/0!</v>
      </c>
      <c r="AR53" s="385" t="s">
        <v>1390</v>
      </c>
      <c r="AS53" s="383" t="e">
        <f t="shared" si="24"/>
        <v>#DIV/0!</v>
      </c>
      <c r="AT53" s="383" t="e">
        <f t="shared" si="24"/>
        <v>#DIV/0!</v>
      </c>
      <c r="AU53" s="383" t="e">
        <f t="shared" si="24"/>
        <v>#DIV/0!</v>
      </c>
      <c r="AV53" s="383" t="e">
        <f t="shared" si="24"/>
        <v>#DIV/0!</v>
      </c>
      <c r="AW53" s="383" t="e">
        <f t="shared" si="24"/>
        <v>#DIV/0!</v>
      </c>
      <c r="AX53" s="383" t="e">
        <f t="shared" si="24"/>
        <v>#DIV/0!</v>
      </c>
      <c r="AY53" s="383" t="e">
        <f t="shared" si="24"/>
        <v>#DIV/0!</v>
      </c>
      <c r="AZ53" s="383" t="e">
        <f t="shared" si="24"/>
        <v>#DIV/0!</v>
      </c>
      <c r="BA53" s="383" t="e">
        <f t="shared" si="24"/>
        <v>#DIV/0!</v>
      </c>
      <c r="BB53" s="383" t="e">
        <f t="shared" si="24"/>
        <v>#DIV/0!</v>
      </c>
      <c r="BC53" s="383" t="e">
        <f t="shared" si="24"/>
        <v>#DIV/0!</v>
      </c>
      <c r="BD53" s="383" t="e">
        <f t="shared" si="24"/>
        <v>#DIV/0!</v>
      </c>
      <c r="BE53" s="386">
        <v>0</v>
      </c>
      <c r="BF53" s="383" t="e">
        <f t="shared" ref="BF53:BQ71" si="78">IF(AS53="","",IF(BF$18=$BE53,"〇",""))</f>
        <v>#DIV/0!</v>
      </c>
      <c r="BG53" s="383" t="e">
        <f t="shared" si="78"/>
        <v>#DIV/0!</v>
      </c>
      <c r="BH53" s="383" t="e">
        <f t="shared" si="78"/>
        <v>#DIV/0!</v>
      </c>
      <c r="BI53" s="383" t="e">
        <f t="shared" si="78"/>
        <v>#DIV/0!</v>
      </c>
      <c r="BJ53" s="383" t="e">
        <f t="shared" si="78"/>
        <v>#DIV/0!</v>
      </c>
      <c r="BK53" s="383" t="e">
        <f t="shared" si="78"/>
        <v>#DIV/0!</v>
      </c>
      <c r="BL53" s="383" t="e">
        <f t="shared" si="78"/>
        <v>#DIV/0!</v>
      </c>
      <c r="BM53" s="383" t="e">
        <f t="shared" si="76"/>
        <v>#DIV/0!</v>
      </c>
      <c r="BN53" s="383" t="e">
        <f t="shared" si="76"/>
        <v>#DIV/0!</v>
      </c>
      <c r="BO53" s="383" t="e">
        <f t="shared" si="76"/>
        <v>#DIV/0!</v>
      </c>
      <c r="BP53" s="383" t="e">
        <f t="shared" si="76"/>
        <v>#DIV/0!</v>
      </c>
      <c r="BQ53" s="383" t="e">
        <f t="shared" si="76"/>
        <v>#DIV/0!</v>
      </c>
      <c r="BR53" s="386">
        <v>1</v>
      </c>
      <c r="BS53" s="383" t="e">
        <f>IF(BF53="","",IF(BS$18=$BR53,"〇",""))</f>
        <v>#DIV/0!</v>
      </c>
      <c r="BT53" s="383" t="e">
        <f t="shared" si="73"/>
        <v>#DIV/0!</v>
      </c>
      <c r="BU53" s="383" t="e">
        <f t="shared" si="73"/>
        <v>#DIV/0!</v>
      </c>
      <c r="BV53" s="383" t="e">
        <f t="shared" si="73"/>
        <v>#DIV/0!</v>
      </c>
      <c r="BW53" s="383" t="e">
        <f t="shared" si="73"/>
        <v>#DIV/0!</v>
      </c>
      <c r="BX53" s="383" t="e">
        <f t="shared" si="73"/>
        <v>#DIV/0!</v>
      </c>
      <c r="BY53" s="383" t="e">
        <f t="shared" si="73"/>
        <v>#DIV/0!</v>
      </c>
      <c r="BZ53" s="383" t="e">
        <f t="shared" si="73"/>
        <v>#DIV/0!</v>
      </c>
      <c r="CA53" s="383" t="e">
        <f t="shared" si="73"/>
        <v>#DIV/0!</v>
      </c>
      <c r="CB53" s="383" t="e">
        <f t="shared" si="73"/>
        <v>#DIV/0!</v>
      </c>
      <c r="CC53" s="383" t="e">
        <f t="shared" si="73"/>
        <v>#DIV/0!</v>
      </c>
      <c r="CD53" s="383" t="e">
        <f t="shared" si="73"/>
        <v>#DIV/0!</v>
      </c>
      <c r="CE53" s="386">
        <v>0</v>
      </c>
      <c r="CF53" s="383" t="e">
        <f>IF(BS53="","",IF(CF$18=$CE53,"〇",""))</f>
        <v>#DIV/0!</v>
      </c>
      <c r="CG53" s="383" t="e">
        <f t="shared" ref="CG53:CQ53" si="79">IF(BT53="","",IF(CG$18=$CE53,"〇",""))</f>
        <v>#DIV/0!</v>
      </c>
      <c r="CH53" s="383" t="e">
        <f t="shared" si="79"/>
        <v>#DIV/0!</v>
      </c>
      <c r="CI53" s="383" t="e">
        <f t="shared" si="79"/>
        <v>#DIV/0!</v>
      </c>
      <c r="CJ53" s="383" t="e">
        <f t="shared" si="79"/>
        <v>#DIV/0!</v>
      </c>
      <c r="CK53" s="383" t="e">
        <f t="shared" si="79"/>
        <v>#DIV/0!</v>
      </c>
      <c r="CL53" s="383" t="e">
        <f t="shared" si="79"/>
        <v>#DIV/0!</v>
      </c>
      <c r="CM53" s="383" t="e">
        <f t="shared" si="79"/>
        <v>#DIV/0!</v>
      </c>
      <c r="CN53" s="383" t="e">
        <f t="shared" si="79"/>
        <v>#DIV/0!</v>
      </c>
      <c r="CO53" s="383" t="e">
        <f t="shared" si="79"/>
        <v>#DIV/0!</v>
      </c>
      <c r="CP53" s="383" t="e">
        <f t="shared" si="79"/>
        <v>#DIV/0!</v>
      </c>
      <c r="CQ53" s="383" t="e">
        <f t="shared" si="79"/>
        <v>#DIV/0!</v>
      </c>
    </row>
    <row r="54" spans="3:95">
      <c r="C54" s="391">
        <v>1</v>
      </c>
      <c r="D54" s="391" t="s">
        <v>1404</v>
      </c>
      <c r="E54" s="391">
        <v>1</v>
      </c>
      <c r="F54" s="391" t="s">
        <v>1404</v>
      </c>
      <c r="G54" s="382" t="s">
        <v>1390</v>
      </c>
      <c r="H54" s="382" t="s">
        <v>1390</v>
      </c>
      <c r="I54" s="389">
        <v>1</v>
      </c>
      <c r="J54" s="389" t="s">
        <v>1404</v>
      </c>
      <c r="K54" s="387">
        <v>1</v>
      </c>
      <c r="L54" s="387" t="s">
        <v>1393</v>
      </c>
      <c r="M54" s="382" t="s">
        <v>1390</v>
      </c>
      <c r="N54" s="382" t="s">
        <v>1390</v>
      </c>
      <c r="O54" s="382" t="s">
        <v>1390</v>
      </c>
      <c r="P54" s="382" t="s">
        <v>1390</v>
      </c>
      <c r="R54" s="386">
        <v>2</v>
      </c>
      <c r="S54" s="383" t="e">
        <f t="shared" si="75"/>
        <v>#DIV/0!</v>
      </c>
      <c r="T54" s="383" t="e">
        <f t="shared" si="75"/>
        <v>#DIV/0!</v>
      </c>
      <c r="U54" s="383" t="e">
        <f t="shared" si="75"/>
        <v>#DIV/0!</v>
      </c>
      <c r="V54" s="383" t="e">
        <f t="shared" si="75"/>
        <v>#DIV/0!</v>
      </c>
      <c r="W54" s="383" t="e">
        <f t="shared" si="75"/>
        <v>#DIV/0!</v>
      </c>
      <c r="X54" s="383" t="e">
        <f t="shared" si="75"/>
        <v>#DIV/0!</v>
      </c>
      <c r="Y54" s="383" t="e">
        <f t="shared" si="75"/>
        <v>#DIV/0!</v>
      </c>
      <c r="Z54" s="383" t="e">
        <f t="shared" si="75"/>
        <v>#DIV/0!</v>
      </c>
      <c r="AA54" s="383" t="e">
        <f t="shared" si="75"/>
        <v>#DIV/0!</v>
      </c>
      <c r="AB54" s="383" t="e">
        <f t="shared" si="75"/>
        <v>#DIV/0!</v>
      </c>
      <c r="AC54" s="383" t="e">
        <f t="shared" si="75"/>
        <v>#DIV/0!</v>
      </c>
      <c r="AD54" s="383" t="e">
        <f t="shared" si="75"/>
        <v>#DIV/0!</v>
      </c>
      <c r="AE54" s="386" t="s">
        <v>1390</v>
      </c>
      <c r="AF54" s="383" t="e">
        <f t="shared" si="72"/>
        <v>#DIV/0!</v>
      </c>
      <c r="AG54" s="383" t="e">
        <f t="shared" si="72"/>
        <v>#DIV/0!</v>
      </c>
      <c r="AH54" s="383" t="e">
        <f t="shared" si="72"/>
        <v>#DIV/0!</v>
      </c>
      <c r="AI54" s="383" t="e">
        <f t="shared" si="72"/>
        <v>#DIV/0!</v>
      </c>
      <c r="AJ54" s="383" t="e">
        <f t="shared" si="72"/>
        <v>#DIV/0!</v>
      </c>
      <c r="AK54" s="383" t="e">
        <f t="shared" si="72"/>
        <v>#DIV/0!</v>
      </c>
      <c r="AL54" s="383" t="e">
        <f t="shared" si="72"/>
        <v>#DIV/0!</v>
      </c>
      <c r="AM54" s="383" t="e">
        <f t="shared" si="72"/>
        <v>#DIV/0!</v>
      </c>
      <c r="AN54" s="383" t="e">
        <f t="shared" si="72"/>
        <v>#DIV/0!</v>
      </c>
      <c r="AO54" s="383" t="e">
        <f t="shared" si="72"/>
        <v>#DIV/0!</v>
      </c>
      <c r="AP54" s="383" t="e">
        <f t="shared" si="72"/>
        <v>#DIV/0!</v>
      </c>
      <c r="AQ54" s="383" t="e">
        <f t="shared" si="72"/>
        <v>#DIV/0!</v>
      </c>
      <c r="AR54" s="385" t="s">
        <v>1390</v>
      </c>
      <c r="AS54" s="383" t="e">
        <f t="shared" si="24"/>
        <v>#DIV/0!</v>
      </c>
      <c r="AT54" s="383" t="e">
        <f t="shared" si="24"/>
        <v>#DIV/0!</v>
      </c>
      <c r="AU54" s="383" t="e">
        <f t="shared" si="24"/>
        <v>#DIV/0!</v>
      </c>
      <c r="AV54" s="383" t="e">
        <f t="shared" si="24"/>
        <v>#DIV/0!</v>
      </c>
      <c r="AW54" s="383" t="e">
        <f t="shared" si="24"/>
        <v>#DIV/0!</v>
      </c>
      <c r="AX54" s="383" t="e">
        <f t="shared" si="24"/>
        <v>#DIV/0!</v>
      </c>
      <c r="AY54" s="383" t="e">
        <f t="shared" si="24"/>
        <v>#DIV/0!</v>
      </c>
      <c r="AZ54" s="383" t="e">
        <f t="shared" si="24"/>
        <v>#DIV/0!</v>
      </c>
      <c r="BA54" s="383" t="e">
        <f t="shared" si="24"/>
        <v>#DIV/0!</v>
      </c>
      <c r="BB54" s="383" t="e">
        <f t="shared" si="24"/>
        <v>#DIV/0!</v>
      </c>
      <c r="BC54" s="383" t="e">
        <f t="shared" si="24"/>
        <v>#DIV/0!</v>
      </c>
      <c r="BD54" s="383" t="e">
        <f t="shared" si="24"/>
        <v>#DIV/0!</v>
      </c>
      <c r="BE54" s="386">
        <v>0</v>
      </c>
      <c r="BF54" s="383" t="e">
        <f t="shared" si="78"/>
        <v>#DIV/0!</v>
      </c>
      <c r="BG54" s="383" t="e">
        <f t="shared" si="78"/>
        <v>#DIV/0!</v>
      </c>
      <c r="BH54" s="383" t="e">
        <f t="shared" si="78"/>
        <v>#DIV/0!</v>
      </c>
      <c r="BI54" s="383" t="e">
        <f t="shared" si="78"/>
        <v>#DIV/0!</v>
      </c>
      <c r="BJ54" s="383" t="e">
        <f t="shared" si="78"/>
        <v>#DIV/0!</v>
      </c>
      <c r="BK54" s="383" t="e">
        <f t="shared" si="78"/>
        <v>#DIV/0!</v>
      </c>
      <c r="BL54" s="383" t="e">
        <f t="shared" si="78"/>
        <v>#DIV/0!</v>
      </c>
      <c r="BM54" s="383" t="e">
        <f t="shared" si="76"/>
        <v>#DIV/0!</v>
      </c>
      <c r="BN54" s="383" t="e">
        <f t="shared" si="76"/>
        <v>#DIV/0!</v>
      </c>
      <c r="BO54" s="383" t="e">
        <f t="shared" si="76"/>
        <v>#DIV/0!</v>
      </c>
      <c r="BP54" s="383" t="e">
        <f t="shared" si="76"/>
        <v>#DIV/0!</v>
      </c>
      <c r="BQ54" s="383" t="e">
        <f t="shared" si="76"/>
        <v>#DIV/0!</v>
      </c>
      <c r="BR54" s="386">
        <v>1</v>
      </c>
      <c r="BS54" s="383" t="e">
        <f>IF(BF54="","",IF(BS$18=$BR54,"〇",""))</f>
        <v>#DIV/0!</v>
      </c>
      <c r="BT54" s="383" t="e">
        <f t="shared" si="73"/>
        <v>#DIV/0!</v>
      </c>
      <c r="BU54" s="383" t="e">
        <f t="shared" si="73"/>
        <v>#DIV/0!</v>
      </c>
      <c r="BV54" s="383" t="e">
        <f t="shared" si="73"/>
        <v>#DIV/0!</v>
      </c>
      <c r="BW54" s="383" t="e">
        <f t="shared" si="73"/>
        <v>#DIV/0!</v>
      </c>
      <c r="BX54" s="383" t="e">
        <f t="shared" si="73"/>
        <v>#DIV/0!</v>
      </c>
      <c r="BY54" s="383" t="e">
        <f t="shared" si="73"/>
        <v>#DIV/0!</v>
      </c>
      <c r="BZ54" s="383" t="e">
        <f t="shared" si="73"/>
        <v>#DIV/0!</v>
      </c>
      <c r="CA54" s="383" t="e">
        <f t="shared" si="73"/>
        <v>#DIV/0!</v>
      </c>
      <c r="CB54" s="383" t="e">
        <f t="shared" si="73"/>
        <v>#DIV/0!</v>
      </c>
      <c r="CC54" s="383" t="e">
        <f t="shared" si="73"/>
        <v>#DIV/0!</v>
      </c>
      <c r="CD54" s="383" t="e">
        <f t="shared" si="73"/>
        <v>#DIV/0!</v>
      </c>
      <c r="CE54" s="386" t="s">
        <v>1396</v>
      </c>
      <c r="CF54" s="383" t="e">
        <f>IF(BS54="","",IF(CF$18&gt;=1,"〇",""))</f>
        <v>#DIV/0!</v>
      </c>
      <c r="CG54" s="383" t="e">
        <f t="shared" ref="CG54:CQ54" si="80">IF(BT54="","",IF(CG$18&gt;=1,"〇",""))</f>
        <v>#DIV/0!</v>
      </c>
      <c r="CH54" s="383" t="e">
        <f t="shared" si="80"/>
        <v>#DIV/0!</v>
      </c>
      <c r="CI54" s="383" t="e">
        <f t="shared" si="80"/>
        <v>#DIV/0!</v>
      </c>
      <c r="CJ54" s="383" t="e">
        <f t="shared" si="80"/>
        <v>#DIV/0!</v>
      </c>
      <c r="CK54" s="383" t="e">
        <f t="shared" si="80"/>
        <v>#DIV/0!</v>
      </c>
      <c r="CL54" s="383" t="e">
        <f t="shared" si="80"/>
        <v>#DIV/0!</v>
      </c>
      <c r="CM54" s="383" t="e">
        <f t="shared" si="80"/>
        <v>#DIV/0!</v>
      </c>
      <c r="CN54" s="383" t="e">
        <f t="shared" si="80"/>
        <v>#DIV/0!</v>
      </c>
      <c r="CO54" s="383" t="e">
        <f t="shared" si="80"/>
        <v>#DIV/0!</v>
      </c>
      <c r="CP54" s="383" t="e">
        <f t="shared" si="80"/>
        <v>#DIV/0!</v>
      </c>
      <c r="CQ54" s="383" t="e">
        <f t="shared" si="80"/>
        <v>#DIV/0!</v>
      </c>
    </row>
    <row r="55" spans="3:95">
      <c r="C55" s="391">
        <v>1</v>
      </c>
      <c r="D55" s="391" t="s">
        <v>1404</v>
      </c>
      <c r="E55" s="391">
        <v>1</v>
      </c>
      <c r="F55" s="391" t="s">
        <v>1404</v>
      </c>
      <c r="G55" s="382" t="s">
        <v>1390</v>
      </c>
      <c r="H55" s="382" t="s">
        <v>1390</v>
      </c>
      <c r="I55" s="389">
        <v>1</v>
      </c>
      <c r="J55" s="389" t="s">
        <v>1404</v>
      </c>
      <c r="K55" s="389">
        <v>1</v>
      </c>
      <c r="L55" s="389" t="s">
        <v>1404</v>
      </c>
      <c r="M55" s="382" t="s">
        <v>1390</v>
      </c>
      <c r="N55" s="382" t="s">
        <v>1390</v>
      </c>
      <c r="O55" s="382" t="s">
        <v>1390</v>
      </c>
      <c r="P55" s="382" t="s">
        <v>1390</v>
      </c>
      <c r="R55" s="386">
        <v>2</v>
      </c>
      <c r="S55" s="383" t="e">
        <f t="shared" si="75"/>
        <v>#DIV/0!</v>
      </c>
      <c r="T55" s="383" t="e">
        <f t="shared" si="75"/>
        <v>#DIV/0!</v>
      </c>
      <c r="U55" s="383" t="e">
        <f t="shared" si="75"/>
        <v>#DIV/0!</v>
      </c>
      <c r="V55" s="383" t="e">
        <f t="shared" si="75"/>
        <v>#DIV/0!</v>
      </c>
      <c r="W55" s="383" t="e">
        <f t="shared" si="75"/>
        <v>#DIV/0!</v>
      </c>
      <c r="X55" s="383" t="e">
        <f t="shared" si="75"/>
        <v>#DIV/0!</v>
      </c>
      <c r="Y55" s="383" t="e">
        <f t="shared" si="75"/>
        <v>#DIV/0!</v>
      </c>
      <c r="Z55" s="383" t="e">
        <f t="shared" si="75"/>
        <v>#DIV/0!</v>
      </c>
      <c r="AA55" s="383" t="e">
        <f t="shared" si="75"/>
        <v>#DIV/0!</v>
      </c>
      <c r="AB55" s="383" t="e">
        <f t="shared" si="75"/>
        <v>#DIV/0!</v>
      </c>
      <c r="AC55" s="383" t="e">
        <f t="shared" si="75"/>
        <v>#DIV/0!</v>
      </c>
      <c r="AD55" s="383" t="e">
        <f t="shared" si="75"/>
        <v>#DIV/0!</v>
      </c>
      <c r="AE55" s="386" t="s">
        <v>1390</v>
      </c>
      <c r="AF55" s="383" t="e">
        <f t="shared" si="72"/>
        <v>#DIV/0!</v>
      </c>
      <c r="AG55" s="383" t="e">
        <f t="shared" si="72"/>
        <v>#DIV/0!</v>
      </c>
      <c r="AH55" s="383" t="e">
        <f t="shared" si="72"/>
        <v>#DIV/0!</v>
      </c>
      <c r="AI55" s="383" t="e">
        <f t="shared" si="72"/>
        <v>#DIV/0!</v>
      </c>
      <c r="AJ55" s="383" t="e">
        <f t="shared" si="72"/>
        <v>#DIV/0!</v>
      </c>
      <c r="AK55" s="383" t="e">
        <f t="shared" si="72"/>
        <v>#DIV/0!</v>
      </c>
      <c r="AL55" s="383" t="e">
        <f t="shared" si="72"/>
        <v>#DIV/0!</v>
      </c>
      <c r="AM55" s="383" t="e">
        <f t="shared" si="72"/>
        <v>#DIV/0!</v>
      </c>
      <c r="AN55" s="383" t="e">
        <f t="shared" si="72"/>
        <v>#DIV/0!</v>
      </c>
      <c r="AO55" s="383" t="e">
        <f t="shared" si="72"/>
        <v>#DIV/0!</v>
      </c>
      <c r="AP55" s="383" t="e">
        <f t="shared" si="72"/>
        <v>#DIV/0!</v>
      </c>
      <c r="AQ55" s="383" t="e">
        <f t="shared" si="72"/>
        <v>#DIV/0!</v>
      </c>
      <c r="AR55" s="385" t="s">
        <v>1390</v>
      </c>
      <c r="AS55" s="383" t="e">
        <f t="shared" si="24"/>
        <v>#DIV/0!</v>
      </c>
      <c r="AT55" s="383" t="e">
        <f t="shared" ref="AT55:BD63" si="81">IF(AG55="","","〇")</f>
        <v>#DIV/0!</v>
      </c>
      <c r="AU55" s="383" t="e">
        <f t="shared" si="81"/>
        <v>#DIV/0!</v>
      </c>
      <c r="AV55" s="383" t="e">
        <f t="shared" si="81"/>
        <v>#DIV/0!</v>
      </c>
      <c r="AW55" s="383" t="e">
        <f t="shared" si="81"/>
        <v>#DIV/0!</v>
      </c>
      <c r="AX55" s="383" t="e">
        <f t="shared" si="81"/>
        <v>#DIV/0!</v>
      </c>
      <c r="AY55" s="383" t="e">
        <f t="shared" si="81"/>
        <v>#DIV/0!</v>
      </c>
      <c r="AZ55" s="383" t="e">
        <f t="shared" si="81"/>
        <v>#DIV/0!</v>
      </c>
      <c r="BA55" s="383" t="e">
        <f t="shared" si="81"/>
        <v>#DIV/0!</v>
      </c>
      <c r="BB55" s="383" t="e">
        <f t="shared" si="81"/>
        <v>#DIV/0!</v>
      </c>
      <c r="BC55" s="383" t="e">
        <f t="shared" si="81"/>
        <v>#DIV/0!</v>
      </c>
      <c r="BD55" s="383" t="e">
        <f t="shared" si="81"/>
        <v>#DIV/0!</v>
      </c>
      <c r="BE55" s="386">
        <v>0</v>
      </c>
      <c r="BF55" s="383" t="e">
        <f t="shared" si="78"/>
        <v>#DIV/0!</v>
      </c>
      <c r="BG55" s="383" t="e">
        <f t="shared" si="78"/>
        <v>#DIV/0!</v>
      </c>
      <c r="BH55" s="383" t="e">
        <f t="shared" si="78"/>
        <v>#DIV/0!</v>
      </c>
      <c r="BI55" s="383" t="e">
        <f t="shared" si="78"/>
        <v>#DIV/0!</v>
      </c>
      <c r="BJ55" s="383" t="e">
        <f t="shared" si="78"/>
        <v>#DIV/0!</v>
      </c>
      <c r="BK55" s="383" t="e">
        <f t="shared" si="78"/>
        <v>#DIV/0!</v>
      </c>
      <c r="BL55" s="383" t="e">
        <f t="shared" si="78"/>
        <v>#DIV/0!</v>
      </c>
      <c r="BM55" s="383" t="e">
        <f t="shared" si="76"/>
        <v>#DIV/0!</v>
      </c>
      <c r="BN55" s="383" t="e">
        <f t="shared" si="76"/>
        <v>#DIV/0!</v>
      </c>
      <c r="BO55" s="383" t="e">
        <f t="shared" si="76"/>
        <v>#DIV/0!</v>
      </c>
      <c r="BP55" s="383" t="e">
        <f t="shared" si="76"/>
        <v>#DIV/0!</v>
      </c>
      <c r="BQ55" s="383" t="e">
        <f t="shared" si="76"/>
        <v>#DIV/0!</v>
      </c>
      <c r="BR55" s="386" t="s">
        <v>1395</v>
      </c>
      <c r="BS55" s="383" t="e">
        <f>IF(BF55="","",IF(BS$18&gt;=2,"〇",""))</f>
        <v>#DIV/0!</v>
      </c>
      <c r="BT55" s="383" t="e">
        <f t="shared" ref="BT55:CD55" si="82">IF(BG55="","",IF(BT$18&gt;=2,"〇",""))</f>
        <v>#DIV/0!</v>
      </c>
      <c r="BU55" s="383" t="e">
        <f t="shared" si="82"/>
        <v>#DIV/0!</v>
      </c>
      <c r="BV55" s="383" t="e">
        <f t="shared" si="82"/>
        <v>#DIV/0!</v>
      </c>
      <c r="BW55" s="383" t="e">
        <f t="shared" si="82"/>
        <v>#DIV/0!</v>
      </c>
      <c r="BX55" s="383" t="e">
        <f t="shared" si="82"/>
        <v>#DIV/0!</v>
      </c>
      <c r="BY55" s="383" t="e">
        <f t="shared" si="82"/>
        <v>#DIV/0!</v>
      </c>
      <c r="BZ55" s="383" t="e">
        <f t="shared" si="82"/>
        <v>#DIV/0!</v>
      </c>
      <c r="CA55" s="383" t="e">
        <f t="shared" si="82"/>
        <v>#DIV/0!</v>
      </c>
      <c r="CB55" s="383" t="e">
        <f t="shared" si="82"/>
        <v>#DIV/0!</v>
      </c>
      <c r="CC55" s="383" t="e">
        <f t="shared" si="82"/>
        <v>#DIV/0!</v>
      </c>
      <c r="CD55" s="383" t="e">
        <f t="shared" si="82"/>
        <v>#DIV/0!</v>
      </c>
      <c r="CE55" s="386" t="s">
        <v>1390</v>
      </c>
      <c r="CF55" s="383" t="e">
        <f>IF(BS55="","","〇")</f>
        <v>#DIV/0!</v>
      </c>
      <c r="CG55" s="383" t="e">
        <f t="shared" ref="CG55:CQ55" si="83">IF(BT55="","","〇")</f>
        <v>#DIV/0!</v>
      </c>
      <c r="CH55" s="383" t="e">
        <f t="shared" si="83"/>
        <v>#DIV/0!</v>
      </c>
      <c r="CI55" s="383" t="e">
        <f t="shared" si="83"/>
        <v>#DIV/0!</v>
      </c>
      <c r="CJ55" s="383" t="e">
        <f t="shared" si="83"/>
        <v>#DIV/0!</v>
      </c>
      <c r="CK55" s="383" t="e">
        <f t="shared" si="83"/>
        <v>#DIV/0!</v>
      </c>
      <c r="CL55" s="383" t="e">
        <f t="shared" si="83"/>
        <v>#DIV/0!</v>
      </c>
      <c r="CM55" s="383" t="e">
        <f t="shared" si="83"/>
        <v>#DIV/0!</v>
      </c>
      <c r="CN55" s="383" t="e">
        <f t="shared" si="83"/>
        <v>#DIV/0!</v>
      </c>
      <c r="CO55" s="383" t="e">
        <f t="shared" si="83"/>
        <v>#DIV/0!</v>
      </c>
      <c r="CP55" s="383" t="e">
        <f t="shared" si="83"/>
        <v>#DIV/0!</v>
      </c>
      <c r="CQ55" s="383" t="e">
        <f t="shared" si="83"/>
        <v>#DIV/0!</v>
      </c>
    </row>
    <row r="56" spans="3:95">
      <c r="C56" s="391">
        <v>1</v>
      </c>
      <c r="D56" s="391" t="s">
        <v>1404</v>
      </c>
      <c r="E56" s="391">
        <v>1</v>
      </c>
      <c r="F56" s="391" t="s">
        <v>1404</v>
      </c>
      <c r="G56" s="382" t="s">
        <v>1390</v>
      </c>
      <c r="H56" s="382" t="s">
        <v>1390</v>
      </c>
      <c r="I56" s="390">
        <v>1</v>
      </c>
      <c r="J56" s="390" t="s">
        <v>1405</v>
      </c>
      <c r="K56" s="382" t="s">
        <v>1390</v>
      </c>
      <c r="L56" s="382" t="s">
        <v>1390</v>
      </c>
      <c r="M56" s="382" t="s">
        <v>1390</v>
      </c>
      <c r="N56" s="382" t="s">
        <v>1390</v>
      </c>
      <c r="O56" s="382" t="s">
        <v>1390</v>
      </c>
      <c r="P56" s="382" t="s">
        <v>1390</v>
      </c>
      <c r="R56" s="386">
        <v>2</v>
      </c>
      <c r="S56" s="383" t="e">
        <f t="shared" si="75"/>
        <v>#DIV/0!</v>
      </c>
      <c r="T56" s="383" t="e">
        <f t="shared" si="75"/>
        <v>#DIV/0!</v>
      </c>
      <c r="U56" s="383" t="e">
        <f t="shared" si="75"/>
        <v>#DIV/0!</v>
      </c>
      <c r="V56" s="383" t="e">
        <f t="shared" si="75"/>
        <v>#DIV/0!</v>
      </c>
      <c r="W56" s="383" t="e">
        <f t="shared" si="75"/>
        <v>#DIV/0!</v>
      </c>
      <c r="X56" s="383" t="e">
        <f t="shared" si="75"/>
        <v>#DIV/0!</v>
      </c>
      <c r="Y56" s="383" t="e">
        <f t="shared" si="75"/>
        <v>#DIV/0!</v>
      </c>
      <c r="Z56" s="383" t="e">
        <f t="shared" si="75"/>
        <v>#DIV/0!</v>
      </c>
      <c r="AA56" s="383" t="e">
        <f t="shared" si="75"/>
        <v>#DIV/0!</v>
      </c>
      <c r="AB56" s="383" t="e">
        <f t="shared" si="75"/>
        <v>#DIV/0!</v>
      </c>
      <c r="AC56" s="383" t="e">
        <f t="shared" si="75"/>
        <v>#DIV/0!</v>
      </c>
      <c r="AD56" s="383" t="e">
        <f t="shared" si="75"/>
        <v>#DIV/0!</v>
      </c>
      <c r="AE56" s="386" t="s">
        <v>1390</v>
      </c>
      <c r="AF56" s="383" t="e">
        <f t="shared" si="72"/>
        <v>#DIV/0!</v>
      </c>
      <c r="AG56" s="383" t="e">
        <f t="shared" si="72"/>
        <v>#DIV/0!</v>
      </c>
      <c r="AH56" s="383" t="e">
        <f t="shared" si="72"/>
        <v>#DIV/0!</v>
      </c>
      <c r="AI56" s="383" t="e">
        <f t="shared" si="72"/>
        <v>#DIV/0!</v>
      </c>
      <c r="AJ56" s="383" t="e">
        <f t="shared" si="72"/>
        <v>#DIV/0!</v>
      </c>
      <c r="AK56" s="383" t="e">
        <f t="shared" si="72"/>
        <v>#DIV/0!</v>
      </c>
      <c r="AL56" s="383" t="e">
        <f t="shared" si="72"/>
        <v>#DIV/0!</v>
      </c>
      <c r="AM56" s="383" t="e">
        <f t="shared" si="72"/>
        <v>#DIV/0!</v>
      </c>
      <c r="AN56" s="383" t="e">
        <f t="shared" si="72"/>
        <v>#DIV/0!</v>
      </c>
      <c r="AO56" s="383" t="e">
        <f t="shared" si="72"/>
        <v>#DIV/0!</v>
      </c>
      <c r="AP56" s="383" t="e">
        <f t="shared" si="72"/>
        <v>#DIV/0!</v>
      </c>
      <c r="AQ56" s="383" t="e">
        <f t="shared" si="72"/>
        <v>#DIV/0!</v>
      </c>
      <c r="AR56" s="385" t="s">
        <v>1390</v>
      </c>
      <c r="AS56" s="383" t="e">
        <f t="shared" ref="AS56:AS63" si="84">IF(AF56="","","〇")</f>
        <v>#DIV/0!</v>
      </c>
      <c r="AT56" s="383" t="e">
        <f t="shared" si="81"/>
        <v>#DIV/0!</v>
      </c>
      <c r="AU56" s="383" t="e">
        <f t="shared" si="81"/>
        <v>#DIV/0!</v>
      </c>
      <c r="AV56" s="383" t="e">
        <f t="shared" si="81"/>
        <v>#DIV/0!</v>
      </c>
      <c r="AW56" s="383" t="e">
        <f t="shared" si="81"/>
        <v>#DIV/0!</v>
      </c>
      <c r="AX56" s="383" t="e">
        <f t="shared" si="81"/>
        <v>#DIV/0!</v>
      </c>
      <c r="AY56" s="383" t="e">
        <f t="shared" si="81"/>
        <v>#DIV/0!</v>
      </c>
      <c r="AZ56" s="383" t="e">
        <f t="shared" si="81"/>
        <v>#DIV/0!</v>
      </c>
      <c r="BA56" s="383" t="e">
        <f t="shared" si="81"/>
        <v>#DIV/0!</v>
      </c>
      <c r="BB56" s="383" t="e">
        <f t="shared" si="81"/>
        <v>#DIV/0!</v>
      </c>
      <c r="BC56" s="383" t="e">
        <f t="shared" si="81"/>
        <v>#DIV/0!</v>
      </c>
      <c r="BD56" s="383" t="e">
        <f t="shared" si="81"/>
        <v>#DIV/0!</v>
      </c>
      <c r="BE56" s="386">
        <v>1</v>
      </c>
      <c r="BF56" s="383" t="e">
        <f t="shared" si="78"/>
        <v>#DIV/0!</v>
      </c>
      <c r="BG56" s="383" t="e">
        <f t="shared" si="78"/>
        <v>#DIV/0!</v>
      </c>
      <c r="BH56" s="383" t="e">
        <f t="shared" si="78"/>
        <v>#DIV/0!</v>
      </c>
      <c r="BI56" s="383" t="e">
        <f t="shared" si="78"/>
        <v>#DIV/0!</v>
      </c>
      <c r="BJ56" s="383" t="e">
        <f t="shared" si="78"/>
        <v>#DIV/0!</v>
      </c>
      <c r="BK56" s="383" t="e">
        <f t="shared" si="78"/>
        <v>#DIV/0!</v>
      </c>
      <c r="BL56" s="383" t="e">
        <f t="shared" si="78"/>
        <v>#DIV/0!</v>
      </c>
      <c r="BM56" s="383" t="e">
        <f t="shared" si="76"/>
        <v>#DIV/0!</v>
      </c>
      <c r="BN56" s="383" t="e">
        <f t="shared" si="76"/>
        <v>#DIV/0!</v>
      </c>
      <c r="BO56" s="383" t="e">
        <f t="shared" si="76"/>
        <v>#DIV/0!</v>
      </c>
      <c r="BP56" s="383" t="e">
        <f t="shared" si="76"/>
        <v>#DIV/0!</v>
      </c>
      <c r="BQ56" s="383" t="e">
        <f t="shared" si="76"/>
        <v>#DIV/0!</v>
      </c>
      <c r="BR56" s="386">
        <v>0</v>
      </c>
      <c r="BS56" s="383" t="e">
        <f>IF(BF56="","",IF(BS$18=$BR56,"〇",""))</f>
        <v>#DIV/0!</v>
      </c>
      <c r="BT56" s="383" t="e">
        <f t="shared" ref="BT56:CD57" si="85">IF(BG56="","",IF(BT$18=$BR56,"〇",""))</f>
        <v>#DIV/0!</v>
      </c>
      <c r="BU56" s="383" t="e">
        <f t="shared" si="85"/>
        <v>#DIV/0!</v>
      </c>
      <c r="BV56" s="383" t="e">
        <f t="shared" si="85"/>
        <v>#DIV/0!</v>
      </c>
      <c r="BW56" s="383" t="e">
        <f t="shared" si="85"/>
        <v>#DIV/0!</v>
      </c>
      <c r="BX56" s="383" t="e">
        <f t="shared" si="85"/>
        <v>#DIV/0!</v>
      </c>
      <c r="BY56" s="383" t="e">
        <f t="shared" si="85"/>
        <v>#DIV/0!</v>
      </c>
      <c r="BZ56" s="383" t="e">
        <f t="shared" si="85"/>
        <v>#DIV/0!</v>
      </c>
      <c r="CA56" s="383" t="e">
        <f t="shared" si="85"/>
        <v>#DIV/0!</v>
      </c>
      <c r="CB56" s="383" t="e">
        <f t="shared" si="85"/>
        <v>#DIV/0!</v>
      </c>
      <c r="CC56" s="383" t="e">
        <f t="shared" si="85"/>
        <v>#DIV/0!</v>
      </c>
      <c r="CD56" s="383" t="e">
        <f t="shared" si="85"/>
        <v>#DIV/0!</v>
      </c>
      <c r="CE56" s="386">
        <v>0</v>
      </c>
      <c r="CF56" s="383" t="e">
        <f>IF(BS56="","",IF(CF$18=$CE56,"〇",""))</f>
        <v>#DIV/0!</v>
      </c>
      <c r="CG56" s="383" t="e">
        <f t="shared" ref="CG56:CQ56" si="86">IF(BT56="","",IF(CG$18=$CE56,"〇",""))</f>
        <v>#DIV/0!</v>
      </c>
      <c r="CH56" s="383" t="e">
        <f t="shared" si="86"/>
        <v>#DIV/0!</v>
      </c>
      <c r="CI56" s="383" t="e">
        <f t="shared" si="86"/>
        <v>#DIV/0!</v>
      </c>
      <c r="CJ56" s="383" t="e">
        <f t="shared" si="86"/>
        <v>#DIV/0!</v>
      </c>
      <c r="CK56" s="383" t="e">
        <f t="shared" si="86"/>
        <v>#DIV/0!</v>
      </c>
      <c r="CL56" s="383" t="e">
        <f t="shared" si="86"/>
        <v>#DIV/0!</v>
      </c>
      <c r="CM56" s="383" t="e">
        <f t="shared" si="86"/>
        <v>#DIV/0!</v>
      </c>
      <c r="CN56" s="383" t="e">
        <f t="shared" si="86"/>
        <v>#DIV/0!</v>
      </c>
      <c r="CO56" s="383" t="e">
        <f t="shared" si="86"/>
        <v>#DIV/0!</v>
      </c>
      <c r="CP56" s="383" t="e">
        <f t="shared" si="86"/>
        <v>#DIV/0!</v>
      </c>
      <c r="CQ56" s="383" t="e">
        <f t="shared" si="86"/>
        <v>#DIV/0!</v>
      </c>
    </row>
    <row r="57" spans="3:95">
      <c r="C57" s="391">
        <v>1</v>
      </c>
      <c r="D57" s="391" t="s">
        <v>1404</v>
      </c>
      <c r="E57" s="391">
        <v>1</v>
      </c>
      <c r="F57" s="391" t="s">
        <v>1404</v>
      </c>
      <c r="G57" s="382" t="s">
        <v>1390</v>
      </c>
      <c r="H57" s="382" t="s">
        <v>1390</v>
      </c>
      <c r="I57" s="390">
        <v>1</v>
      </c>
      <c r="J57" s="390" t="s">
        <v>1405</v>
      </c>
      <c r="K57" s="387">
        <v>1</v>
      </c>
      <c r="L57" s="387" t="s">
        <v>1393</v>
      </c>
      <c r="M57" s="382" t="s">
        <v>1390</v>
      </c>
      <c r="N57" s="382" t="s">
        <v>1390</v>
      </c>
      <c r="O57" s="382" t="s">
        <v>1390</v>
      </c>
      <c r="P57" s="382" t="s">
        <v>1390</v>
      </c>
      <c r="R57" s="386">
        <v>2</v>
      </c>
      <c r="S57" s="383" t="e">
        <f t="shared" si="75"/>
        <v>#DIV/0!</v>
      </c>
      <c r="T57" s="383" t="e">
        <f t="shared" si="75"/>
        <v>#DIV/0!</v>
      </c>
      <c r="U57" s="383" t="e">
        <f t="shared" si="75"/>
        <v>#DIV/0!</v>
      </c>
      <c r="V57" s="383" t="e">
        <f t="shared" si="75"/>
        <v>#DIV/0!</v>
      </c>
      <c r="W57" s="383" t="e">
        <f t="shared" si="75"/>
        <v>#DIV/0!</v>
      </c>
      <c r="X57" s="383" t="e">
        <f t="shared" si="75"/>
        <v>#DIV/0!</v>
      </c>
      <c r="Y57" s="383" t="e">
        <f t="shared" si="75"/>
        <v>#DIV/0!</v>
      </c>
      <c r="Z57" s="383" t="e">
        <f t="shared" si="75"/>
        <v>#DIV/0!</v>
      </c>
      <c r="AA57" s="383" t="e">
        <f t="shared" si="75"/>
        <v>#DIV/0!</v>
      </c>
      <c r="AB57" s="383" t="e">
        <f t="shared" si="75"/>
        <v>#DIV/0!</v>
      </c>
      <c r="AC57" s="383" t="e">
        <f t="shared" si="75"/>
        <v>#DIV/0!</v>
      </c>
      <c r="AD57" s="383" t="e">
        <f t="shared" si="75"/>
        <v>#DIV/0!</v>
      </c>
      <c r="AE57" s="386" t="s">
        <v>1390</v>
      </c>
      <c r="AF57" s="383" t="e">
        <f t="shared" si="72"/>
        <v>#DIV/0!</v>
      </c>
      <c r="AG57" s="383" t="e">
        <f t="shared" si="72"/>
        <v>#DIV/0!</v>
      </c>
      <c r="AH57" s="383" t="e">
        <f t="shared" si="72"/>
        <v>#DIV/0!</v>
      </c>
      <c r="AI57" s="383" t="e">
        <f t="shared" si="72"/>
        <v>#DIV/0!</v>
      </c>
      <c r="AJ57" s="383" t="e">
        <f t="shared" si="72"/>
        <v>#DIV/0!</v>
      </c>
      <c r="AK57" s="383" t="e">
        <f t="shared" si="72"/>
        <v>#DIV/0!</v>
      </c>
      <c r="AL57" s="383" t="e">
        <f t="shared" si="72"/>
        <v>#DIV/0!</v>
      </c>
      <c r="AM57" s="383" t="e">
        <f t="shared" si="72"/>
        <v>#DIV/0!</v>
      </c>
      <c r="AN57" s="383" t="e">
        <f t="shared" si="72"/>
        <v>#DIV/0!</v>
      </c>
      <c r="AO57" s="383" t="e">
        <f t="shared" si="72"/>
        <v>#DIV/0!</v>
      </c>
      <c r="AP57" s="383" t="e">
        <f t="shared" si="72"/>
        <v>#DIV/0!</v>
      </c>
      <c r="AQ57" s="383" t="e">
        <f t="shared" si="72"/>
        <v>#DIV/0!</v>
      </c>
      <c r="AR57" s="385" t="s">
        <v>1390</v>
      </c>
      <c r="AS57" s="383" t="e">
        <f t="shared" si="84"/>
        <v>#DIV/0!</v>
      </c>
      <c r="AT57" s="383" t="e">
        <f t="shared" si="81"/>
        <v>#DIV/0!</v>
      </c>
      <c r="AU57" s="383" t="e">
        <f t="shared" si="81"/>
        <v>#DIV/0!</v>
      </c>
      <c r="AV57" s="383" t="e">
        <f t="shared" si="81"/>
        <v>#DIV/0!</v>
      </c>
      <c r="AW57" s="383" t="e">
        <f t="shared" si="81"/>
        <v>#DIV/0!</v>
      </c>
      <c r="AX57" s="383" t="e">
        <f t="shared" si="81"/>
        <v>#DIV/0!</v>
      </c>
      <c r="AY57" s="383" t="e">
        <f t="shared" si="81"/>
        <v>#DIV/0!</v>
      </c>
      <c r="AZ57" s="383" t="e">
        <f t="shared" si="81"/>
        <v>#DIV/0!</v>
      </c>
      <c r="BA57" s="383" t="e">
        <f t="shared" si="81"/>
        <v>#DIV/0!</v>
      </c>
      <c r="BB57" s="383" t="e">
        <f t="shared" si="81"/>
        <v>#DIV/0!</v>
      </c>
      <c r="BC57" s="383" t="e">
        <f t="shared" si="81"/>
        <v>#DIV/0!</v>
      </c>
      <c r="BD57" s="383" t="e">
        <f t="shared" si="81"/>
        <v>#DIV/0!</v>
      </c>
      <c r="BE57" s="386">
        <v>1</v>
      </c>
      <c r="BF57" s="383" t="e">
        <f t="shared" si="78"/>
        <v>#DIV/0!</v>
      </c>
      <c r="BG57" s="383" t="e">
        <f t="shared" si="78"/>
        <v>#DIV/0!</v>
      </c>
      <c r="BH57" s="383" t="e">
        <f t="shared" si="78"/>
        <v>#DIV/0!</v>
      </c>
      <c r="BI57" s="383" t="e">
        <f t="shared" si="78"/>
        <v>#DIV/0!</v>
      </c>
      <c r="BJ57" s="383" t="e">
        <f t="shared" si="78"/>
        <v>#DIV/0!</v>
      </c>
      <c r="BK57" s="383" t="e">
        <f t="shared" si="78"/>
        <v>#DIV/0!</v>
      </c>
      <c r="BL57" s="383" t="e">
        <f t="shared" si="78"/>
        <v>#DIV/0!</v>
      </c>
      <c r="BM57" s="383" t="e">
        <f t="shared" si="76"/>
        <v>#DIV/0!</v>
      </c>
      <c r="BN57" s="383" t="e">
        <f t="shared" si="76"/>
        <v>#DIV/0!</v>
      </c>
      <c r="BO57" s="383" t="e">
        <f t="shared" si="76"/>
        <v>#DIV/0!</v>
      </c>
      <c r="BP57" s="383" t="e">
        <f t="shared" si="76"/>
        <v>#DIV/0!</v>
      </c>
      <c r="BQ57" s="383" t="e">
        <f t="shared" si="76"/>
        <v>#DIV/0!</v>
      </c>
      <c r="BR57" s="386">
        <v>0</v>
      </c>
      <c r="BS57" s="383" t="e">
        <f>IF(BF57="","",IF(BS$18=$BR57,"〇",""))</f>
        <v>#DIV/0!</v>
      </c>
      <c r="BT57" s="383" t="e">
        <f t="shared" si="85"/>
        <v>#DIV/0!</v>
      </c>
      <c r="BU57" s="383" t="e">
        <f t="shared" si="85"/>
        <v>#DIV/0!</v>
      </c>
      <c r="BV57" s="383" t="e">
        <f t="shared" si="85"/>
        <v>#DIV/0!</v>
      </c>
      <c r="BW57" s="383" t="e">
        <f t="shared" si="85"/>
        <v>#DIV/0!</v>
      </c>
      <c r="BX57" s="383" t="e">
        <f t="shared" si="85"/>
        <v>#DIV/0!</v>
      </c>
      <c r="BY57" s="383" t="e">
        <f t="shared" si="85"/>
        <v>#DIV/0!</v>
      </c>
      <c r="BZ57" s="383" t="e">
        <f t="shared" si="85"/>
        <v>#DIV/0!</v>
      </c>
      <c r="CA57" s="383" t="e">
        <f t="shared" si="85"/>
        <v>#DIV/0!</v>
      </c>
      <c r="CB57" s="383" t="e">
        <f t="shared" si="85"/>
        <v>#DIV/0!</v>
      </c>
      <c r="CC57" s="383" t="e">
        <f t="shared" si="85"/>
        <v>#DIV/0!</v>
      </c>
      <c r="CD57" s="383" t="e">
        <f t="shared" si="85"/>
        <v>#DIV/0!</v>
      </c>
      <c r="CE57" s="386" t="s">
        <v>1396</v>
      </c>
      <c r="CF57" s="383" t="e">
        <f>IF(BS57="","",IF(CF$18&gt;=1,"〇",""))</f>
        <v>#DIV/0!</v>
      </c>
      <c r="CG57" s="383" t="e">
        <f t="shared" ref="CG57:CQ57" si="87">IF(BT57="","",IF(CG$18&gt;=1,"〇",""))</f>
        <v>#DIV/0!</v>
      </c>
      <c r="CH57" s="383" t="e">
        <f t="shared" si="87"/>
        <v>#DIV/0!</v>
      </c>
      <c r="CI57" s="383" t="e">
        <f t="shared" si="87"/>
        <v>#DIV/0!</v>
      </c>
      <c r="CJ57" s="383" t="e">
        <f t="shared" si="87"/>
        <v>#DIV/0!</v>
      </c>
      <c r="CK57" s="383" t="e">
        <f t="shared" si="87"/>
        <v>#DIV/0!</v>
      </c>
      <c r="CL57" s="383" t="e">
        <f t="shared" si="87"/>
        <v>#DIV/0!</v>
      </c>
      <c r="CM57" s="383" t="e">
        <f t="shared" si="87"/>
        <v>#DIV/0!</v>
      </c>
      <c r="CN57" s="383" t="e">
        <f t="shared" si="87"/>
        <v>#DIV/0!</v>
      </c>
      <c r="CO57" s="383" t="e">
        <f t="shared" si="87"/>
        <v>#DIV/0!</v>
      </c>
      <c r="CP57" s="383" t="e">
        <f t="shared" si="87"/>
        <v>#DIV/0!</v>
      </c>
      <c r="CQ57" s="383" t="e">
        <f t="shared" si="87"/>
        <v>#DIV/0!</v>
      </c>
    </row>
    <row r="58" spans="3:95">
      <c r="C58" s="391">
        <v>1</v>
      </c>
      <c r="D58" s="391" t="s">
        <v>1404</v>
      </c>
      <c r="E58" s="391">
        <v>1</v>
      </c>
      <c r="F58" s="391" t="s">
        <v>1404</v>
      </c>
      <c r="G58" s="382" t="s">
        <v>1390</v>
      </c>
      <c r="H58" s="382" t="s">
        <v>1390</v>
      </c>
      <c r="I58" s="390">
        <v>1</v>
      </c>
      <c r="J58" s="390" t="s">
        <v>1405</v>
      </c>
      <c r="K58" s="389">
        <v>1</v>
      </c>
      <c r="L58" s="389" t="s">
        <v>1404</v>
      </c>
      <c r="M58" s="382" t="s">
        <v>1390</v>
      </c>
      <c r="N58" s="382" t="s">
        <v>1390</v>
      </c>
      <c r="O58" s="382" t="s">
        <v>1390</v>
      </c>
      <c r="P58" s="382" t="s">
        <v>1390</v>
      </c>
      <c r="R58" s="386">
        <v>2</v>
      </c>
      <c r="S58" s="383" t="e">
        <f t="shared" si="75"/>
        <v>#DIV/0!</v>
      </c>
      <c r="T58" s="383" t="e">
        <f t="shared" si="75"/>
        <v>#DIV/0!</v>
      </c>
      <c r="U58" s="383" t="e">
        <f t="shared" si="75"/>
        <v>#DIV/0!</v>
      </c>
      <c r="V58" s="383" t="e">
        <f t="shared" si="75"/>
        <v>#DIV/0!</v>
      </c>
      <c r="W58" s="383" t="e">
        <f t="shared" si="75"/>
        <v>#DIV/0!</v>
      </c>
      <c r="X58" s="383" t="e">
        <f t="shared" si="75"/>
        <v>#DIV/0!</v>
      </c>
      <c r="Y58" s="383" t="e">
        <f t="shared" si="75"/>
        <v>#DIV/0!</v>
      </c>
      <c r="Z58" s="383" t="e">
        <f t="shared" si="75"/>
        <v>#DIV/0!</v>
      </c>
      <c r="AA58" s="383" t="e">
        <f t="shared" si="75"/>
        <v>#DIV/0!</v>
      </c>
      <c r="AB58" s="383" t="e">
        <f t="shared" si="75"/>
        <v>#DIV/0!</v>
      </c>
      <c r="AC58" s="383" t="e">
        <f t="shared" si="75"/>
        <v>#DIV/0!</v>
      </c>
      <c r="AD58" s="383" t="e">
        <f t="shared" si="75"/>
        <v>#DIV/0!</v>
      </c>
      <c r="AE58" s="386" t="s">
        <v>1390</v>
      </c>
      <c r="AF58" s="383" t="e">
        <f t="shared" si="72"/>
        <v>#DIV/0!</v>
      </c>
      <c r="AG58" s="383" t="e">
        <f t="shared" si="72"/>
        <v>#DIV/0!</v>
      </c>
      <c r="AH58" s="383" t="e">
        <f t="shared" si="72"/>
        <v>#DIV/0!</v>
      </c>
      <c r="AI58" s="383" t="e">
        <f t="shared" si="72"/>
        <v>#DIV/0!</v>
      </c>
      <c r="AJ58" s="383" t="e">
        <f t="shared" si="72"/>
        <v>#DIV/0!</v>
      </c>
      <c r="AK58" s="383" t="e">
        <f t="shared" si="72"/>
        <v>#DIV/0!</v>
      </c>
      <c r="AL58" s="383" t="e">
        <f t="shared" si="72"/>
        <v>#DIV/0!</v>
      </c>
      <c r="AM58" s="383" t="e">
        <f t="shared" si="72"/>
        <v>#DIV/0!</v>
      </c>
      <c r="AN58" s="383" t="e">
        <f t="shared" si="72"/>
        <v>#DIV/0!</v>
      </c>
      <c r="AO58" s="383" t="e">
        <f t="shared" si="72"/>
        <v>#DIV/0!</v>
      </c>
      <c r="AP58" s="383" t="e">
        <f t="shared" si="72"/>
        <v>#DIV/0!</v>
      </c>
      <c r="AQ58" s="383" t="e">
        <f t="shared" si="72"/>
        <v>#DIV/0!</v>
      </c>
      <c r="AR58" s="385" t="s">
        <v>1390</v>
      </c>
      <c r="AS58" s="383" t="e">
        <f t="shared" si="84"/>
        <v>#DIV/0!</v>
      </c>
      <c r="AT58" s="383" t="e">
        <f t="shared" si="81"/>
        <v>#DIV/0!</v>
      </c>
      <c r="AU58" s="383" t="e">
        <f t="shared" si="81"/>
        <v>#DIV/0!</v>
      </c>
      <c r="AV58" s="383" t="e">
        <f t="shared" si="81"/>
        <v>#DIV/0!</v>
      </c>
      <c r="AW58" s="383" t="e">
        <f t="shared" si="81"/>
        <v>#DIV/0!</v>
      </c>
      <c r="AX58" s="383" t="e">
        <f t="shared" si="81"/>
        <v>#DIV/0!</v>
      </c>
      <c r="AY58" s="383" t="e">
        <f t="shared" si="81"/>
        <v>#DIV/0!</v>
      </c>
      <c r="AZ58" s="383" t="e">
        <f t="shared" si="81"/>
        <v>#DIV/0!</v>
      </c>
      <c r="BA58" s="383" t="e">
        <f t="shared" si="81"/>
        <v>#DIV/0!</v>
      </c>
      <c r="BB58" s="383" t="e">
        <f t="shared" si="81"/>
        <v>#DIV/0!</v>
      </c>
      <c r="BC58" s="383" t="e">
        <f t="shared" si="81"/>
        <v>#DIV/0!</v>
      </c>
      <c r="BD58" s="383" t="e">
        <f t="shared" si="81"/>
        <v>#DIV/0!</v>
      </c>
      <c r="BE58" s="386">
        <v>1</v>
      </c>
      <c r="BF58" s="383" t="e">
        <f t="shared" si="78"/>
        <v>#DIV/0!</v>
      </c>
      <c r="BG58" s="383" t="e">
        <f t="shared" si="78"/>
        <v>#DIV/0!</v>
      </c>
      <c r="BH58" s="383" t="e">
        <f t="shared" si="78"/>
        <v>#DIV/0!</v>
      </c>
      <c r="BI58" s="383" t="e">
        <f t="shared" si="78"/>
        <v>#DIV/0!</v>
      </c>
      <c r="BJ58" s="383" t="e">
        <f t="shared" si="78"/>
        <v>#DIV/0!</v>
      </c>
      <c r="BK58" s="383" t="e">
        <f t="shared" si="78"/>
        <v>#DIV/0!</v>
      </c>
      <c r="BL58" s="383" t="e">
        <f t="shared" si="78"/>
        <v>#DIV/0!</v>
      </c>
      <c r="BM58" s="383" t="e">
        <f t="shared" si="76"/>
        <v>#DIV/0!</v>
      </c>
      <c r="BN58" s="383" t="e">
        <f t="shared" si="76"/>
        <v>#DIV/0!</v>
      </c>
      <c r="BO58" s="383" t="e">
        <f t="shared" si="76"/>
        <v>#DIV/0!</v>
      </c>
      <c r="BP58" s="383" t="e">
        <f t="shared" si="76"/>
        <v>#DIV/0!</v>
      </c>
      <c r="BQ58" s="383" t="e">
        <f t="shared" si="76"/>
        <v>#DIV/0!</v>
      </c>
      <c r="BR58" s="386" t="s">
        <v>1396</v>
      </c>
      <c r="BS58" s="383" t="e">
        <f>IF(BF58="","",IF(BS$18&gt;=1,"〇",""))</f>
        <v>#DIV/0!</v>
      </c>
      <c r="BT58" s="383" t="e">
        <f t="shared" ref="BT58:CD58" si="88">IF(BG58="","",IF(BT$18&gt;=1,"〇",""))</f>
        <v>#DIV/0!</v>
      </c>
      <c r="BU58" s="383" t="e">
        <f t="shared" si="88"/>
        <v>#DIV/0!</v>
      </c>
      <c r="BV58" s="383" t="e">
        <f t="shared" si="88"/>
        <v>#DIV/0!</v>
      </c>
      <c r="BW58" s="383" t="e">
        <f t="shared" si="88"/>
        <v>#DIV/0!</v>
      </c>
      <c r="BX58" s="383" t="e">
        <f t="shared" si="88"/>
        <v>#DIV/0!</v>
      </c>
      <c r="BY58" s="383" t="e">
        <f t="shared" si="88"/>
        <v>#DIV/0!</v>
      </c>
      <c r="BZ58" s="383" t="e">
        <f t="shared" si="88"/>
        <v>#DIV/0!</v>
      </c>
      <c r="CA58" s="383" t="e">
        <f t="shared" si="88"/>
        <v>#DIV/0!</v>
      </c>
      <c r="CB58" s="383" t="e">
        <f t="shared" si="88"/>
        <v>#DIV/0!</v>
      </c>
      <c r="CC58" s="383" t="e">
        <f t="shared" si="88"/>
        <v>#DIV/0!</v>
      </c>
      <c r="CD58" s="383" t="e">
        <f t="shared" si="88"/>
        <v>#DIV/0!</v>
      </c>
      <c r="CE58" s="386" t="s">
        <v>1390</v>
      </c>
      <c r="CF58" s="383" t="e">
        <f t="shared" ref="CF58:CQ59" si="89">IF(BS58="","","〇")</f>
        <v>#DIV/0!</v>
      </c>
      <c r="CG58" s="383" t="e">
        <f t="shared" si="89"/>
        <v>#DIV/0!</v>
      </c>
      <c r="CH58" s="383" t="e">
        <f t="shared" si="89"/>
        <v>#DIV/0!</v>
      </c>
      <c r="CI58" s="383" t="e">
        <f t="shared" si="89"/>
        <v>#DIV/0!</v>
      </c>
      <c r="CJ58" s="383" t="e">
        <f t="shared" si="89"/>
        <v>#DIV/0!</v>
      </c>
      <c r="CK58" s="383" t="e">
        <f t="shared" si="89"/>
        <v>#DIV/0!</v>
      </c>
      <c r="CL58" s="383" t="e">
        <f t="shared" si="89"/>
        <v>#DIV/0!</v>
      </c>
      <c r="CM58" s="383" t="e">
        <f t="shared" si="89"/>
        <v>#DIV/0!</v>
      </c>
      <c r="CN58" s="383" t="e">
        <f t="shared" si="89"/>
        <v>#DIV/0!</v>
      </c>
      <c r="CO58" s="383" t="e">
        <f t="shared" si="89"/>
        <v>#DIV/0!</v>
      </c>
      <c r="CP58" s="383" t="e">
        <f t="shared" si="89"/>
        <v>#DIV/0!</v>
      </c>
      <c r="CQ58" s="383" t="e">
        <f t="shared" si="89"/>
        <v>#DIV/0!</v>
      </c>
    </row>
    <row r="59" spans="3:95">
      <c r="C59" s="391">
        <v>1</v>
      </c>
      <c r="D59" s="391" t="s">
        <v>1404</v>
      </c>
      <c r="E59" s="391">
        <v>1</v>
      </c>
      <c r="F59" s="391" t="s">
        <v>1404</v>
      </c>
      <c r="G59" s="382" t="s">
        <v>1390</v>
      </c>
      <c r="H59" s="382" t="s">
        <v>1390</v>
      </c>
      <c r="I59" s="390">
        <v>1</v>
      </c>
      <c r="J59" s="390" t="s">
        <v>1405</v>
      </c>
      <c r="K59" s="390">
        <v>1</v>
      </c>
      <c r="L59" s="390" t="s">
        <v>1405</v>
      </c>
      <c r="M59" s="382" t="s">
        <v>1390</v>
      </c>
      <c r="N59" s="382" t="s">
        <v>1390</v>
      </c>
      <c r="O59" s="382" t="s">
        <v>1390</v>
      </c>
      <c r="P59" s="382" t="s">
        <v>1390</v>
      </c>
      <c r="R59" s="386">
        <v>2</v>
      </c>
      <c r="S59" s="383" t="e">
        <f>IF(AND(S$18&gt;=2,S$18&lt;3),"〇","")</f>
        <v>#DIV/0!</v>
      </c>
      <c r="T59" s="383" t="e">
        <f t="shared" si="75"/>
        <v>#DIV/0!</v>
      </c>
      <c r="U59" s="383" t="e">
        <f t="shared" si="75"/>
        <v>#DIV/0!</v>
      </c>
      <c r="V59" s="383" t="e">
        <f t="shared" si="75"/>
        <v>#DIV/0!</v>
      </c>
      <c r="W59" s="383" t="e">
        <f t="shared" si="75"/>
        <v>#DIV/0!</v>
      </c>
      <c r="X59" s="383" t="e">
        <f t="shared" si="75"/>
        <v>#DIV/0!</v>
      </c>
      <c r="Y59" s="383" t="e">
        <f t="shared" si="75"/>
        <v>#DIV/0!</v>
      </c>
      <c r="Z59" s="383" t="e">
        <f t="shared" si="75"/>
        <v>#DIV/0!</v>
      </c>
      <c r="AA59" s="383" t="e">
        <f t="shared" si="75"/>
        <v>#DIV/0!</v>
      </c>
      <c r="AB59" s="383" t="e">
        <f t="shared" si="75"/>
        <v>#DIV/0!</v>
      </c>
      <c r="AC59" s="383" t="e">
        <f t="shared" si="75"/>
        <v>#DIV/0!</v>
      </c>
      <c r="AD59" s="383" t="e">
        <f t="shared" si="75"/>
        <v>#DIV/0!</v>
      </c>
      <c r="AE59" s="386" t="s">
        <v>1390</v>
      </c>
      <c r="AF59" s="383" t="e">
        <f t="shared" si="72"/>
        <v>#DIV/0!</v>
      </c>
      <c r="AG59" s="383" t="e">
        <f t="shared" si="72"/>
        <v>#DIV/0!</v>
      </c>
      <c r="AH59" s="383" t="e">
        <f t="shared" si="72"/>
        <v>#DIV/0!</v>
      </c>
      <c r="AI59" s="383" t="e">
        <f t="shared" si="72"/>
        <v>#DIV/0!</v>
      </c>
      <c r="AJ59" s="383" t="e">
        <f t="shared" si="72"/>
        <v>#DIV/0!</v>
      </c>
      <c r="AK59" s="383" t="e">
        <f t="shared" si="72"/>
        <v>#DIV/0!</v>
      </c>
      <c r="AL59" s="383" t="e">
        <f t="shared" si="72"/>
        <v>#DIV/0!</v>
      </c>
      <c r="AM59" s="383" t="e">
        <f t="shared" si="72"/>
        <v>#DIV/0!</v>
      </c>
      <c r="AN59" s="383" t="e">
        <f t="shared" si="72"/>
        <v>#DIV/0!</v>
      </c>
      <c r="AO59" s="383" t="e">
        <f t="shared" si="72"/>
        <v>#DIV/0!</v>
      </c>
      <c r="AP59" s="383" t="e">
        <f t="shared" si="72"/>
        <v>#DIV/0!</v>
      </c>
      <c r="AQ59" s="383" t="e">
        <f t="shared" si="72"/>
        <v>#DIV/0!</v>
      </c>
      <c r="AR59" s="385" t="s">
        <v>1390</v>
      </c>
      <c r="AS59" s="383" t="e">
        <f t="shared" si="84"/>
        <v>#DIV/0!</v>
      </c>
      <c r="AT59" s="383" t="e">
        <f t="shared" si="81"/>
        <v>#DIV/0!</v>
      </c>
      <c r="AU59" s="383" t="e">
        <f t="shared" si="81"/>
        <v>#DIV/0!</v>
      </c>
      <c r="AV59" s="383" t="e">
        <f t="shared" si="81"/>
        <v>#DIV/0!</v>
      </c>
      <c r="AW59" s="383" t="e">
        <f t="shared" si="81"/>
        <v>#DIV/0!</v>
      </c>
      <c r="AX59" s="383" t="e">
        <f t="shared" si="81"/>
        <v>#DIV/0!</v>
      </c>
      <c r="AY59" s="383" t="e">
        <f t="shared" si="81"/>
        <v>#DIV/0!</v>
      </c>
      <c r="AZ59" s="383" t="e">
        <f t="shared" si="81"/>
        <v>#DIV/0!</v>
      </c>
      <c r="BA59" s="383" t="e">
        <f t="shared" si="81"/>
        <v>#DIV/0!</v>
      </c>
      <c r="BB59" s="383" t="e">
        <f t="shared" si="81"/>
        <v>#DIV/0!</v>
      </c>
      <c r="BC59" s="383" t="e">
        <f t="shared" si="81"/>
        <v>#DIV/0!</v>
      </c>
      <c r="BD59" s="383" t="e">
        <f t="shared" si="81"/>
        <v>#DIV/0!</v>
      </c>
      <c r="BE59" s="386" t="s">
        <v>1395</v>
      </c>
      <c r="BF59" s="383" t="e">
        <f>IF(AS59="","",IF(BF$18&gt;=2,"〇",""))</f>
        <v>#DIV/0!</v>
      </c>
      <c r="BG59" s="383" t="e">
        <f t="shared" ref="BG59:BQ59" si="90">IF(AT59="","",IF(BG$18&gt;=2,"〇",""))</f>
        <v>#DIV/0!</v>
      </c>
      <c r="BH59" s="383" t="e">
        <f t="shared" si="90"/>
        <v>#DIV/0!</v>
      </c>
      <c r="BI59" s="383" t="e">
        <f t="shared" si="90"/>
        <v>#DIV/0!</v>
      </c>
      <c r="BJ59" s="383" t="e">
        <f t="shared" si="90"/>
        <v>#DIV/0!</v>
      </c>
      <c r="BK59" s="383" t="e">
        <f t="shared" si="90"/>
        <v>#DIV/0!</v>
      </c>
      <c r="BL59" s="383" t="e">
        <f t="shared" si="90"/>
        <v>#DIV/0!</v>
      </c>
      <c r="BM59" s="383" t="e">
        <f t="shared" si="90"/>
        <v>#DIV/0!</v>
      </c>
      <c r="BN59" s="383" t="e">
        <f t="shared" si="90"/>
        <v>#DIV/0!</v>
      </c>
      <c r="BO59" s="383" t="e">
        <f t="shared" si="90"/>
        <v>#DIV/0!</v>
      </c>
      <c r="BP59" s="383" t="e">
        <f t="shared" si="90"/>
        <v>#DIV/0!</v>
      </c>
      <c r="BQ59" s="383" t="e">
        <f t="shared" si="90"/>
        <v>#DIV/0!</v>
      </c>
      <c r="BR59" s="386" t="s">
        <v>1390</v>
      </c>
      <c r="BS59" s="383" t="e">
        <f>IF(BF59="","","〇")</f>
        <v>#DIV/0!</v>
      </c>
      <c r="BT59" s="383" t="e">
        <f t="shared" ref="BT59:CD59" si="91">IF(BG59="","","〇")</f>
        <v>#DIV/0!</v>
      </c>
      <c r="BU59" s="383" t="e">
        <f t="shared" si="91"/>
        <v>#DIV/0!</v>
      </c>
      <c r="BV59" s="383" t="e">
        <f t="shared" si="91"/>
        <v>#DIV/0!</v>
      </c>
      <c r="BW59" s="383" t="e">
        <f t="shared" si="91"/>
        <v>#DIV/0!</v>
      </c>
      <c r="BX59" s="383" t="e">
        <f t="shared" si="91"/>
        <v>#DIV/0!</v>
      </c>
      <c r="BY59" s="383" t="e">
        <f t="shared" si="91"/>
        <v>#DIV/0!</v>
      </c>
      <c r="BZ59" s="383" t="e">
        <f t="shared" si="91"/>
        <v>#DIV/0!</v>
      </c>
      <c r="CA59" s="383" t="e">
        <f t="shared" si="91"/>
        <v>#DIV/0!</v>
      </c>
      <c r="CB59" s="383" t="e">
        <f t="shared" si="91"/>
        <v>#DIV/0!</v>
      </c>
      <c r="CC59" s="383" t="e">
        <f t="shared" si="91"/>
        <v>#DIV/0!</v>
      </c>
      <c r="CD59" s="383" t="e">
        <f t="shared" si="91"/>
        <v>#DIV/0!</v>
      </c>
      <c r="CE59" s="386" t="s">
        <v>1390</v>
      </c>
      <c r="CF59" s="383" t="e">
        <f t="shared" si="89"/>
        <v>#DIV/0!</v>
      </c>
      <c r="CG59" s="383" t="e">
        <f t="shared" si="89"/>
        <v>#DIV/0!</v>
      </c>
      <c r="CH59" s="383" t="e">
        <f t="shared" si="89"/>
        <v>#DIV/0!</v>
      </c>
      <c r="CI59" s="383" t="e">
        <f t="shared" si="89"/>
        <v>#DIV/0!</v>
      </c>
      <c r="CJ59" s="383" t="e">
        <f t="shared" si="89"/>
        <v>#DIV/0!</v>
      </c>
      <c r="CK59" s="383" t="e">
        <f t="shared" si="89"/>
        <v>#DIV/0!</v>
      </c>
      <c r="CL59" s="383" t="e">
        <f t="shared" si="89"/>
        <v>#DIV/0!</v>
      </c>
      <c r="CM59" s="383" t="e">
        <f t="shared" si="89"/>
        <v>#DIV/0!</v>
      </c>
      <c r="CN59" s="383" t="e">
        <f t="shared" si="89"/>
        <v>#DIV/0!</v>
      </c>
      <c r="CO59" s="383" t="e">
        <f t="shared" si="89"/>
        <v>#DIV/0!</v>
      </c>
      <c r="CP59" s="383" t="e">
        <f t="shared" si="89"/>
        <v>#DIV/0!</v>
      </c>
      <c r="CQ59" s="383" t="e">
        <f t="shared" si="89"/>
        <v>#DIV/0!</v>
      </c>
    </row>
    <row r="60" spans="3:95">
      <c r="C60" s="391">
        <v>1</v>
      </c>
      <c r="D60" s="391" t="s">
        <v>1404</v>
      </c>
      <c r="E60" s="391">
        <v>1</v>
      </c>
      <c r="F60" s="391" t="s">
        <v>1404</v>
      </c>
      <c r="G60" s="391">
        <v>1</v>
      </c>
      <c r="H60" s="391" t="s">
        <v>1404</v>
      </c>
      <c r="I60" s="382" t="s">
        <v>1390</v>
      </c>
      <c r="J60" s="382" t="s">
        <v>1390</v>
      </c>
      <c r="K60" s="382" t="s">
        <v>1390</v>
      </c>
      <c r="L60" s="382" t="s">
        <v>1390</v>
      </c>
      <c r="M60" s="382" t="s">
        <v>1390</v>
      </c>
      <c r="N60" s="382" t="s">
        <v>1390</v>
      </c>
      <c r="O60" s="382" t="s">
        <v>1390</v>
      </c>
      <c r="P60" s="382" t="s">
        <v>1390</v>
      </c>
      <c r="R60" s="386">
        <v>3</v>
      </c>
      <c r="S60" s="383" t="e">
        <f>IF(AND(S$18&gt;=3,S$18&lt;4),"〇","")</f>
        <v>#DIV/0!</v>
      </c>
      <c r="T60" s="383" t="e">
        <f t="shared" ref="T60:AD60" si="92">IF(AND(T$18&gt;=3,T$18&lt;4),"〇","")</f>
        <v>#DIV/0!</v>
      </c>
      <c r="U60" s="383" t="e">
        <f t="shared" si="92"/>
        <v>#DIV/0!</v>
      </c>
      <c r="V60" s="383" t="e">
        <f t="shared" si="92"/>
        <v>#DIV/0!</v>
      </c>
      <c r="W60" s="383" t="e">
        <f t="shared" si="92"/>
        <v>#DIV/0!</v>
      </c>
      <c r="X60" s="383" t="e">
        <f t="shared" si="92"/>
        <v>#DIV/0!</v>
      </c>
      <c r="Y60" s="383" t="e">
        <f t="shared" si="92"/>
        <v>#DIV/0!</v>
      </c>
      <c r="Z60" s="383" t="e">
        <f t="shared" si="92"/>
        <v>#DIV/0!</v>
      </c>
      <c r="AA60" s="383" t="e">
        <f t="shared" si="92"/>
        <v>#DIV/0!</v>
      </c>
      <c r="AB60" s="383" t="e">
        <f t="shared" si="92"/>
        <v>#DIV/0!</v>
      </c>
      <c r="AC60" s="383" t="e">
        <f t="shared" si="92"/>
        <v>#DIV/0!</v>
      </c>
      <c r="AD60" s="383" t="e">
        <f t="shared" si="92"/>
        <v>#DIV/0!</v>
      </c>
      <c r="AE60" s="386" t="s">
        <v>1390</v>
      </c>
      <c r="AF60" s="383" t="e">
        <f t="shared" si="72"/>
        <v>#DIV/0!</v>
      </c>
      <c r="AG60" s="383" t="e">
        <f t="shared" si="72"/>
        <v>#DIV/0!</v>
      </c>
      <c r="AH60" s="383" t="e">
        <f t="shared" si="72"/>
        <v>#DIV/0!</v>
      </c>
      <c r="AI60" s="383" t="e">
        <f t="shared" si="72"/>
        <v>#DIV/0!</v>
      </c>
      <c r="AJ60" s="383" t="e">
        <f t="shared" si="72"/>
        <v>#DIV/0!</v>
      </c>
      <c r="AK60" s="383" t="e">
        <f t="shared" si="72"/>
        <v>#DIV/0!</v>
      </c>
      <c r="AL60" s="383" t="e">
        <f t="shared" si="72"/>
        <v>#DIV/0!</v>
      </c>
      <c r="AM60" s="383" t="e">
        <f t="shared" si="72"/>
        <v>#DIV/0!</v>
      </c>
      <c r="AN60" s="383" t="e">
        <f t="shared" si="72"/>
        <v>#DIV/0!</v>
      </c>
      <c r="AO60" s="383" t="e">
        <f t="shared" si="72"/>
        <v>#DIV/0!</v>
      </c>
      <c r="AP60" s="383" t="e">
        <f t="shared" si="72"/>
        <v>#DIV/0!</v>
      </c>
      <c r="AQ60" s="383" t="e">
        <f t="shared" si="72"/>
        <v>#DIV/0!</v>
      </c>
      <c r="AR60" s="385" t="s">
        <v>1390</v>
      </c>
      <c r="AS60" s="383" t="e">
        <f t="shared" si="84"/>
        <v>#DIV/0!</v>
      </c>
      <c r="AT60" s="383" t="e">
        <f t="shared" si="81"/>
        <v>#DIV/0!</v>
      </c>
      <c r="AU60" s="383" t="e">
        <f t="shared" si="81"/>
        <v>#DIV/0!</v>
      </c>
      <c r="AV60" s="383" t="e">
        <f t="shared" si="81"/>
        <v>#DIV/0!</v>
      </c>
      <c r="AW60" s="383" t="e">
        <f t="shared" si="81"/>
        <v>#DIV/0!</v>
      </c>
      <c r="AX60" s="383" t="e">
        <f t="shared" si="81"/>
        <v>#DIV/0!</v>
      </c>
      <c r="AY60" s="383" t="e">
        <f t="shared" si="81"/>
        <v>#DIV/0!</v>
      </c>
      <c r="AZ60" s="383" t="e">
        <f t="shared" si="81"/>
        <v>#DIV/0!</v>
      </c>
      <c r="BA60" s="383" t="e">
        <f t="shared" si="81"/>
        <v>#DIV/0!</v>
      </c>
      <c r="BB60" s="383" t="e">
        <f t="shared" si="81"/>
        <v>#DIV/0!</v>
      </c>
      <c r="BC60" s="383" t="e">
        <f t="shared" si="81"/>
        <v>#DIV/0!</v>
      </c>
      <c r="BD60" s="383" t="e">
        <f t="shared" si="81"/>
        <v>#DIV/0!</v>
      </c>
      <c r="BE60" s="386">
        <v>0</v>
      </c>
      <c r="BF60" s="383" t="e">
        <f t="shared" si="78"/>
        <v>#DIV/0!</v>
      </c>
      <c r="BG60" s="383" t="e">
        <f t="shared" si="78"/>
        <v>#DIV/0!</v>
      </c>
      <c r="BH60" s="383" t="e">
        <f t="shared" si="78"/>
        <v>#DIV/0!</v>
      </c>
      <c r="BI60" s="383" t="e">
        <f t="shared" si="78"/>
        <v>#DIV/0!</v>
      </c>
      <c r="BJ60" s="383" t="e">
        <f t="shared" si="78"/>
        <v>#DIV/0!</v>
      </c>
      <c r="BK60" s="383" t="e">
        <f t="shared" si="78"/>
        <v>#DIV/0!</v>
      </c>
      <c r="BL60" s="383" t="e">
        <f t="shared" si="78"/>
        <v>#DIV/0!</v>
      </c>
      <c r="BM60" s="383" t="e">
        <f t="shared" si="78"/>
        <v>#DIV/0!</v>
      </c>
      <c r="BN60" s="383" t="e">
        <f t="shared" si="78"/>
        <v>#DIV/0!</v>
      </c>
      <c r="BO60" s="383" t="e">
        <f t="shared" si="78"/>
        <v>#DIV/0!</v>
      </c>
      <c r="BP60" s="383" t="e">
        <f t="shared" si="78"/>
        <v>#DIV/0!</v>
      </c>
      <c r="BQ60" s="383" t="e">
        <f t="shared" si="78"/>
        <v>#DIV/0!</v>
      </c>
      <c r="BR60" s="386">
        <v>0</v>
      </c>
      <c r="BS60" s="383" t="e">
        <f>IF(BF60="","",IF(BS$18=$BR60,"〇",""))</f>
        <v>#DIV/0!</v>
      </c>
      <c r="BT60" s="383" t="e">
        <f t="shared" ref="BT60:CD61" si="93">IF(BG60="","",IF(BT$18=$BR60,"〇",""))</f>
        <v>#DIV/0!</v>
      </c>
      <c r="BU60" s="383" t="e">
        <f t="shared" si="93"/>
        <v>#DIV/0!</v>
      </c>
      <c r="BV60" s="383" t="e">
        <f t="shared" si="93"/>
        <v>#DIV/0!</v>
      </c>
      <c r="BW60" s="383" t="e">
        <f t="shared" si="93"/>
        <v>#DIV/0!</v>
      </c>
      <c r="BX60" s="383" t="e">
        <f t="shared" si="93"/>
        <v>#DIV/0!</v>
      </c>
      <c r="BY60" s="383" t="e">
        <f t="shared" si="93"/>
        <v>#DIV/0!</v>
      </c>
      <c r="BZ60" s="383" t="e">
        <f t="shared" si="93"/>
        <v>#DIV/0!</v>
      </c>
      <c r="CA60" s="383" t="e">
        <f t="shared" si="93"/>
        <v>#DIV/0!</v>
      </c>
      <c r="CB60" s="383" t="e">
        <f t="shared" si="93"/>
        <v>#DIV/0!</v>
      </c>
      <c r="CC60" s="383" t="e">
        <f t="shared" si="93"/>
        <v>#DIV/0!</v>
      </c>
      <c r="CD60" s="383" t="e">
        <f t="shared" si="93"/>
        <v>#DIV/0!</v>
      </c>
      <c r="CE60" s="386">
        <v>0</v>
      </c>
      <c r="CF60" s="383" t="e">
        <f>IF(BS60="","",IF(CF$18=$CE60,"〇",""))</f>
        <v>#DIV/0!</v>
      </c>
      <c r="CG60" s="383" t="e">
        <f t="shared" ref="CG60:CQ60" si="94">IF(BT60="","",IF(CG$18=$CE60,"〇",""))</f>
        <v>#DIV/0!</v>
      </c>
      <c r="CH60" s="383" t="e">
        <f t="shared" si="94"/>
        <v>#DIV/0!</v>
      </c>
      <c r="CI60" s="383" t="e">
        <f t="shared" si="94"/>
        <v>#DIV/0!</v>
      </c>
      <c r="CJ60" s="383" t="e">
        <f t="shared" si="94"/>
        <v>#DIV/0!</v>
      </c>
      <c r="CK60" s="383" t="e">
        <f t="shared" si="94"/>
        <v>#DIV/0!</v>
      </c>
      <c r="CL60" s="383" t="e">
        <f t="shared" si="94"/>
        <v>#DIV/0!</v>
      </c>
      <c r="CM60" s="383" t="e">
        <f t="shared" si="94"/>
        <v>#DIV/0!</v>
      </c>
      <c r="CN60" s="383" t="e">
        <f t="shared" si="94"/>
        <v>#DIV/0!</v>
      </c>
      <c r="CO60" s="383" t="e">
        <f t="shared" si="94"/>
        <v>#DIV/0!</v>
      </c>
      <c r="CP60" s="383" t="e">
        <f t="shared" si="94"/>
        <v>#DIV/0!</v>
      </c>
      <c r="CQ60" s="383" t="e">
        <f t="shared" si="94"/>
        <v>#DIV/0!</v>
      </c>
    </row>
    <row r="61" spans="3:95">
      <c r="C61" s="391">
        <v>1</v>
      </c>
      <c r="D61" s="391" t="s">
        <v>1404</v>
      </c>
      <c r="E61" s="391">
        <v>1</v>
      </c>
      <c r="F61" s="391" t="s">
        <v>1404</v>
      </c>
      <c r="G61" s="391">
        <v>1</v>
      </c>
      <c r="H61" s="391" t="s">
        <v>1404</v>
      </c>
      <c r="I61" s="387">
        <v>1</v>
      </c>
      <c r="J61" s="387" t="s">
        <v>1393</v>
      </c>
      <c r="K61" s="382" t="s">
        <v>1390</v>
      </c>
      <c r="L61" s="382" t="s">
        <v>1390</v>
      </c>
      <c r="M61" s="382" t="s">
        <v>1390</v>
      </c>
      <c r="N61" s="382" t="s">
        <v>1390</v>
      </c>
      <c r="O61" s="382" t="s">
        <v>1390</v>
      </c>
      <c r="P61" s="382" t="s">
        <v>1390</v>
      </c>
      <c r="R61" s="386">
        <v>3</v>
      </c>
      <c r="S61" s="383" t="e">
        <f t="shared" ref="S61:AD63" si="95">IF(AND(S$18&gt;=3,S$18&lt;4),"〇","")</f>
        <v>#DIV/0!</v>
      </c>
      <c r="T61" s="383" t="e">
        <f t="shared" si="95"/>
        <v>#DIV/0!</v>
      </c>
      <c r="U61" s="383" t="e">
        <f t="shared" si="95"/>
        <v>#DIV/0!</v>
      </c>
      <c r="V61" s="383" t="e">
        <f t="shared" si="95"/>
        <v>#DIV/0!</v>
      </c>
      <c r="W61" s="383" t="e">
        <f t="shared" si="95"/>
        <v>#DIV/0!</v>
      </c>
      <c r="X61" s="383" t="e">
        <f t="shared" si="95"/>
        <v>#DIV/0!</v>
      </c>
      <c r="Y61" s="383" t="e">
        <f t="shared" si="95"/>
        <v>#DIV/0!</v>
      </c>
      <c r="Z61" s="383" t="e">
        <f t="shared" si="95"/>
        <v>#DIV/0!</v>
      </c>
      <c r="AA61" s="383" t="e">
        <f t="shared" si="95"/>
        <v>#DIV/0!</v>
      </c>
      <c r="AB61" s="383" t="e">
        <f t="shared" si="95"/>
        <v>#DIV/0!</v>
      </c>
      <c r="AC61" s="383" t="e">
        <f t="shared" si="95"/>
        <v>#DIV/0!</v>
      </c>
      <c r="AD61" s="383" t="e">
        <f t="shared" si="95"/>
        <v>#DIV/0!</v>
      </c>
      <c r="AE61" s="386" t="s">
        <v>1390</v>
      </c>
      <c r="AF61" s="383" t="e">
        <f t="shared" si="72"/>
        <v>#DIV/0!</v>
      </c>
      <c r="AG61" s="383" t="e">
        <f t="shared" si="72"/>
        <v>#DIV/0!</v>
      </c>
      <c r="AH61" s="383" t="e">
        <f t="shared" si="72"/>
        <v>#DIV/0!</v>
      </c>
      <c r="AI61" s="383" t="e">
        <f t="shared" si="72"/>
        <v>#DIV/0!</v>
      </c>
      <c r="AJ61" s="383" t="e">
        <f t="shared" si="72"/>
        <v>#DIV/0!</v>
      </c>
      <c r="AK61" s="383" t="e">
        <f t="shared" si="72"/>
        <v>#DIV/0!</v>
      </c>
      <c r="AL61" s="383" t="e">
        <f t="shared" si="72"/>
        <v>#DIV/0!</v>
      </c>
      <c r="AM61" s="383" t="e">
        <f t="shared" si="72"/>
        <v>#DIV/0!</v>
      </c>
      <c r="AN61" s="383" t="e">
        <f t="shared" si="72"/>
        <v>#DIV/0!</v>
      </c>
      <c r="AO61" s="383" t="e">
        <f t="shared" si="72"/>
        <v>#DIV/0!</v>
      </c>
      <c r="AP61" s="383" t="e">
        <f t="shared" si="72"/>
        <v>#DIV/0!</v>
      </c>
      <c r="AQ61" s="383" t="e">
        <f t="shared" si="72"/>
        <v>#DIV/0!</v>
      </c>
      <c r="AR61" s="385" t="s">
        <v>1390</v>
      </c>
      <c r="AS61" s="383" t="e">
        <f t="shared" si="84"/>
        <v>#DIV/0!</v>
      </c>
      <c r="AT61" s="383" t="e">
        <f t="shared" si="81"/>
        <v>#DIV/0!</v>
      </c>
      <c r="AU61" s="383" t="e">
        <f t="shared" si="81"/>
        <v>#DIV/0!</v>
      </c>
      <c r="AV61" s="383" t="e">
        <f t="shared" si="81"/>
        <v>#DIV/0!</v>
      </c>
      <c r="AW61" s="383" t="e">
        <f t="shared" si="81"/>
        <v>#DIV/0!</v>
      </c>
      <c r="AX61" s="383" t="e">
        <f t="shared" si="81"/>
        <v>#DIV/0!</v>
      </c>
      <c r="AY61" s="383" t="e">
        <f t="shared" si="81"/>
        <v>#DIV/0!</v>
      </c>
      <c r="AZ61" s="383" t="e">
        <f t="shared" si="81"/>
        <v>#DIV/0!</v>
      </c>
      <c r="BA61" s="383" t="e">
        <f t="shared" si="81"/>
        <v>#DIV/0!</v>
      </c>
      <c r="BB61" s="383" t="e">
        <f t="shared" si="81"/>
        <v>#DIV/0!</v>
      </c>
      <c r="BC61" s="383" t="e">
        <f t="shared" si="81"/>
        <v>#DIV/0!</v>
      </c>
      <c r="BD61" s="383" t="e">
        <f t="shared" si="81"/>
        <v>#DIV/0!</v>
      </c>
      <c r="BE61" s="386">
        <v>0</v>
      </c>
      <c r="BF61" s="383" t="e">
        <f t="shared" si="78"/>
        <v>#DIV/0!</v>
      </c>
      <c r="BG61" s="383" t="e">
        <f t="shared" si="78"/>
        <v>#DIV/0!</v>
      </c>
      <c r="BH61" s="383" t="e">
        <f t="shared" si="78"/>
        <v>#DIV/0!</v>
      </c>
      <c r="BI61" s="383" t="e">
        <f t="shared" si="78"/>
        <v>#DIV/0!</v>
      </c>
      <c r="BJ61" s="383" t="e">
        <f t="shared" si="78"/>
        <v>#DIV/0!</v>
      </c>
      <c r="BK61" s="383" t="e">
        <f t="shared" si="78"/>
        <v>#DIV/0!</v>
      </c>
      <c r="BL61" s="383" t="e">
        <f t="shared" si="78"/>
        <v>#DIV/0!</v>
      </c>
      <c r="BM61" s="383" t="e">
        <f t="shared" si="78"/>
        <v>#DIV/0!</v>
      </c>
      <c r="BN61" s="383" t="e">
        <f t="shared" si="78"/>
        <v>#DIV/0!</v>
      </c>
      <c r="BO61" s="383" t="e">
        <f t="shared" si="78"/>
        <v>#DIV/0!</v>
      </c>
      <c r="BP61" s="383" t="e">
        <f t="shared" si="78"/>
        <v>#DIV/0!</v>
      </c>
      <c r="BQ61" s="383" t="e">
        <f t="shared" si="78"/>
        <v>#DIV/0!</v>
      </c>
      <c r="BR61" s="386">
        <v>0</v>
      </c>
      <c r="BS61" s="383" t="e">
        <f>IF(BF61="","",IF(BS$18=$BR61,"〇",""))</f>
        <v>#DIV/0!</v>
      </c>
      <c r="BT61" s="383" t="e">
        <f t="shared" si="93"/>
        <v>#DIV/0!</v>
      </c>
      <c r="BU61" s="383" t="e">
        <f t="shared" si="93"/>
        <v>#DIV/0!</v>
      </c>
      <c r="BV61" s="383" t="e">
        <f t="shared" si="93"/>
        <v>#DIV/0!</v>
      </c>
      <c r="BW61" s="383" t="e">
        <f t="shared" si="93"/>
        <v>#DIV/0!</v>
      </c>
      <c r="BX61" s="383" t="e">
        <f t="shared" si="93"/>
        <v>#DIV/0!</v>
      </c>
      <c r="BY61" s="383" t="e">
        <f t="shared" si="93"/>
        <v>#DIV/0!</v>
      </c>
      <c r="BZ61" s="383" t="e">
        <f t="shared" si="93"/>
        <v>#DIV/0!</v>
      </c>
      <c r="CA61" s="383" t="e">
        <f t="shared" si="93"/>
        <v>#DIV/0!</v>
      </c>
      <c r="CB61" s="383" t="e">
        <f t="shared" si="93"/>
        <v>#DIV/0!</v>
      </c>
      <c r="CC61" s="383" t="e">
        <f t="shared" si="93"/>
        <v>#DIV/0!</v>
      </c>
      <c r="CD61" s="383" t="e">
        <f t="shared" si="93"/>
        <v>#DIV/0!</v>
      </c>
      <c r="CE61" s="386" t="s">
        <v>1396</v>
      </c>
      <c r="CF61" s="383" t="e">
        <f>IF(BS61="","",IF(CF$18&gt;=1,"〇",""))</f>
        <v>#DIV/0!</v>
      </c>
      <c r="CG61" s="383" t="e">
        <f t="shared" ref="CG61:CQ61" si="96">IF(BT61="","",IF(CG$18&gt;=1,"〇",""))</f>
        <v>#DIV/0!</v>
      </c>
      <c r="CH61" s="383" t="e">
        <f t="shared" si="96"/>
        <v>#DIV/0!</v>
      </c>
      <c r="CI61" s="383" t="e">
        <f t="shared" si="96"/>
        <v>#DIV/0!</v>
      </c>
      <c r="CJ61" s="383" t="e">
        <f t="shared" si="96"/>
        <v>#DIV/0!</v>
      </c>
      <c r="CK61" s="383" t="e">
        <f t="shared" si="96"/>
        <v>#DIV/0!</v>
      </c>
      <c r="CL61" s="383" t="e">
        <f t="shared" si="96"/>
        <v>#DIV/0!</v>
      </c>
      <c r="CM61" s="383" t="e">
        <f t="shared" si="96"/>
        <v>#DIV/0!</v>
      </c>
      <c r="CN61" s="383" t="e">
        <f t="shared" si="96"/>
        <v>#DIV/0!</v>
      </c>
      <c r="CO61" s="383" t="e">
        <f t="shared" si="96"/>
        <v>#DIV/0!</v>
      </c>
      <c r="CP61" s="383" t="e">
        <f t="shared" si="96"/>
        <v>#DIV/0!</v>
      </c>
      <c r="CQ61" s="383" t="e">
        <f t="shared" si="96"/>
        <v>#DIV/0!</v>
      </c>
    </row>
    <row r="62" spans="3:95">
      <c r="C62" s="391">
        <v>1</v>
      </c>
      <c r="D62" s="391" t="s">
        <v>1404</v>
      </c>
      <c r="E62" s="391">
        <v>1</v>
      </c>
      <c r="F62" s="391" t="s">
        <v>1404</v>
      </c>
      <c r="G62" s="391">
        <v>1</v>
      </c>
      <c r="H62" s="391" t="s">
        <v>1404</v>
      </c>
      <c r="I62" s="389">
        <v>1</v>
      </c>
      <c r="J62" s="389" t="s">
        <v>1404</v>
      </c>
      <c r="K62" s="382" t="s">
        <v>1390</v>
      </c>
      <c r="L62" s="382" t="s">
        <v>1390</v>
      </c>
      <c r="M62" s="382" t="s">
        <v>1390</v>
      </c>
      <c r="N62" s="382" t="s">
        <v>1390</v>
      </c>
      <c r="O62" s="382" t="s">
        <v>1390</v>
      </c>
      <c r="P62" s="382" t="s">
        <v>1390</v>
      </c>
      <c r="R62" s="386">
        <v>3</v>
      </c>
      <c r="S62" s="383" t="e">
        <f t="shared" si="95"/>
        <v>#DIV/0!</v>
      </c>
      <c r="T62" s="383" t="e">
        <f t="shared" si="95"/>
        <v>#DIV/0!</v>
      </c>
      <c r="U62" s="383" t="e">
        <f t="shared" si="95"/>
        <v>#DIV/0!</v>
      </c>
      <c r="V62" s="383" t="e">
        <f t="shared" si="95"/>
        <v>#DIV/0!</v>
      </c>
      <c r="W62" s="383" t="e">
        <f t="shared" si="95"/>
        <v>#DIV/0!</v>
      </c>
      <c r="X62" s="383" t="e">
        <f t="shared" si="95"/>
        <v>#DIV/0!</v>
      </c>
      <c r="Y62" s="383" t="e">
        <f t="shared" si="95"/>
        <v>#DIV/0!</v>
      </c>
      <c r="Z62" s="383" t="e">
        <f t="shared" si="95"/>
        <v>#DIV/0!</v>
      </c>
      <c r="AA62" s="383" t="e">
        <f t="shared" si="95"/>
        <v>#DIV/0!</v>
      </c>
      <c r="AB62" s="383" t="e">
        <f t="shared" si="95"/>
        <v>#DIV/0!</v>
      </c>
      <c r="AC62" s="383" t="e">
        <f t="shared" si="95"/>
        <v>#DIV/0!</v>
      </c>
      <c r="AD62" s="383" t="e">
        <f t="shared" si="95"/>
        <v>#DIV/0!</v>
      </c>
      <c r="AE62" s="386" t="s">
        <v>1390</v>
      </c>
      <c r="AF62" s="383" t="e">
        <f t="shared" si="72"/>
        <v>#DIV/0!</v>
      </c>
      <c r="AG62" s="383" t="e">
        <f t="shared" si="72"/>
        <v>#DIV/0!</v>
      </c>
      <c r="AH62" s="383" t="e">
        <f t="shared" si="72"/>
        <v>#DIV/0!</v>
      </c>
      <c r="AI62" s="383" t="e">
        <f t="shared" si="72"/>
        <v>#DIV/0!</v>
      </c>
      <c r="AJ62" s="383" t="e">
        <f t="shared" si="72"/>
        <v>#DIV/0!</v>
      </c>
      <c r="AK62" s="383" t="e">
        <f t="shared" si="72"/>
        <v>#DIV/0!</v>
      </c>
      <c r="AL62" s="383" t="e">
        <f t="shared" si="72"/>
        <v>#DIV/0!</v>
      </c>
      <c r="AM62" s="383" t="e">
        <f t="shared" si="72"/>
        <v>#DIV/0!</v>
      </c>
      <c r="AN62" s="383" t="e">
        <f t="shared" si="72"/>
        <v>#DIV/0!</v>
      </c>
      <c r="AO62" s="383" t="e">
        <f t="shared" si="72"/>
        <v>#DIV/0!</v>
      </c>
      <c r="AP62" s="383" t="e">
        <f t="shared" si="72"/>
        <v>#DIV/0!</v>
      </c>
      <c r="AQ62" s="383" t="e">
        <f t="shared" si="72"/>
        <v>#DIV/0!</v>
      </c>
      <c r="AR62" s="385" t="s">
        <v>1390</v>
      </c>
      <c r="AS62" s="383" t="e">
        <f t="shared" si="84"/>
        <v>#DIV/0!</v>
      </c>
      <c r="AT62" s="383" t="e">
        <f t="shared" si="81"/>
        <v>#DIV/0!</v>
      </c>
      <c r="AU62" s="383" t="e">
        <f t="shared" si="81"/>
        <v>#DIV/0!</v>
      </c>
      <c r="AV62" s="383" t="e">
        <f t="shared" si="81"/>
        <v>#DIV/0!</v>
      </c>
      <c r="AW62" s="383" t="e">
        <f t="shared" si="81"/>
        <v>#DIV/0!</v>
      </c>
      <c r="AX62" s="383" t="e">
        <f t="shared" si="81"/>
        <v>#DIV/0!</v>
      </c>
      <c r="AY62" s="383" t="e">
        <f t="shared" si="81"/>
        <v>#DIV/0!</v>
      </c>
      <c r="AZ62" s="383" t="e">
        <f t="shared" si="81"/>
        <v>#DIV/0!</v>
      </c>
      <c r="BA62" s="383" t="e">
        <f t="shared" si="81"/>
        <v>#DIV/0!</v>
      </c>
      <c r="BB62" s="383" t="e">
        <f t="shared" si="81"/>
        <v>#DIV/0!</v>
      </c>
      <c r="BC62" s="383" t="e">
        <f t="shared" si="81"/>
        <v>#DIV/0!</v>
      </c>
      <c r="BD62" s="383" t="e">
        <f t="shared" si="81"/>
        <v>#DIV/0!</v>
      </c>
      <c r="BE62" s="386">
        <v>0</v>
      </c>
      <c r="BF62" s="383" t="e">
        <f t="shared" si="78"/>
        <v>#DIV/0!</v>
      </c>
      <c r="BG62" s="383" t="e">
        <f t="shared" si="78"/>
        <v>#DIV/0!</v>
      </c>
      <c r="BH62" s="383" t="e">
        <f t="shared" si="78"/>
        <v>#DIV/0!</v>
      </c>
      <c r="BI62" s="383" t="e">
        <f t="shared" si="78"/>
        <v>#DIV/0!</v>
      </c>
      <c r="BJ62" s="383" t="e">
        <f t="shared" si="78"/>
        <v>#DIV/0!</v>
      </c>
      <c r="BK62" s="383" t="e">
        <f t="shared" si="78"/>
        <v>#DIV/0!</v>
      </c>
      <c r="BL62" s="383" t="e">
        <f t="shared" si="78"/>
        <v>#DIV/0!</v>
      </c>
      <c r="BM62" s="383" t="e">
        <f t="shared" si="78"/>
        <v>#DIV/0!</v>
      </c>
      <c r="BN62" s="383" t="e">
        <f t="shared" si="78"/>
        <v>#DIV/0!</v>
      </c>
      <c r="BO62" s="383" t="e">
        <f t="shared" si="78"/>
        <v>#DIV/0!</v>
      </c>
      <c r="BP62" s="383" t="e">
        <f t="shared" si="78"/>
        <v>#DIV/0!</v>
      </c>
      <c r="BQ62" s="383" t="e">
        <f t="shared" si="78"/>
        <v>#DIV/0!</v>
      </c>
      <c r="BR62" s="386" t="s">
        <v>1396</v>
      </c>
      <c r="BS62" s="383" t="e">
        <f>IF(BF62="","",IF(BS$18&gt;=1,"〇",""))</f>
        <v>#DIV/0!</v>
      </c>
      <c r="BT62" s="383" t="e">
        <f t="shared" ref="BT62" si="97">IF(BG62="","",IF(BT$18&gt;=1,"〇",""))</f>
        <v>#DIV/0!</v>
      </c>
      <c r="BU62" s="383" t="e">
        <f t="shared" ref="BU62" si="98">IF(BH62="","",IF(BU$18&gt;=1,"〇",""))</f>
        <v>#DIV/0!</v>
      </c>
      <c r="BV62" s="383" t="e">
        <f t="shared" ref="BV62" si="99">IF(BI62="","",IF(BV$18&gt;=1,"〇",""))</f>
        <v>#DIV/0!</v>
      </c>
      <c r="BW62" s="383" t="e">
        <f t="shared" ref="BW62" si="100">IF(BJ62="","",IF(BW$18&gt;=1,"〇",""))</f>
        <v>#DIV/0!</v>
      </c>
      <c r="BX62" s="383" t="e">
        <f t="shared" ref="BX62" si="101">IF(BK62="","",IF(BX$18&gt;=1,"〇",""))</f>
        <v>#DIV/0!</v>
      </c>
      <c r="BY62" s="383" t="e">
        <f t="shared" ref="BY62" si="102">IF(BL62="","",IF(BY$18&gt;=1,"〇",""))</f>
        <v>#DIV/0!</v>
      </c>
      <c r="BZ62" s="383" t="e">
        <f t="shared" ref="BZ62" si="103">IF(BM62="","",IF(BZ$18&gt;=1,"〇",""))</f>
        <v>#DIV/0!</v>
      </c>
      <c r="CA62" s="383" t="e">
        <f t="shared" ref="CA62" si="104">IF(BN62="","",IF(CA$18&gt;=1,"〇",""))</f>
        <v>#DIV/0!</v>
      </c>
      <c r="CB62" s="383" t="e">
        <f t="shared" ref="CB62" si="105">IF(BO62="","",IF(CB$18&gt;=1,"〇",""))</f>
        <v>#DIV/0!</v>
      </c>
      <c r="CC62" s="383" t="e">
        <f t="shared" ref="CC62" si="106">IF(BP62="","",IF(CC$18&gt;=1,"〇",""))</f>
        <v>#DIV/0!</v>
      </c>
      <c r="CD62" s="383" t="e">
        <f t="shared" ref="CD62" si="107">IF(BQ62="","",IF(CD$18&gt;=1,"〇",""))</f>
        <v>#DIV/0!</v>
      </c>
      <c r="CE62" s="386" t="s">
        <v>1390</v>
      </c>
      <c r="CF62" s="383" t="e">
        <f t="shared" ref="CF62:CQ64" si="108">IF(BS62="","","〇")</f>
        <v>#DIV/0!</v>
      </c>
      <c r="CG62" s="383" t="e">
        <f t="shared" si="108"/>
        <v>#DIV/0!</v>
      </c>
      <c r="CH62" s="383" t="e">
        <f t="shared" si="108"/>
        <v>#DIV/0!</v>
      </c>
      <c r="CI62" s="383" t="e">
        <f t="shared" si="108"/>
        <v>#DIV/0!</v>
      </c>
      <c r="CJ62" s="383" t="e">
        <f t="shared" si="108"/>
        <v>#DIV/0!</v>
      </c>
      <c r="CK62" s="383" t="e">
        <f t="shared" si="108"/>
        <v>#DIV/0!</v>
      </c>
      <c r="CL62" s="383" t="e">
        <f t="shared" si="108"/>
        <v>#DIV/0!</v>
      </c>
      <c r="CM62" s="383" t="e">
        <f t="shared" si="108"/>
        <v>#DIV/0!</v>
      </c>
      <c r="CN62" s="383" t="e">
        <f t="shared" si="108"/>
        <v>#DIV/0!</v>
      </c>
      <c r="CO62" s="383" t="e">
        <f t="shared" si="108"/>
        <v>#DIV/0!</v>
      </c>
      <c r="CP62" s="383" t="e">
        <f t="shared" si="108"/>
        <v>#DIV/0!</v>
      </c>
      <c r="CQ62" s="383" t="e">
        <f t="shared" si="108"/>
        <v>#DIV/0!</v>
      </c>
    </row>
    <row r="63" spans="3:95">
      <c r="C63" s="391">
        <v>1</v>
      </c>
      <c r="D63" s="391" t="s">
        <v>1404</v>
      </c>
      <c r="E63" s="391">
        <v>1</v>
      </c>
      <c r="F63" s="391" t="s">
        <v>1404</v>
      </c>
      <c r="G63" s="391">
        <v>1</v>
      </c>
      <c r="H63" s="391" t="s">
        <v>1404</v>
      </c>
      <c r="I63" s="390">
        <v>1</v>
      </c>
      <c r="J63" s="390" t="s">
        <v>1405</v>
      </c>
      <c r="K63" s="382" t="s">
        <v>1390</v>
      </c>
      <c r="L63" s="382" t="s">
        <v>1390</v>
      </c>
      <c r="M63" s="382" t="s">
        <v>1390</v>
      </c>
      <c r="N63" s="382" t="s">
        <v>1390</v>
      </c>
      <c r="O63" s="382" t="s">
        <v>1390</v>
      </c>
      <c r="P63" s="382" t="s">
        <v>1390</v>
      </c>
      <c r="R63" s="386">
        <v>3</v>
      </c>
      <c r="S63" s="383" t="e">
        <f t="shared" si="95"/>
        <v>#DIV/0!</v>
      </c>
      <c r="T63" s="383" t="e">
        <f t="shared" si="95"/>
        <v>#DIV/0!</v>
      </c>
      <c r="U63" s="383" t="e">
        <f t="shared" si="95"/>
        <v>#DIV/0!</v>
      </c>
      <c r="V63" s="383" t="e">
        <f t="shared" si="95"/>
        <v>#DIV/0!</v>
      </c>
      <c r="W63" s="383" t="e">
        <f t="shared" si="95"/>
        <v>#DIV/0!</v>
      </c>
      <c r="X63" s="383" t="e">
        <f t="shared" si="95"/>
        <v>#DIV/0!</v>
      </c>
      <c r="Y63" s="383" t="e">
        <f t="shared" si="95"/>
        <v>#DIV/0!</v>
      </c>
      <c r="Z63" s="383" t="e">
        <f t="shared" si="95"/>
        <v>#DIV/0!</v>
      </c>
      <c r="AA63" s="383" t="e">
        <f t="shared" si="95"/>
        <v>#DIV/0!</v>
      </c>
      <c r="AB63" s="383" t="e">
        <f t="shared" si="95"/>
        <v>#DIV/0!</v>
      </c>
      <c r="AC63" s="383" t="e">
        <f t="shared" si="95"/>
        <v>#DIV/0!</v>
      </c>
      <c r="AD63" s="383" t="e">
        <f t="shared" si="95"/>
        <v>#DIV/0!</v>
      </c>
      <c r="AE63" s="386" t="s">
        <v>1390</v>
      </c>
      <c r="AF63" s="383" t="e">
        <f t="shared" si="72"/>
        <v>#DIV/0!</v>
      </c>
      <c r="AG63" s="383" t="e">
        <f t="shared" si="72"/>
        <v>#DIV/0!</v>
      </c>
      <c r="AH63" s="383" t="e">
        <f t="shared" si="72"/>
        <v>#DIV/0!</v>
      </c>
      <c r="AI63" s="383" t="e">
        <f t="shared" si="72"/>
        <v>#DIV/0!</v>
      </c>
      <c r="AJ63" s="383" t="e">
        <f t="shared" si="72"/>
        <v>#DIV/0!</v>
      </c>
      <c r="AK63" s="383" t="e">
        <f t="shared" si="72"/>
        <v>#DIV/0!</v>
      </c>
      <c r="AL63" s="383" t="e">
        <f t="shared" si="72"/>
        <v>#DIV/0!</v>
      </c>
      <c r="AM63" s="383" t="e">
        <f t="shared" si="72"/>
        <v>#DIV/0!</v>
      </c>
      <c r="AN63" s="383" t="e">
        <f t="shared" si="72"/>
        <v>#DIV/0!</v>
      </c>
      <c r="AO63" s="383" t="e">
        <f t="shared" si="72"/>
        <v>#DIV/0!</v>
      </c>
      <c r="AP63" s="383" t="e">
        <f t="shared" si="72"/>
        <v>#DIV/0!</v>
      </c>
      <c r="AQ63" s="383" t="e">
        <f t="shared" si="72"/>
        <v>#DIV/0!</v>
      </c>
      <c r="AR63" s="385" t="s">
        <v>1390</v>
      </c>
      <c r="AS63" s="383" t="e">
        <f t="shared" si="84"/>
        <v>#DIV/0!</v>
      </c>
      <c r="AT63" s="383" t="e">
        <f t="shared" si="81"/>
        <v>#DIV/0!</v>
      </c>
      <c r="AU63" s="383" t="e">
        <f t="shared" si="81"/>
        <v>#DIV/0!</v>
      </c>
      <c r="AV63" s="383" t="e">
        <f t="shared" si="81"/>
        <v>#DIV/0!</v>
      </c>
      <c r="AW63" s="383" t="e">
        <f t="shared" si="81"/>
        <v>#DIV/0!</v>
      </c>
      <c r="AX63" s="383" t="e">
        <f t="shared" si="81"/>
        <v>#DIV/0!</v>
      </c>
      <c r="AY63" s="383" t="e">
        <f t="shared" si="81"/>
        <v>#DIV/0!</v>
      </c>
      <c r="AZ63" s="383" t="e">
        <f t="shared" si="81"/>
        <v>#DIV/0!</v>
      </c>
      <c r="BA63" s="383" t="e">
        <f t="shared" si="81"/>
        <v>#DIV/0!</v>
      </c>
      <c r="BB63" s="383" t="e">
        <f t="shared" si="81"/>
        <v>#DIV/0!</v>
      </c>
      <c r="BC63" s="383" t="e">
        <f t="shared" si="81"/>
        <v>#DIV/0!</v>
      </c>
      <c r="BD63" s="383" t="e">
        <f t="shared" si="81"/>
        <v>#DIV/0!</v>
      </c>
      <c r="BE63" s="386" t="s">
        <v>1396</v>
      </c>
      <c r="BF63" s="383" t="e">
        <f>IF(AS63="","",IF(BF$18&gt;=1,"〇",""))</f>
        <v>#DIV/0!</v>
      </c>
      <c r="BG63" s="383" t="e">
        <f t="shared" ref="BG63:BQ63" si="109">IF(AT63="","",IF(BG$18&gt;=1,"〇",""))</f>
        <v>#DIV/0!</v>
      </c>
      <c r="BH63" s="383" t="e">
        <f t="shared" si="109"/>
        <v>#DIV/0!</v>
      </c>
      <c r="BI63" s="383" t="e">
        <f t="shared" si="109"/>
        <v>#DIV/0!</v>
      </c>
      <c r="BJ63" s="383" t="e">
        <f t="shared" si="109"/>
        <v>#DIV/0!</v>
      </c>
      <c r="BK63" s="383" t="e">
        <f t="shared" si="109"/>
        <v>#DIV/0!</v>
      </c>
      <c r="BL63" s="383" t="e">
        <f t="shared" si="109"/>
        <v>#DIV/0!</v>
      </c>
      <c r="BM63" s="383" t="e">
        <f t="shared" si="109"/>
        <v>#DIV/0!</v>
      </c>
      <c r="BN63" s="383" t="e">
        <f t="shared" si="109"/>
        <v>#DIV/0!</v>
      </c>
      <c r="BO63" s="383" t="e">
        <f t="shared" si="109"/>
        <v>#DIV/0!</v>
      </c>
      <c r="BP63" s="383" t="e">
        <f t="shared" si="109"/>
        <v>#DIV/0!</v>
      </c>
      <c r="BQ63" s="383" t="e">
        <f t="shared" si="109"/>
        <v>#DIV/0!</v>
      </c>
      <c r="BR63" s="386" t="s">
        <v>1390</v>
      </c>
      <c r="BS63" s="383" t="e">
        <f t="shared" ref="BS63:CD64" si="110">IF(BF63="","","〇")</f>
        <v>#DIV/0!</v>
      </c>
      <c r="BT63" s="383" t="e">
        <f t="shared" si="110"/>
        <v>#DIV/0!</v>
      </c>
      <c r="BU63" s="383" t="e">
        <f t="shared" si="110"/>
        <v>#DIV/0!</v>
      </c>
      <c r="BV63" s="383" t="e">
        <f t="shared" si="110"/>
        <v>#DIV/0!</v>
      </c>
      <c r="BW63" s="383" t="e">
        <f t="shared" si="110"/>
        <v>#DIV/0!</v>
      </c>
      <c r="BX63" s="383" t="e">
        <f t="shared" si="110"/>
        <v>#DIV/0!</v>
      </c>
      <c r="BY63" s="383" t="e">
        <f t="shared" si="110"/>
        <v>#DIV/0!</v>
      </c>
      <c r="BZ63" s="383" t="e">
        <f t="shared" si="110"/>
        <v>#DIV/0!</v>
      </c>
      <c r="CA63" s="383" t="e">
        <f t="shared" si="110"/>
        <v>#DIV/0!</v>
      </c>
      <c r="CB63" s="383" t="e">
        <f t="shared" si="110"/>
        <v>#DIV/0!</v>
      </c>
      <c r="CC63" s="383" t="e">
        <f t="shared" si="110"/>
        <v>#DIV/0!</v>
      </c>
      <c r="CD63" s="383" t="e">
        <f t="shared" si="110"/>
        <v>#DIV/0!</v>
      </c>
      <c r="CE63" s="386" t="s">
        <v>1390</v>
      </c>
      <c r="CF63" s="383" t="e">
        <f t="shared" si="108"/>
        <v>#DIV/0!</v>
      </c>
      <c r="CG63" s="383" t="e">
        <f t="shared" si="108"/>
        <v>#DIV/0!</v>
      </c>
      <c r="CH63" s="383" t="e">
        <f t="shared" si="108"/>
        <v>#DIV/0!</v>
      </c>
      <c r="CI63" s="383" t="e">
        <f t="shared" si="108"/>
        <v>#DIV/0!</v>
      </c>
      <c r="CJ63" s="383" t="e">
        <f t="shared" si="108"/>
        <v>#DIV/0!</v>
      </c>
      <c r="CK63" s="383" t="e">
        <f t="shared" si="108"/>
        <v>#DIV/0!</v>
      </c>
      <c r="CL63" s="383" t="e">
        <f t="shared" si="108"/>
        <v>#DIV/0!</v>
      </c>
      <c r="CM63" s="383" t="e">
        <f t="shared" si="108"/>
        <v>#DIV/0!</v>
      </c>
      <c r="CN63" s="383" t="e">
        <f t="shared" si="108"/>
        <v>#DIV/0!</v>
      </c>
      <c r="CO63" s="383" t="e">
        <f t="shared" si="108"/>
        <v>#DIV/0!</v>
      </c>
      <c r="CP63" s="383" t="e">
        <f t="shared" si="108"/>
        <v>#DIV/0!</v>
      </c>
      <c r="CQ63" s="383" t="e">
        <f t="shared" si="108"/>
        <v>#DIV/0!</v>
      </c>
    </row>
    <row r="64" spans="3:95">
      <c r="C64" s="391">
        <v>1</v>
      </c>
      <c r="D64" s="391" t="s">
        <v>1404</v>
      </c>
      <c r="E64" s="391">
        <v>1</v>
      </c>
      <c r="F64" s="391" t="s">
        <v>1404</v>
      </c>
      <c r="G64" s="391">
        <v>1</v>
      </c>
      <c r="H64" s="391" t="s">
        <v>1404</v>
      </c>
      <c r="I64" s="391">
        <v>1</v>
      </c>
      <c r="J64" s="391" t="s">
        <v>1404</v>
      </c>
      <c r="K64" s="382" t="s">
        <v>1390</v>
      </c>
      <c r="L64" s="382" t="s">
        <v>1390</v>
      </c>
      <c r="M64" s="382" t="s">
        <v>1390</v>
      </c>
      <c r="N64" s="382" t="s">
        <v>1390</v>
      </c>
      <c r="O64" s="382" t="s">
        <v>1390</v>
      </c>
      <c r="P64" s="382" t="s">
        <v>1390</v>
      </c>
      <c r="R64" s="386">
        <v>4</v>
      </c>
      <c r="S64" s="383" t="e">
        <f>IF(AND(S$18&gt;=4,S$18&lt;5),"〇","")</f>
        <v>#DIV/0!</v>
      </c>
      <c r="T64" s="383" t="e">
        <f t="shared" ref="T64:AD64" si="111">IF(AND(T$18&gt;=4,T$18&lt;5),"〇","")</f>
        <v>#DIV/0!</v>
      </c>
      <c r="U64" s="383" t="e">
        <f t="shared" si="111"/>
        <v>#DIV/0!</v>
      </c>
      <c r="V64" s="383" t="e">
        <f t="shared" si="111"/>
        <v>#DIV/0!</v>
      </c>
      <c r="W64" s="383" t="e">
        <f t="shared" si="111"/>
        <v>#DIV/0!</v>
      </c>
      <c r="X64" s="383" t="e">
        <f t="shared" si="111"/>
        <v>#DIV/0!</v>
      </c>
      <c r="Y64" s="383" t="e">
        <f t="shared" si="111"/>
        <v>#DIV/0!</v>
      </c>
      <c r="Z64" s="383" t="e">
        <f t="shared" si="111"/>
        <v>#DIV/0!</v>
      </c>
      <c r="AA64" s="383" t="e">
        <f t="shared" si="111"/>
        <v>#DIV/0!</v>
      </c>
      <c r="AB64" s="383" t="e">
        <f t="shared" si="111"/>
        <v>#DIV/0!</v>
      </c>
      <c r="AC64" s="383" t="e">
        <f t="shared" si="111"/>
        <v>#DIV/0!</v>
      </c>
      <c r="AD64" s="383" t="e">
        <f t="shared" si="111"/>
        <v>#DIV/0!</v>
      </c>
      <c r="AE64" s="386">
        <v>0</v>
      </c>
      <c r="AF64" s="383" t="e">
        <f t="shared" si="39"/>
        <v>#DIV/0!</v>
      </c>
      <c r="AG64" s="383" t="e">
        <f t="shared" si="39"/>
        <v>#DIV/0!</v>
      </c>
      <c r="AH64" s="383" t="e">
        <f t="shared" si="39"/>
        <v>#DIV/0!</v>
      </c>
      <c r="AI64" s="383" t="e">
        <f t="shared" si="39"/>
        <v>#DIV/0!</v>
      </c>
      <c r="AJ64" s="383" t="e">
        <f t="shared" si="39"/>
        <v>#DIV/0!</v>
      </c>
      <c r="AK64" s="383" t="e">
        <f t="shared" si="39"/>
        <v>#DIV/0!</v>
      </c>
      <c r="AL64" s="383" t="e">
        <f t="shared" si="39"/>
        <v>#DIV/0!</v>
      </c>
      <c r="AM64" s="383" t="e">
        <f t="shared" si="39"/>
        <v>#DIV/0!</v>
      </c>
      <c r="AN64" s="383" t="e">
        <f t="shared" si="39"/>
        <v>#DIV/0!</v>
      </c>
      <c r="AO64" s="383" t="e">
        <f t="shared" si="39"/>
        <v>#DIV/0!</v>
      </c>
      <c r="AP64" s="383" t="e">
        <f t="shared" si="39"/>
        <v>#DIV/0!</v>
      </c>
      <c r="AQ64" s="383" t="e">
        <f t="shared" si="39"/>
        <v>#DIV/0!</v>
      </c>
      <c r="AR64" s="386">
        <v>0</v>
      </c>
      <c r="AS64" s="383" t="e">
        <f>IF(AF64="","",IF(AS$18=$AR64,"〇",""))</f>
        <v>#DIV/0!</v>
      </c>
      <c r="AT64" s="383" t="e">
        <f t="shared" ref="AT64:BD68" si="112">IF(AG64="","",IF(AT$18=$AR64,"〇",""))</f>
        <v>#DIV/0!</v>
      </c>
      <c r="AU64" s="383" t="e">
        <f t="shared" si="112"/>
        <v>#DIV/0!</v>
      </c>
      <c r="AV64" s="383" t="e">
        <f t="shared" si="112"/>
        <v>#DIV/0!</v>
      </c>
      <c r="AW64" s="383" t="e">
        <f t="shared" si="112"/>
        <v>#DIV/0!</v>
      </c>
      <c r="AX64" s="383" t="e">
        <f t="shared" si="112"/>
        <v>#DIV/0!</v>
      </c>
      <c r="AY64" s="383" t="e">
        <f t="shared" si="112"/>
        <v>#DIV/0!</v>
      </c>
      <c r="AZ64" s="383" t="e">
        <f t="shared" si="112"/>
        <v>#DIV/0!</v>
      </c>
      <c r="BA64" s="383" t="e">
        <f t="shared" si="112"/>
        <v>#DIV/0!</v>
      </c>
      <c r="BB64" s="383" t="e">
        <f t="shared" si="112"/>
        <v>#DIV/0!</v>
      </c>
      <c r="BC64" s="383" t="e">
        <f t="shared" si="112"/>
        <v>#DIV/0!</v>
      </c>
      <c r="BD64" s="383" t="e">
        <f t="shared" si="112"/>
        <v>#DIV/0!</v>
      </c>
      <c r="BE64" s="386" t="s">
        <v>1390</v>
      </c>
      <c r="BF64" s="383" t="e">
        <f>IF(AS64="","","〇")</f>
        <v>#DIV/0!</v>
      </c>
      <c r="BG64" s="383" t="e">
        <f t="shared" ref="BG64:BQ64" si="113">IF(AT64="","","〇")</f>
        <v>#DIV/0!</v>
      </c>
      <c r="BH64" s="383" t="e">
        <f t="shared" si="113"/>
        <v>#DIV/0!</v>
      </c>
      <c r="BI64" s="383" t="e">
        <f t="shared" si="113"/>
        <v>#DIV/0!</v>
      </c>
      <c r="BJ64" s="383" t="e">
        <f t="shared" si="113"/>
        <v>#DIV/0!</v>
      </c>
      <c r="BK64" s="383" t="e">
        <f t="shared" si="113"/>
        <v>#DIV/0!</v>
      </c>
      <c r="BL64" s="383" t="e">
        <f t="shared" si="113"/>
        <v>#DIV/0!</v>
      </c>
      <c r="BM64" s="383" t="e">
        <f t="shared" si="113"/>
        <v>#DIV/0!</v>
      </c>
      <c r="BN64" s="383" t="e">
        <f t="shared" si="113"/>
        <v>#DIV/0!</v>
      </c>
      <c r="BO64" s="383" t="e">
        <f t="shared" si="113"/>
        <v>#DIV/0!</v>
      </c>
      <c r="BP64" s="383" t="e">
        <f t="shared" si="113"/>
        <v>#DIV/0!</v>
      </c>
      <c r="BQ64" s="383" t="e">
        <f t="shared" si="113"/>
        <v>#DIV/0!</v>
      </c>
      <c r="BR64" s="386" t="s">
        <v>1390</v>
      </c>
      <c r="BS64" s="383" t="e">
        <f t="shared" si="110"/>
        <v>#DIV/0!</v>
      </c>
      <c r="BT64" s="383" t="e">
        <f t="shared" si="110"/>
        <v>#DIV/0!</v>
      </c>
      <c r="BU64" s="383" t="e">
        <f t="shared" si="110"/>
        <v>#DIV/0!</v>
      </c>
      <c r="BV64" s="383" t="e">
        <f t="shared" si="110"/>
        <v>#DIV/0!</v>
      </c>
      <c r="BW64" s="383" t="e">
        <f t="shared" si="110"/>
        <v>#DIV/0!</v>
      </c>
      <c r="BX64" s="383" t="e">
        <f t="shared" si="110"/>
        <v>#DIV/0!</v>
      </c>
      <c r="BY64" s="383" t="e">
        <f t="shared" si="110"/>
        <v>#DIV/0!</v>
      </c>
      <c r="BZ64" s="383" t="e">
        <f t="shared" si="110"/>
        <v>#DIV/0!</v>
      </c>
      <c r="CA64" s="383" t="e">
        <f t="shared" si="110"/>
        <v>#DIV/0!</v>
      </c>
      <c r="CB64" s="383" t="e">
        <f t="shared" si="110"/>
        <v>#DIV/0!</v>
      </c>
      <c r="CC64" s="383" t="e">
        <f t="shared" si="110"/>
        <v>#DIV/0!</v>
      </c>
      <c r="CD64" s="383" t="e">
        <f t="shared" si="110"/>
        <v>#DIV/0!</v>
      </c>
      <c r="CE64" s="386" t="s">
        <v>1390</v>
      </c>
      <c r="CF64" s="383" t="e">
        <f t="shared" si="108"/>
        <v>#DIV/0!</v>
      </c>
      <c r="CG64" s="383" t="e">
        <f t="shared" si="108"/>
        <v>#DIV/0!</v>
      </c>
      <c r="CH64" s="383" t="e">
        <f t="shared" si="108"/>
        <v>#DIV/0!</v>
      </c>
      <c r="CI64" s="383" t="e">
        <f t="shared" si="108"/>
        <v>#DIV/0!</v>
      </c>
      <c r="CJ64" s="383" t="e">
        <f t="shared" si="108"/>
        <v>#DIV/0!</v>
      </c>
      <c r="CK64" s="383" t="e">
        <f t="shared" si="108"/>
        <v>#DIV/0!</v>
      </c>
      <c r="CL64" s="383" t="e">
        <f t="shared" si="108"/>
        <v>#DIV/0!</v>
      </c>
      <c r="CM64" s="383" t="e">
        <f t="shared" si="108"/>
        <v>#DIV/0!</v>
      </c>
      <c r="CN64" s="383" t="e">
        <f t="shared" si="108"/>
        <v>#DIV/0!</v>
      </c>
      <c r="CO64" s="383" t="e">
        <f t="shared" si="108"/>
        <v>#DIV/0!</v>
      </c>
      <c r="CP64" s="383" t="e">
        <f t="shared" si="108"/>
        <v>#DIV/0!</v>
      </c>
      <c r="CQ64" s="383" t="e">
        <f t="shared" si="108"/>
        <v>#DIV/0!</v>
      </c>
    </row>
    <row r="65" spans="3:95">
      <c r="C65" s="391">
        <v>1</v>
      </c>
      <c r="D65" s="391" t="s">
        <v>1404</v>
      </c>
      <c r="E65" s="391">
        <v>1</v>
      </c>
      <c r="F65" s="391" t="s">
        <v>1404</v>
      </c>
      <c r="G65" s="391">
        <v>1</v>
      </c>
      <c r="H65" s="391" t="s">
        <v>1404</v>
      </c>
      <c r="I65" s="382" t="s">
        <v>1390</v>
      </c>
      <c r="J65" s="382" t="s">
        <v>1390</v>
      </c>
      <c r="K65" s="382" t="s">
        <v>1390</v>
      </c>
      <c r="L65" s="382" t="s">
        <v>1390</v>
      </c>
      <c r="M65" s="382" t="s">
        <v>1390</v>
      </c>
      <c r="N65" s="382" t="s">
        <v>1390</v>
      </c>
      <c r="O65" s="391">
        <v>1</v>
      </c>
      <c r="P65" s="391" t="s">
        <v>1404</v>
      </c>
      <c r="R65" s="386">
        <v>4</v>
      </c>
      <c r="S65" s="383" t="e">
        <f t="shared" ref="S65:AD72" si="114">IF(AND(S$18&gt;=4,S$18&lt;5),"〇","")</f>
        <v>#DIV/0!</v>
      </c>
      <c r="T65" s="383" t="e">
        <f t="shared" si="114"/>
        <v>#DIV/0!</v>
      </c>
      <c r="U65" s="383" t="e">
        <f t="shared" si="114"/>
        <v>#DIV/0!</v>
      </c>
      <c r="V65" s="383" t="e">
        <f t="shared" si="114"/>
        <v>#DIV/0!</v>
      </c>
      <c r="W65" s="383" t="e">
        <f t="shared" si="114"/>
        <v>#DIV/0!</v>
      </c>
      <c r="X65" s="383" t="e">
        <f t="shared" si="114"/>
        <v>#DIV/0!</v>
      </c>
      <c r="Y65" s="383" t="e">
        <f t="shared" si="114"/>
        <v>#DIV/0!</v>
      </c>
      <c r="Z65" s="383" t="e">
        <f t="shared" si="114"/>
        <v>#DIV/0!</v>
      </c>
      <c r="AA65" s="383" t="e">
        <f t="shared" si="114"/>
        <v>#DIV/0!</v>
      </c>
      <c r="AB65" s="383" t="e">
        <f t="shared" si="114"/>
        <v>#DIV/0!</v>
      </c>
      <c r="AC65" s="383" t="e">
        <f t="shared" si="114"/>
        <v>#DIV/0!</v>
      </c>
      <c r="AD65" s="383" t="e">
        <f t="shared" si="114"/>
        <v>#DIV/0!</v>
      </c>
      <c r="AE65" s="386">
        <v>0</v>
      </c>
      <c r="AF65" s="383" t="e">
        <f t="shared" si="39"/>
        <v>#DIV/0!</v>
      </c>
      <c r="AG65" s="383" t="e">
        <f t="shared" si="39"/>
        <v>#DIV/0!</v>
      </c>
      <c r="AH65" s="383" t="e">
        <f t="shared" si="39"/>
        <v>#DIV/0!</v>
      </c>
      <c r="AI65" s="383" t="e">
        <f t="shared" si="39"/>
        <v>#DIV/0!</v>
      </c>
      <c r="AJ65" s="383" t="e">
        <f t="shared" si="39"/>
        <v>#DIV/0!</v>
      </c>
      <c r="AK65" s="383" t="e">
        <f t="shared" si="39"/>
        <v>#DIV/0!</v>
      </c>
      <c r="AL65" s="383" t="e">
        <f t="shared" si="39"/>
        <v>#DIV/0!</v>
      </c>
      <c r="AM65" s="383" t="e">
        <f t="shared" si="39"/>
        <v>#DIV/0!</v>
      </c>
      <c r="AN65" s="383" t="e">
        <f t="shared" si="39"/>
        <v>#DIV/0!</v>
      </c>
      <c r="AO65" s="383" t="e">
        <f t="shared" si="39"/>
        <v>#DIV/0!</v>
      </c>
      <c r="AP65" s="383" t="e">
        <f t="shared" si="39"/>
        <v>#DIV/0!</v>
      </c>
      <c r="AQ65" s="383" t="e">
        <f t="shared" si="39"/>
        <v>#DIV/0!</v>
      </c>
      <c r="AR65" s="386">
        <v>1</v>
      </c>
      <c r="AS65" s="383" t="e">
        <f t="shared" ref="AS65:AS68" si="115">IF(AF65="","",IF(AS$18=$AR65,"〇",""))</f>
        <v>#DIV/0!</v>
      </c>
      <c r="AT65" s="383" t="e">
        <f t="shared" si="112"/>
        <v>#DIV/0!</v>
      </c>
      <c r="AU65" s="383" t="e">
        <f t="shared" si="112"/>
        <v>#DIV/0!</v>
      </c>
      <c r="AV65" s="383" t="e">
        <f t="shared" si="112"/>
        <v>#DIV/0!</v>
      </c>
      <c r="AW65" s="383" t="e">
        <f t="shared" si="112"/>
        <v>#DIV/0!</v>
      </c>
      <c r="AX65" s="383" t="e">
        <f t="shared" si="112"/>
        <v>#DIV/0!</v>
      </c>
      <c r="AY65" s="383" t="e">
        <f t="shared" si="112"/>
        <v>#DIV/0!</v>
      </c>
      <c r="AZ65" s="383" t="e">
        <f t="shared" si="112"/>
        <v>#DIV/0!</v>
      </c>
      <c r="BA65" s="383" t="e">
        <f t="shared" si="112"/>
        <v>#DIV/0!</v>
      </c>
      <c r="BB65" s="383" t="e">
        <f t="shared" si="112"/>
        <v>#DIV/0!</v>
      </c>
      <c r="BC65" s="383" t="e">
        <f t="shared" si="112"/>
        <v>#DIV/0!</v>
      </c>
      <c r="BD65" s="383" t="e">
        <f t="shared" si="112"/>
        <v>#DIV/0!</v>
      </c>
      <c r="BE65" s="386">
        <v>0</v>
      </c>
      <c r="BF65" s="383" t="e">
        <f t="shared" si="78"/>
        <v>#DIV/0!</v>
      </c>
      <c r="BG65" s="383" t="e">
        <f t="shared" si="78"/>
        <v>#DIV/0!</v>
      </c>
      <c r="BH65" s="383" t="e">
        <f t="shared" si="78"/>
        <v>#DIV/0!</v>
      </c>
      <c r="BI65" s="383" t="e">
        <f t="shared" si="78"/>
        <v>#DIV/0!</v>
      </c>
      <c r="BJ65" s="383" t="e">
        <f t="shared" si="78"/>
        <v>#DIV/0!</v>
      </c>
      <c r="BK65" s="383" t="e">
        <f t="shared" si="78"/>
        <v>#DIV/0!</v>
      </c>
      <c r="BL65" s="383" t="e">
        <f t="shared" si="78"/>
        <v>#DIV/0!</v>
      </c>
      <c r="BM65" s="383" t="e">
        <f t="shared" si="78"/>
        <v>#DIV/0!</v>
      </c>
      <c r="BN65" s="383" t="e">
        <f t="shared" si="78"/>
        <v>#DIV/0!</v>
      </c>
      <c r="BO65" s="383" t="e">
        <f t="shared" si="78"/>
        <v>#DIV/0!</v>
      </c>
      <c r="BP65" s="383" t="e">
        <f t="shared" si="78"/>
        <v>#DIV/0!</v>
      </c>
      <c r="BQ65" s="383" t="e">
        <f t="shared" si="78"/>
        <v>#DIV/0!</v>
      </c>
      <c r="BR65" s="386">
        <v>0</v>
      </c>
      <c r="BS65" s="383" t="e">
        <f>IF(BF65="","",IF(BS$18=$BR65,"〇",""))</f>
        <v>#DIV/0!</v>
      </c>
      <c r="BT65" s="383" t="e">
        <f t="shared" ref="BT65:CD66" si="116">IF(BG65="","",IF(BT$18=$BR65,"〇",""))</f>
        <v>#DIV/0!</v>
      </c>
      <c r="BU65" s="383" t="e">
        <f t="shared" si="116"/>
        <v>#DIV/0!</v>
      </c>
      <c r="BV65" s="383" t="e">
        <f t="shared" si="116"/>
        <v>#DIV/0!</v>
      </c>
      <c r="BW65" s="383" t="e">
        <f t="shared" si="116"/>
        <v>#DIV/0!</v>
      </c>
      <c r="BX65" s="383" t="e">
        <f t="shared" si="116"/>
        <v>#DIV/0!</v>
      </c>
      <c r="BY65" s="383" t="e">
        <f t="shared" si="116"/>
        <v>#DIV/0!</v>
      </c>
      <c r="BZ65" s="383" t="e">
        <f t="shared" si="116"/>
        <v>#DIV/0!</v>
      </c>
      <c r="CA65" s="383" t="e">
        <f t="shared" si="116"/>
        <v>#DIV/0!</v>
      </c>
      <c r="CB65" s="383" t="e">
        <f t="shared" si="116"/>
        <v>#DIV/0!</v>
      </c>
      <c r="CC65" s="383" t="e">
        <f t="shared" si="116"/>
        <v>#DIV/0!</v>
      </c>
      <c r="CD65" s="383" t="e">
        <f t="shared" si="116"/>
        <v>#DIV/0!</v>
      </c>
      <c r="CE65" s="386">
        <v>0</v>
      </c>
      <c r="CF65" s="383" t="e">
        <f>IF(BS65="","",IF(CF$18=$CE65,"〇",""))</f>
        <v>#DIV/0!</v>
      </c>
      <c r="CG65" s="383" t="e">
        <f t="shared" ref="CG65:CQ65" si="117">IF(BT65="","",IF(CG$18=$CE65,"〇",""))</f>
        <v>#DIV/0!</v>
      </c>
      <c r="CH65" s="383" t="e">
        <f t="shared" si="117"/>
        <v>#DIV/0!</v>
      </c>
      <c r="CI65" s="383" t="e">
        <f t="shared" si="117"/>
        <v>#DIV/0!</v>
      </c>
      <c r="CJ65" s="383" t="e">
        <f t="shared" si="117"/>
        <v>#DIV/0!</v>
      </c>
      <c r="CK65" s="383" t="e">
        <f t="shared" si="117"/>
        <v>#DIV/0!</v>
      </c>
      <c r="CL65" s="383" t="e">
        <f t="shared" si="117"/>
        <v>#DIV/0!</v>
      </c>
      <c r="CM65" s="383" t="e">
        <f t="shared" si="117"/>
        <v>#DIV/0!</v>
      </c>
      <c r="CN65" s="383" t="e">
        <f t="shared" si="117"/>
        <v>#DIV/0!</v>
      </c>
      <c r="CO65" s="383" t="e">
        <f t="shared" si="117"/>
        <v>#DIV/0!</v>
      </c>
      <c r="CP65" s="383" t="e">
        <f t="shared" si="117"/>
        <v>#DIV/0!</v>
      </c>
      <c r="CQ65" s="383" t="e">
        <f t="shared" si="117"/>
        <v>#DIV/0!</v>
      </c>
    </row>
    <row r="66" spans="3:95">
      <c r="C66" s="391">
        <v>1</v>
      </c>
      <c r="D66" s="391" t="s">
        <v>1404</v>
      </c>
      <c r="E66" s="391">
        <v>1</v>
      </c>
      <c r="F66" s="391" t="s">
        <v>1404</v>
      </c>
      <c r="G66" s="391">
        <v>1</v>
      </c>
      <c r="H66" s="391" t="s">
        <v>1404</v>
      </c>
      <c r="I66" s="387">
        <v>1</v>
      </c>
      <c r="J66" s="387" t="s">
        <v>1393</v>
      </c>
      <c r="K66" s="382" t="s">
        <v>1390</v>
      </c>
      <c r="L66" s="382" t="s">
        <v>1390</v>
      </c>
      <c r="M66" s="382" t="s">
        <v>1390</v>
      </c>
      <c r="N66" s="382" t="s">
        <v>1390</v>
      </c>
      <c r="O66" s="391">
        <v>1</v>
      </c>
      <c r="P66" s="391" t="s">
        <v>1404</v>
      </c>
      <c r="R66" s="386">
        <v>4</v>
      </c>
      <c r="S66" s="383" t="e">
        <f t="shared" si="114"/>
        <v>#DIV/0!</v>
      </c>
      <c r="T66" s="383" t="e">
        <f t="shared" si="114"/>
        <v>#DIV/0!</v>
      </c>
      <c r="U66" s="383" t="e">
        <f t="shared" si="114"/>
        <v>#DIV/0!</v>
      </c>
      <c r="V66" s="383" t="e">
        <f t="shared" si="114"/>
        <v>#DIV/0!</v>
      </c>
      <c r="W66" s="383" t="e">
        <f t="shared" si="114"/>
        <v>#DIV/0!</v>
      </c>
      <c r="X66" s="383" t="e">
        <f t="shared" si="114"/>
        <v>#DIV/0!</v>
      </c>
      <c r="Y66" s="383" t="e">
        <f t="shared" si="114"/>
        <v>#DIV/0!</v>
      </c>
      <c r="Z66" s="383" t="e">
        <f t="shared" si="114"/>
        <v>#DIV/0!</v>
      </c>
      <c r="AA66" s="383" t="e">
        <f t="shared" si="114"/>
        <v>#DIV/0!</v>
      </c>
      <c r="AB66" s="383" t="e">
        <f t="shared" si="114"/>
        <v>#DIV/0!</v>
      </c>
      <c r="AC66" s="383" t="e">
        <f t="shared" si="114"/>
        <v>#DIV/0!</v>
      </c>
      <c r="AD66" s="383" t="e">
        <f t="shared" si="114"/>
        <v>#DIV/0!</v>
      </c>
      <c r="AE66" s="386">
        <v>0</v>
      </c>
      <c r="AF66" s="383" t="e">
        <f t="shared" si="39"/>
        <v>#DIV/0!</v>
      </c>
      <c r="AG66" s="383" t="e">
        <f t="shared" si="39"/>
        <v>#DIV/0!</v>
      </c>
      <c r="AH66" s="383" t="e">
        <f t="shared" si="39"/>
        <v>#DIV/0!</v>
      </c>
      <c r="AI66" s="383" t="e">
        <f t="shared" si="39"/>
        <v>#DIV/0!</v>
      </c>
      <c r="AJ66" s="383" t="e">
        <f t="shared" si="39"/>
        <v>#DIV/0!</v>
      </c>
      <c r="AK66" s="383" t="e">
        <f t="shared" si="39"/>
        <v>#DIV/0!</v>
      </c>
      <c r="AL66" s="383" t="e">
        <f t="shared" si="39"/>
        <v>#DIV/0!</v>
      </c>
      <c r="AM66" s="383" t="e">
        <f t="shared" si="39"/>
        <v>#DIV/0!</v>
      </c>
      <c r="AN66" s="383" t="e">
        <f t="shared" si="39"/>
        <v>#DIV/0!</v>
      </c>
      <c r="AO66" s="383" t="e">
        <f t="shared" si="39"/>
        <v>#DIV/0!</v>
      </c>
      <c r="AP66" s="383" t="e">
        <f t="shared" si="39"/>
        <v>#DIV/0!</v>
      </c>
      <c r="AQ66" s="383" t="e">
        <f t="shared" si="39"/>
        <v>#DIV/0!</v>
      </c>
      <c r="AR66" s="386">
        <v>1</v>
      </c>
      <c r="AS66" s="383" t="e">
        <f t="shared" si="115"/>
        <v>#DIV/0!</v>
      </c>
      <c r="AT66" s="383" t="e">
        <f t="shared" si="112"/>
        <v>#DIV/0!</v>
      </c>
      <c r="AU66" s="383" t="e">
        <f t="shared" si="112"/>
        <v>#DIV/0!</v>
      </c>
      <c r="AV66" s="383" t="e">
        <f t="shared" si="112"/>
        <v>#DIV/0!</v>
      </c>
      <c r="AW66" s="383" t="e">
        <f t="shared" si="112"/>
        <v>#DIV/0!</v>
      </c>
      <c r="AX66" s="383" t="e">
        <f t="shared" si="112"/>
        <v>#DIV/0!</v>
      </c>
      <c r="AY66" s="383" t="e">
        <f t="shared" si="112"/>
        <v>#DIV/0!</v>
      </c>
      <c r="AZ66" s="383" t="e">
        <f t="shared" si="112"/>
        <v>#DIV/0!</v>
      </c>
      <c r="BA66" s="383" t="e">
        <f t="shared" si="112"/>
        <v>#DIV/0!</v>
      </c>
      <c r="BB66" s="383" t="e">
        <f t="shared" si="112"/>
        <v>#DIV/0!</v>
      </c>
      <c r="BC66" s="383" t="e">
        <f t="shared" si="112"/>
        <v>#DIV/0!</v>
      </c>
      <c r="BD66" s="383" t="e">
        <f t="shared" si="112"/>
        <v>#DIV/0!</v>
      </c>
      <c r="BE66" s="386">
        <v>0</v>
      </c>
      <c r="BF66" s="383" t="e">
        <f t="shared" si="78"/>
        <v>#DIV/0!</v>
      </c>
      <c r="BG66" s="383" t="e">
        <f t="shared" si="78"/>
        <v>#DIV/0!</v>
      </c>
      <c r="BH66" s="383" t="e">
        <f t="shared" si="78"/>
        <v>#DIV/0!</v>
      </c>
      <c r="BI66" s="383" t="e">
        <f t="shared" si="78"/>
        <v>#DIV/0!</v>
      </c>
      <c r="BJ66" s="383" t="e">
        <f t="shared" si="78"/>
        <v>#DIV/0!</v>
      </c>
      <c r="BK66" s="383" t="e">
        <f t="shared" si="78"/>
        <v>#DIV/0!</v>
      </c>
      <c r="BL66" s="383" t="e">
        <f t="shared" si="78"/>
        <v>#DIV/0!</v>
      </c>
      <c r="BM66" s="383" t="e">
        <f t="shared" si="78"/>
        <v>#DIV/0!</v>
      </c>
      <c r="BN66" s="383" t="e">
        <f t="shared" si="78"/>
        <v>#DIV/0!</v>
      </c>
      <c r="BO66" s="383" t="e">
        <f t="shared" si="78"/>
        <v>#DIV/0!</v>
      </c>
      <c r="BP66" s="383" t="e">
        <f t="shared" si="78"/>
        <v>#DIV/0!</v>
      </c>
      <c r="BQ66" s="383" t="e">
        <f t="shared" si="78"/>
        <v>#DIV/0!</v>
      </c>
      <c r="BR66" s="386">
        <v>0</v>
      </c>
      <c r="BS66" s="383" t="e">
        <f>IF(BF66="","",IF(BS$18=$BR66,"〇",""))</f>
        <v>#DIV/0!</v>
      </c>
      <c r="BT66" s="383" t="e">
        <f t="shared" si="116"/>
        <v>#DIV/0!</v>
      </c>
      <c r="BU66" s="383" t="e">
        <f t="shared" si="116"/>
        <v>#DIV/0!</v>
      </c>
      <c r="BV66" s="383" t="e">
        <f t="shared" si="116"/>
        <v>#DIV/0!</v>
      </c>
      <c r="BW66" s="383" t="e">
        <f t="shared" si="116"/>
        <v>#DIV/0!</v>
      </c>
      <c r="BX66" s="383" t="e">
        <f t="shared" si="116"/>
        <v>#DIV/0!</v>
      </c>
      <c r="BY66" s="383" t="e">
        <f t="shared" si="116"/>
        <v>#DIV/0!</v>
      </c>
      <c r="BZ66" s="383" t="e">
        <f t="shared" si="116"/>
        <v>#DIV/0!</v>
      </c>
      <c r="CA66" s="383" t="e">
        <f t="shared" si="116"/>
        <v>#DIV/0!</v>
      </c>
      <c r="CB66" s="383" t="e">
        <f t="shared" si="116"/>
        <v>#DIV/0!</v>
      </c>
      <c r="CC66" s="383" t="e">
        <f t="shared" si="116"/>
        <v>#DIV/0!</v>
      </c>
      <c r="CD66" s="383" t="e">
        <f t="shared" si="116"/>
        <v>#DIV/0!</v>
      </c>
      <c r="CE66" s="386" t="s">
        <v>1396</v>
      </c>
      <c r="CF66" s="383" t="e">
        <f>IF(BS66="","",IF(CF$18&gt;=1,"〇",""))</f>
        <v>#DIV/0!</v>
      </c>
      <c r="CG66" s="383" t="e">
        <f t="shared" ref="CG66:CQ66" si="118">IF(BT66="","",IF(CG$18&gt;=1,"〇",""))</f>
        <v>#DIV/0!</v>
      </c>
      <c r="CH66" s="383" t="e">
        <f t="shared" si="118"/>
        <v>#DIV/0!</v>
      </c>
      <c r="CI66" s="383" t="e">
        <f t="shared" si="118"/>
        <v>#DIV/0!</v>
      </c>
      <c r="CJ66" s="383" t="e">
        <f t="shared" si="118"/>
        <v>#DIV/0!</v>
      </c>
      <c r="CK66" s="383" t="e">
        <f t="shared" si="118"/>
        <v>#DIV/0!</v>
      </c>
      <c r="CL66" s="383" t="e">
        <f t="shared" si="118"/>
        <v>#DIV/0!</v>
      </c>
      <c r="CM66" s="383" t="e">
        <f t="shared" si="118"/>
        <v>#DIV/0!</v>
      </c>
      <c r="CN66" s="383" t="e">
        <f t="shared" si="118"/>
        <v>#DIV/0!</v>
      </c>
      <c r="CO66" s="383" t="e">
        <f t="shared" si="118"/>
        <v>#DIV/0!</v>
      </c>
      <c r="CP66" s="383" t="e">
        <f t="shared" si="118"/>
        <v>#DIV/0!</v>
      </c>
      <c r="CQ66" s="383" t="e">
        <f t="shared" si="118"/>
        <v>#DIV/0!</v>
      </c>
    </row>
    <row r="67" spans="3:95">
      <c r="C67" s="391">
        <v>1</v>
      </c>
      <c r="D67" s="391" t="s">
        <v>1404</v>
      </c>
      <c r="E67" s="391">
        <v>1</v>
      </c>
      <c r="F67" s="391" t="s">
        <v>1404</v>
      </c>
      <c r="G67" s="391">
        <v>1</v>
      </c>
      <c r="H67" s="391" t="s">
        <v>1404</v>
      </c>
      <c r="I67" s="389">
        <v>1</v>
      </c>
      <c r="J67" s="389" t="s">
        <v>1404</v>
      </c>
      <c r="K67" s="382" t="s">
        <v>1390</v>
      </c>
      <c r="L67" s="382" t="s">
        <v>1390</v>
      </c>
      <c r="M67" s="382" t="s">
        <v>1390</v>
      </c>
      <c r="N67" s="382" t="s">
        <v>1390</v>
      </c>
      <c r="O67" s="391">
        <v>1</v>
      </c>
      <c r="P67" s="391" t="s">
        <v>1404</v>
      </c>
      <c r="R67" s="386">
        <v>4</v>
      </c>
      <c r="S67" s="383" t="e">
        <f t="shared" si="114"/>
        <v>#DIV/0!</v>
      </c>
      <c r="T67" s="383" t="e">
        <f t="shared" si="114"/>
        <v>#DIV/0!</v>
      </c>
      <c r="U67" s="383" t="e">
        <f t="shared" si="114"/>
        <v>#DIV/0!</v>
      </c>
      <c r="V67" s="383" t="e">
        <f t="shared" si="114"/>
        <v>#DIV/0!</v>
      </c>
      <c r="W67" s="383" t="e">
        <f t="shared" si="114"/>
        <v>#DIV/0!</v>
      </c>
      <c r="X67" s="383" t="e">
        <f t="shared" si="114"/>
        <v>#DIV/0!</v>
      </c>
      <c r="Y67" s="383" t="e">
        <f t="shared" si="114"/>
        <v>#DIV/0!</v>
      </c>
      <c r="Z67" s="383" t="e">
        <f t="shared" si="114"/>
        <v>#DIV/0!</v>
      </c>
      <c r="AA67" s="383" t="e">
        <f t="shared" si="114"/>
        <v>#DIV/0!</v>
      </c>
      <c r="AB67" s="383" t="e">
        <f t="shared" si="114"/>
        <v>#DIV/0!</v>
      </c>
      <c r="AC67" s="383" t="e">
        <f t="shared" si="114"/>
        <v>#DIV/0!</v>
      </c>
      <c r="AD67" s="383" t="e">
        <f t="shared" si="114"/>
        <v>#DIV/0!</v>
      </c>
      <c r="AE67" s="386">
        <v>0</v>
      </c>
      <c r="AF67" s="383" t="e">
        <f t="shared" si="39"/>
        <v>#DIV/0!</v>
      </c>
      <c r="AG67" s="383" t="e">
        <f t="shared" si="39"/>
        <v>#DIV/0!</v>
      </c>
      <c r="AH67" s="383" t="e">
        <f t="shared" si="39"/>
        <v>#DIV/0!</v>
      </c>
      <c r="AI67" s="383" t="e">
        <f t="shared" si="39"/>
        <v>#DIV/0!</v>
      </c>
      <c r="AJ67" s="383" t="e">
        <f t="shared" si="39"/>
        <v>#DIV/0!</v>
      </c>
      <c r="AK67" s="383" t="e">
        <f t="shared" si="39"/>
        <v>#DIV/0!</v>
      </c>
      <c r="AL67" s="383" t="e">
        <f t="shared" si="39"/>
        <v>#DIV/0!</v>
      </c>
      <c r="AM67" s="383" t="e">
        <f t="shared" si="39"/>
        <v>#DIV/0!</v>
      </c>
      <c r="AN67" s="383" t="e">
        <f t="shared" si="39"/>
        <v>#DIV/0!</v>
      </c>
      <c r="AO67" s="383" t="e">
        <f t="shared" si="39"/>
        <v>#DIV/0!</v>
      </c>
      <c r="AP67" s="383" t="e">
        <f t="shared" si="39"/>
        <v>#DIV/0!</v>
      </c>
      <c r="AQ67" s="383" t="e">
        <f t="shared" si="39"/>
        <v>#DIV/0!</v>
      </c>
      <c r="AR67" s="386">
        <v>1</v>
      </c>
      <c r="AS67" s="383" t="e">
        <f t="shared" si="115"/>
        <v>#DIV/0!</v>
      </c>
      <c r="AT67" s="383" t="e">
        <f t="shared" si="112"/>
        <v>#DIV/0!</v>
      </c>
      <c r="AU67" s="383" t="e">
        <f t="shared" si="112"/>
        <v>#DIV/0!</v>
      </c>
      <c r="AV67" s="383" t="e">
        <f t="shared" si="112"/>
        <v>#DIV/0!</v>
      </c>
      <c r="AW67" s="383" t="e">
        <f t="shared" si="112"/>
        <v>#DIV/0!</v>
      </c>
      <c r="AX67" s="383" t="e">
        <f t="shared" si="112"/>
        <v>#DIV/0!</v>
      </c>
      <c r="AY67" s="383" t="e">
        <f t="shared" si="112"/>
        <v>#DIV/0!</v>
      </c>
      <c r="AZ67" s="383" t="e">
        <f t="shared" si="112"/>
        <v>#DIV/0!</v>
      </c>
      <c r="BA67" s="383" t="e">
        <f t="shared" si="112"/>
        <v>#DIV/0!</v>
      </c>
      <c r="BB67" s="383" t="e">
        <f t="shared" si="112"/>
        <v>#DIV/0!</v>
      </c>
      <c r="BC67" s="383" t="e">
        <f t="shared" si="112"/>
        <v>#DIV/0!</v>
      </c>
      <c r="BD67" s="383" t="e">
        <f t="shared" si="112"/>
        <v>#DIV/0!</v>
      </c>
      <c r="BE67" s="386">
        <v>0</v>
      </c>
      <c r="BF67" s="383" t="e">
        <f t="shared" si="78"/>
        <v>#DIV/0!</v>
      </c>
      <c r="BG67" s="383" t="e">
        <f t="shared" si="78"/>
        <v>#DIV/0!</v>
      </c>
      <c r="BH67" s="383" t="e">
        <f t="shared" si="78"/>
        <v>#DIV/0!</v>
      </c>
      <c r="BI67" s="383" t="e">
        <f t="shared" si="78"/>
        <v>#DIV/0!</v>
      </c>
      <c r="BJ67" s="383" t="e">
        <f t="shared" si="78"/>
        <v>#DIV/0!</v>
      </c>
      <c r="BK67" s="383" t="e">
        <f t="shared" si="78"/>
        <v>#DIV/0!</v>
      </c>
      <c r="BL67" s="383" t="e">
        <f t="shared" si="78"/>
        <v>#DIV/0!</v>
      </c>
      <c r="BM67" s="383" t="e">
        <f t="shared" si="78"/>
        <v>#DIV/0!</v>
      </c>
      <c r="BN67" s="383" t="e">
        <f t="shared" si="78"/>
        <v>#DIV/0!</v>
      </c>
      <c r="BO67" s="383" t="e">
        <f t="shared" si="78"/>
        <v>#DIV/0!</v>
      </c>
      <c r="BP67" s="383" t="e">
        <f t="shared" si="78"/>
        <v>#DIV/0!</v>
      </c>
      <c r="BQ67" s="383" t="e">
        <f t="shared" si="78"/>
        <v>#DIV/0!</v>
      </c>
      <c r="BR67" s="386" t="s">
        <v>1396</v>
      </c>
      <c r="BS67" s="383" t="e">
        <f>IF(BF67="","",IF(BS$18&gt;=1,"〇",""))</f>
        <v>#DIV/0!</v>
      </c>
      <c r="BT67" s="383" t="e">
        <f t="shared" ref="BT67:CD67" si="119">IF(BG67="","",IF(BT$18&gt;=1,"〇",""))</f>
        <v>#DIV/0!</v>
      </c>
      <c r="BU67" s="383" t="e">
        <f t="shared" si="119"/>
        <v>#DIV/0!</v>
      </c>
      <c r="BV67" s="383" t="e">
        <f t="shared" si="119"/>
        <v>#DIV/0!</v>
      </c>
      <c r="BW67" s="383" t="e">
        <f t="shared" si="119"/>
        <v>#DIV/0!</v>
      </c>
      <c r="BX67" s="383" t="e">
        <f t="shared" si="119"/>
        <v>#DIV/0!</v>
      </c>
      <c r="BY67" s="383" t="e">
        <f t="shared" si="119"/>
        <v>#DIV/0!</v>
      </c>
      <c r="BZ67" s="383" t="e">
        <f t="shared" si="119"/>
        <v>#DIV/0!</v>
      </c>
      <c r="CA67" s="383" t="e">
        <f t="shared" si="119"/>
        <v>#DIV/0!</v>
      </c>
      <c r="CB67" s="383" t="e">
        <f t="shared" si="119"/>
        <v>#DIV/0!</v>
      </c>
      <c r="CC67" s="383" t="e">
        <f t="shared" si="119"/>
        <v>#DIV/0!</v>
      </c>
      <c r="CD67" s="383" t="e">
        <f t="shared" si="119"/>
        <v>#DIV/0!</v>
      </c>
      <c r="CE67" s="386" t="s">
        <v>1390</v>
      </c>
      <c r="CF67" s="383" t="e">
        <f t="shared" ref="CF67:CQ68" si="120">IF(BS67="","","〇")</f>
        <v>#DIV/0!</v>
      </c>
      <c r="CG67" s="383" t="e">
        <f t="shared" si="120"/>
        <v>#DIV/0!</v>
      </c>
      <c r="CH67" s="383" t="e">
        <f t="shared" si="120"/>
        <v>#DIV/0!</v>
      </c>
      <c r="CI67" s="383" t="e">
        <f t="shared" si="120"/>
        <v>#DIV/0!</v>
      </c>
      <c r="CJ67" s="383" t="e">
        <f t="shared" si="120"/>
        <v>#DIV/0!</v>
      </c>
      <c r="CK67" s="383" t="e">
        <f t="shared" si="120"/>
        <v>#DIV/0!</v>
      </c>
      <c r="CL67" s="383" t="e">
        <f t="shared" si="120"/>
        <v>#DIV/0!</v>
      </c>
      <c r="CM67" s="383" t="e">
        <f t="shared" si="120"/>
        <v>#DIV/0!</v>
      </c>
      <c r="CN67" s="383" t="e">
        <f t="shared" si="120"/>
        <v>#DIV/0!</v>
      </c>
      <c r="CO67" s="383" t="e">
        <f t="shared" si="120"/>
        <v>#DIV/0!</v>
      </c>
      <c r="CP67" s="383" t="e">
        <f t="shared" si="120"/>
        <v>#DIV/0!</v>
      </c>
      <c r="CQ67" s="383" t="e">
        <f t="shared" si="120"/>
        <v>#DIV/0!</v>
      </c>
    </row>
    <row r="68" spans="3:95">
      <c r="C68" s="391">
        <v>1</v>
      </c>
      <c r="D68" s="391" t="s">
        <v>1404</v>
      </c>
      <c r="E68" s="391">
        <v>1</v>
      </c>
      <c r="F68" s="391" t="s">
        <v>1404</v>
      </c>
      <c r="G68" s="391">
        <v>1</v>
      </c>
      <c r="H68" s="391" t="s">
        <v>1404</v>
      </c>
      <c r="I68" s="390">
        <v>1</v>
      </c>
      <c r="J68" s="390" t="s">
        <v>1405</v>
      </c>
      <c r="K68" s="382" t="s">
        <v>1390</v>
      </c>
      <c r="L68" s="382" t="s">
        <v>1390</v>
      </c>
      <c r="M68" s="382" t="s">
        <v>1390</v>
      </c>
      <c r="N68" s="382" t="s">
        <v>1390</v>
      </c>
      <c r="O68" s="391">
        <v>1</v>
      </c>
      <c r="P68" s="391" t="s">
        <v>1404</v>
      </c>
      <c r="R68" s="386">
        <v>4</v>
      </c>
      <c r="S68" s="383" t="e">
        <f t="shared" si="114"/>
        <v>#DIV/0!</v>
      </c>
      <c r="T68" s="383" t="e">
        <f t="shared" si="114"/>
        <v>#DIV/0!</v>
      </c>
      <c r="U68" s="383" t="e">
        <f t="shared" si="114"/>
        <v>#DIV/0!</v>
      </c>
      <c r="V68" s="383" t="e">
        <f t="shared" si="114"/>
        <v>#DIV/0!</v>
      </c>
      <c r="W68" s="383" t="e">
        <f t="shared" si="114"/>
        <v>#DIV/0!</v>
      </c>
      <c r="X68" s="383" t="e">
        <f t="shared" si="114"/>
        <v>#DIV/0!</v>
      </c>
      <c r="Y68" s="383" t="e">
        <f t="shared" si="114"/>
        <v>#DIV/0!</v>
      </c>
      <c r="Z68" s="383" t="e">
        <f t="shared" si="114"/>
        <v>#DIV/0!</v>
      </c>
      <c r="AA68" s="383" t="e">
        <f t="shared" si="114"/>
        <v>#DIV/0!</v>
      </c>
      <c r="AB68" s="383" t="e">
        <f t="shared" si="114"/>
        <v>#DIV/0!</v>
      </c>
      <c r="AC68" s="383" t="e">
        <f t="shared" si="114"/>
        <v>#DIV/0!</v>
      </c>
      <c r="AD68" s="383" t="e">
        <f t="shared" si="114"/>
        <v>#DIV/0!</v>
      </c>
      <c r="AE68" s="386">
        <v>0</v>
      </c>
      <c r="AF68" s="383" t="e">
        <f t="shared" si="39"/>
        <v>#DIV/0!</v>
      </c>
      <c r="AG68" s="383" t="e">
        <f t="shared" si="39"/>
        <v>#DIV/0!</v>
      </c>
      <c r="AH68" s="383" t="e">
        <f t="shared" si="39"/>
        <v>#DIV/0!</v>
      </c>
      <c r="AI68" s="383" t="e">
        <f t="shared" si="39"/>
        <v>#DIV/0!</v>
      </c>
      <c r="AJ68" s="383" t="e">
        <f t="shared" si="39"/>
        <v>#DIV/0!</v>
      </c>
      <c r="AK68" s="383" t="e">
        <f t="shared" si="39"/>
        <v>#DIV/0!</v>
      </c>
      <c r="AL68" s="383" t="e">
        <f t="shared" si="39"/>
        <v>#DIV/0!</v>
      </c>
      <c r="AM68" s="383" t="e">
        <f t="shared" si="39"/>
        <v>#DIV/0!</v>
      </c>
      <c r="AN68" s="383" t="e">
        <f t="shared" si="39"/>
        <v>#DIV/0!</v>
      </c>
      <c r="AO68" s="383" t="e">
        <f t="shared" si="39"/>
        <v>#DIV/0!</v>
      </c>
      <c r="AP68" s="383" t="e">
        <f t="shared" si="39"/>
        <v>#DIV/0!</v>
      </c>
      <c r="AQ68" s="383" t="e">
        <f t="shared" si="39"/>
        <v>#DIV/0!</v>
      </c>
      <c r="AR68" s="386">
        <v>1</v>
      </c>
      <c r="AS68" s="383" t="e">
        <f t="shared" si="115"/>
        <v>#DIV/0!</v>
      </c>
      <c r="AT68" s="383" t="e">
        <f t="shared" si="112"/>
        <v>#DIV/0!</v>
      </c>
      <c r="AU68" s="383" t="e">
        <f t="shared" si="112"/>
        <v>#DIV/0!</v>
      </c>
      <c r="AV68" s="383" t="e">
        <f t="shared" si="112"/>
        <v>#DIV/0!</v>
      </c>
      <c r="AW68" s="383" t="e">
        <f t="shared" si="112"/>
        <v>#DIV/0!</v>
      </c>
      <c r="AX68" s="383" t="e">
        <f t="shared" si="112"/>
        <v>#DIV/0!</v>
      </c>
      <c r="AY68" s="383" t="e">
        <f t="shared" si="112"/>
        <v>#DIV/0!</v>
      </c>
      <c r="AZ68" s="383" t="e">
        <f t="shared" si="112"/>
        <v>#DIV/0!</v>
      </c>
      <c r="BA68" s="383" t="e">
        <f t="shared" si="112"/>
        <v>#DIV/0!</v>
      </c>
      <c r="BB68" s="383" t="e">
        <f t="shared" si="112"/>
        <v>#DIV/0!</v>
      </c>
      <c r="BC68" s="383" t="e">
        <f t="shared" si="112"/>
        <v>#DIV/0!</v>
      </c>
      <c r="BD68" s="383" t="e">
        <f t="shared" si="112"/>
        <v>#DIV/0!</v>
      </c>
      <c r="BE68" s="386" t="s">
        <v>1396</v>
      </c>
      <c r="BF68" s="383" t="e">
        <f>IF(AS68="","",IF(BF$18&gt;=1,"〇",""))</f>
        <v>#DIV/0!</v>
      </c>
      <c r="BG68" s="383" t="e">
        <f t="shared" ref="BG68:BQ68" si="121">IF(AT68="","",IF(BG$18&gt;=1,"〇",""))</f>
        <v>#DIV/0!</v>
      </c>
      <c r="BH68" s="383" t="e">
        <f t="shared" si="121"/>
        <v>#DIV/0!</v>
      </c>
      <c r="BI68" s="383" t="e">
        <f t="shared" si="121"/>
        <v>#DIV/0!</v>
      </c>
      <c r="BJ68" s="383" t="e">
        <f t="shared" si="121"/>
        <v>#DIV/0!</v>
      </c>
      <c r="BK68" s="383" t="e">
        <f t="shared" si="121"/>
        <v>#DIV/0!</v>
      </c>
      <c r="BL68" s="383" t="e">
        <f t="shared" si="121"/>
        <v>#DIV/0!</v>
      </c>
      <c r="BM68" s="383" t="e">
        <f t="shared" si="121"/>
        <v>#DIV/0!</v>
      </c>
      <c r="BN68" s="383" t="e">
        <f t="shared" si="121"/>
        <v>#DIV/0!</v>
      </c>
      <c r="BO68" s="383" t="e">
        <f t="shared" si="121"/>
        <v>#DIV/0!</v>
      </c>
      <c r="BP68" s="383" t="e">
        <f t="shared" si="121"/>
        <v>#DIV/0!</v>
      </c>
      <c r="BQ68" s="383" t="e">
        <f t="shared" si="121"/>
        <v>#DIV/0!</v>
      </c>
      <c r="BR68" s="386" t="s">
        <v>1390</v>
      </c>
      <c r="BS68" s="383" t="e">
        <f>IF(BF68="","","〇")</f>
        <v>#DIV/0!</v>
      </c>
      <c r="BT68" s="383" t="e">
        <f t="shared" ref="BT68:CD68" si="122">IF(BG68="","","〇")</f>
        <v>#DIV/0!</v>
      </c>
      <c r="BU68" s="383" t="e">
        <f t="shared" si="122"/>
        <v>#DIV/0!</v>
      </c>
      <c r="BV68" s="383" t="e">
        <f t="shared" si="122"/>
        <v>#DIV/0!</v>
      </c>
      <c r="BW68" s="383" t="e">
        <f t="shared" si="122"/>
        <v>#DIV/0!</v>
      </c>
      <c r="BX68" s="383" t="e">
        <f t="shared" si="122"/>
        <v>#DIV/0!</v>
      </c>
      <c r="BY68" s="383" t="e">
        <f t="shared" si="122"/>
        <v>#DIV/0!</v>
      </c>
      <c r="BZ68" s="383" t="e">
        <f t="shared" si="122"/>
        <v>#DIV/0!</v>
      </c>
      <c r="CA68" s="383" t="e">
        <f t="shared" si="122"/>
        <v>#DIV/0!</v>
      </c>
      <c r="CB68" s="383" t="e">
        <f t="shared" si="122"/>
        <v>#DIV/0!</v>
      </c>
      <c r="CC68" s="383" t="e">
        <f t="shared" si="122"/>
        <v>#DIV/0!</v>
      </c>
      <c r="CD68" s="383" t="e">
        <f t="shared" si="122"/>
        <v>#DIV/0!</v>
      </c>
      <c r="CE68" s="386" t="s">
        <v>1390</v>
      </c>
      <c r="CF68" s="383" t="e">
        <f t="shared" si="120"/>
        <v>#DIV/0!</v>
      </c>
      <c r="CG68" s="383" t="e">
        <f t="shared" si="120"/>
        <v>#DIV/0!</v>
      </c>
      <c r="CH68" s="383" t="e">
        <f t="shared" si="120"/>
        <v>#DIV/0!</v>
      </c>
      <c r="CI68" s="383" t="e">
        <f t="shared" si="120"/>
        <v>#DIV/0!</v>
      </c>
      <c r="CJ68" s="383" t="e">
        <f t="shared" si="120"/>
        <v>#DIV/0!</v>
      </c>
      <c r="CK68" s="383" t="e">
        <f t="shared" si="120"/>
        <v>#DIV/0!</v>
      </c>
      <c r="CL68" s="383" t="e">
        <f t="shared" si="120"/>
        <v>#DIV/0!</v>
      </c>
      <c r="CM68" s="383" t="e">
        <f t="shared" si="120"/>
        <v>#DIV/0!</v>
      </c>
      <c r="CN68" s="383" t="e">
        <f t="shared" si="120"/>
        <v>#DIV/0!</v>
      </c>
      <c r="CO68" s="383" t="e">
        <f t="shared" si="120"/>
        <v>#DIV/0!</v>
      </c>
      <c r="CP68" s="383" t="e">
        <f t="shared" si="120"/>
        <v>#DIV/0!</v>
      </c>
      <c r="CQ68" s="383" t="e">
        <f t="shared" si="120"/>
        <v>#DIV/0!</v>
      </c>
    </row>
    <row r="69" spans="3:95">
      <c r="C69" s="391">
        <v>1</v>
      </c>
      <c r="D69" s="391" t="s">
        <v>1404</v>
      </c>
      <c r="E69" s="391">
        <v>1</v>
      </c>
      <c r="F69" s="391" t="s">
        <v>1404</v>
      </c>
      <c r="G69" s="391">
        <v>1</v>
      </c>
      <c r="H69" s="391" t="s">
        <v>1404</v>
      </c>
      <c r="I69" s="382" t="s">
        <v>1390</v>
      </c>
      <c r="J69" s="382" t="s">
        <v>1390</v>
      </c>
      <c r="K69" s="382" t="s">
        <v>1390</v>
      </c>
      <c r="L69" s="382" t="s">
        <v>1390</v>
      </c>
      <c r="M69" s="391">
        <v>1</v>
      </c>
      <c r="N69" s="391" t="s">
        <v>1404</v>
      </c>
      <c r="O69" s="382" t="s">
        <v>1390</v>
      </c>
      <c r="P69" s="382" t="s">
        <v>1390</v>
      </c>
      <c r="R69" s="386">
        <v>4</v>
      </c>
      <c r="S69" s="383" t="e">
        <f t="shared" si="114"/>
        <v>#DIV/0!</v>
      </c>
      <c r="T69" s="383" t="e">
        <f t="shared" si="114"/>
        <v>#DIV/0!</v>
      </c>
      <c r="U69" s="383" t="e">
        <f t="shared" si="114"/>
        <v>#DIV/0!</v>
      </c>
      <c r="V69" s="383" t="e">
        <f t="shared" si="114"/>
        <v>#DIV/0!</v>
      </c>
      <c r="W69" s="383" t="e">
        <f t="shared" si="114"/>
        <v>#DIV/0!</v>
      </c>
      <c r="X69" s="383" t="e">
        <f t="shared" si="114"/>
        <v>#DIV/0!</v>
      </c>
      <c r="Y69" s="383" t="e">
        <f t="shared" si="114"/>
        <v>#DIV/0!</v>
      </c>
      <c r="Z69" s="383" t="e">
        <f t="shared" si="114"/>
        <v>#DIV/0!</v>
      </c>
      <c r="AA69" s="383" t="e">
        <f t="shared" si="114"/>
        <v>#DIV/0!</v>
      </c>
      <c r="AB69" s="383" t="e">
        <f t="shared" si="114"/>
        <v>#DIV/0!</v>
      </c>
      <c r="AC69" s="383" t="e">
        <f t="shared" si="114"/>
        <v>#DIV/0!</v>
      </c>
      <c r="AD69" s="383" t="e">
        <f t="shared" si="114"/>
        <v>#DIV/0!</v>
      </c>
      <c r="AE69" s="386" t="s">
        <v>1396</v>
      </c>
      <c r="AF69" s="383" t="e">
        <f t="shared" ref="AF69:AQ72" si="123">IF(S69="","",IF(AF$18&gt;=1,"〇",""))</f>
        <v>#DIV/0!</v>
      </c>
      <c r="AG69" s="383" t="e">
        <f t="shared" si="123"/>
        <v>#DIV/0!</v>
      </c>
      <c r="AH69" s="383" t="e">
        <f t="shared" si="123"/>
        <v>#DIV/0!</v>
      </c>
      <c r="AI69" s="383" t="e">
        <f t="shared" si="123"/>
        <v>#DIV/0!</v>
      </c>
      <c r="AJ69" s="383" t="e">
        <f t="shared" si="123"/>
        <v>#DIV/0!</v>
      </c>
      <c r="AK69" s="383" t="e">
        <f t="shared" si="123"/>
        <v>#DIV/0!</v>
      </c>
      <c r="AL69" s="383" t="e">
        <f t="shared" si="123"/>
        <v>#DIV/0!</v>
      </c>
      <c r="AM69" s="383" t="e">
        <f t="shared" si="123"/>
        <v>#DIV/0!</v>
      </c>
      <c r="AN69" s="383" t="e">
        <f t="shared" si="123"/>
        <v>#DIV/0!</v>
      </c>
      <c r="AO69" s="383" t="e">
        <f t="shared" si="123"/>
        <v>#DIV/0!</v>
      </c>
      <c r="AP69" s="383" t="e">
        <f t="shared" si="123"/>
        <v>#DIV/0!</v>
      </c>
      <c r="AQ69" s="383" t="e">
        <f t="shared" si="123"/>
        <v>#DIV/0!</v>
      </c>
      <c r="AR69" s="386" t="s">
        <v>1390</v>
      </c>
      <c r="AS69" s="383" t="e">
        <f t="shared" ref="AS69:BD72" si="124">IF(AF69="","","〇")</f>
        <v>#DIV/0!</v>
      </c>
      <c r="AT69" s="383" t="e">
        <f t="shared" si="124"/>
        <v>#DIV/0!</v>
      </c>
      <c r="AU69" s="383" t="e">
        <f t="shared" si="124"/>
        <v>#DIV/0!</v>
      </c>
      <c r="AV69" s="383" t="e">
        <f t="shared" si="124"/>
        <v>#DIV/0!</v>
      </c>
      <c r="AW69" s="383" t="e">
        <f t="shared" si="124"/>
        <v>#DIV/0!</v>
      </c>
      <c r="AX69" s="383" t="e">
        <f t="shared" si="124"/>
        <v>#DIV/0!</v>
      </c>
      <c r="AY69" s="383" t="e">
        <f t="shared" si="124"/>
        <v>#DIV/0!</v>
      </c>
      <c r="AZ69" s="383" t="e">
        <f t="shared" si="124"/>
        <v>#DIV/0!</v>
      </c>
      <c r="BA69" s="383" t="e">
        <f t="shared" si="124"/>
        <v>#DIV/0!</v>
      </c>
      <c r="BB69" s="383" t="e">
        <f t="shared" si="124"/>
        <v>#DIV/0!</v>
      </c>
      <c r="BC69" s="383" t="e">
        <f t="shared" si="124"/>
        <v>#DIV/0!</v>
      </c>
      <c r="BD69" s="383" t="e">
        <f t="shared" si="124"/>
        <v>#DIV/0!</v>
      </c>
      <c r="BE69" s="386">
        <v>0</v>
      </c>
      <c r="BF69" s="383" t="e">
        <f t="shared" si="78"/>
        <v>#DIV/0!</v>
      </c>
      <c r="BG69" s="383" t="e">
        <f t="shared" si="78"/>
        <v>#DIV/0!</v>
      </c>
      <c r="BH69" s="383" t="e">
        <f t="shared" si="78"/>
        <v>#DIV/0!</v>
      </c>
      <c r="BI69" s="383" t="e">
        <f t="shared" si="78"/>
        <v>#DIV/0!</v>
      </c>
      <c r="BJ69" s="383" t="e">
        <f t="shared" si="78"/>
        <v>#DIV/0!</v>
      </c>
      <c r="BK69" s="383" t="e">
        <f t="shared" si="78"/>
        <v>#DIV/0!</v>
      </c>
      <c r="BL69" s="383" t="e">
        <f t="shared" si="78"/>
        <v>#DIV/0!</v>
      </c>
      <c r="BM69" s="383" t="e">
        <f t="shared" si="78"/>
        <v>#DIV/0!</v>
      </c>
      <c r="BN69" s="383" t="e">
        <f t="shared" si="78"/>
        <v>#DIV/0!</v>
      </c>
      <c r="BO69" s="383" t="e">
        <f t="shared" si="78"/>
        <v>#DIV/0!</v>
      </c>
      <c r="BP69" s="383" t="e">
        <f t="shared" si="78"/>
        <v>#DIV/0!</v>
      </c>
      <c r="BQ69" s="383" t="e">
        <f t="shared" si="78"/>
        <v>#DIV/0!</v>
      </c>
      <c r="BR69" s="386">
        <v>0</v>
      </c>
      <c r="BS69" s="383" t="e">
        <f>IF(BF69="","",IF(BS$18=$BR69,"〇",""))</f>
        <v>#DIV/0!</v>
      </c>
      <c r="BT69" s="383" t="e">
        <f t="shared" ref="BT69:CD70" si="125">IF(BG69="","",IF(BT$18=$BR69,"〇",""))</f>
        <v>#DIV/0!</v>
      </c>
      <c r="BU69" s="383" t="e">
        <f t="shared" si="125"/>
        <v>#DIV/0!</v>
      </c>
      <c r="BV69" s="383" t="e">
        <f t="shared" si="125"/>
        <v>#DIV/0!</v>
      </c>
      <c r="BW69" s="383" t="e">
        <f t="shared" si="125"/>
        <v>#DIV/0!</v>
      </c>
      <c r="BX69" s="383" t="e">
        <f t="shared" si="125"/>
        <v>#DIV/0!</v>
      </c>
      <c r="BY69" s="383" t="e">
        <f t="shared" si="125"/>
        <v>#DIV/0!</v>
      </c>
      <c r="BZ69" s="383" t="e">
        <f t="shared" si="125"/>
        <v>#DIV/0!</v>
      </c>
      <c r="CA69" s="383" t="e">
        <f t="shared" si="125"/>
        <v>#DIV/0!</v>
      </c>
      <c r="CB69" s="383" t="e">
        <f t="shared" si="125"/>
        <v>#DIV/0!</v>
      </c>
      <c r="CC69" s="383" t="e">
        <f t="shared" si="125"/>
        <v>#DIV/0!</v>
      </c>
      <c r="CD69" s="383" t="e">
        <f t="shared" si="125"/>
        <v>#DIV/0!</v>
      </c>
      <c r="CE69" s="386">
        <v>0</v>
      </c>
      <c r="CF69" s="383" t="e">
        <f>IF(BS69="","",IF(CF$18=$CE69,"〇",""))</f>
        <v>#DIV/0!</v>
      </c>
      <c r="CG69" s="383" t="e">
        <f t="shared" ref="CG69:CQ69" si="126">IF(BT69="","",IF(CG$18=$CE69,"〇",""))</f>
        <v>#DIV/0!</v>
      </c>
      <c r="CH69" s="383" t="e">
        <f t="shared" si="126"/>
        <v>#DIV/0!</v>
      </c>
      <c r="CI69" s="383" t="e">
        <f t="shared" si="126"/>
        <v>#DIV/0!</v>
      </c>
      <c r="CJ69" s="383" t="e">
        <f t="shared" si="126"/>
        <v>#DIV/0!</v>
      </c>
      <c r="CK69" s="383" t="e">
        <f t="shared" si="126"/>
        <v>#DIV/0!</v>
      </c>
      <c r="CL69" s="383" t="e">
        <f t="shared" si="126"/>
        <v>#DIV/0!</v>
      </c>
      <c r="CM69" s="383" t="e">
        <f t="shared" si="126"/>
        <v>#DIV/0!</v>
      </c>
      <c r="CN69" s="383" t="e">
        <f t="shared" si="126"/>
        <v>#DIV/0!</v>
      </c>
      <c r="CO69" s="383" t="e">
        <f t="shared" si="126"/>
        <v>#DIV/0!</v>
      </c>
      <c r="CP69" s="383" t="e">
        <f t="shared" si="126"/>
        <v>#DIV/0!</v>
      </c>
      <c r="CQ69" s="383" t="e">
        <f t="shared" si="126"/>
        <v>#DIV/0!</v>
      </c>
    </row>
    <row r="70" spans="3:95">
      <c r="C70" s="391">
        <v>1</v>
      </c>
      <c r="D70" s="391" t="s">
        <v>1404</v>
      </c>
      <c r="E70" s="391">
        <v>1</v>
      </c>
      <c r="F70" s="391" t="s">
        <v>1404</v>
      </c>
      <c r="G70" s="391">
        <v>1</v>
      </c>
      <c r="H70" s="391" t="s">
        <v>1404</v>
      </c>
      <c r="I70" s="387">
        <v>1</v>
      </c>
      <c r="J70" s="387" t="s">
        <v>1393</v>
      </c>
      <c r="K70" s="382" t="s">
        <v>1390</v>
      </c>
      <c r="L70" s="382" t="s">
        <v>1390</v>
      </c>
      <c r="M70" s="391">
        <v>1</v>
      </c>
      <c r="N70" s="391" t="s">
        <v>1404</v>
      </c>
      <c r="O70" s="382" t="s">
        <v>1390</v>
      </c>
      <c r="P70" s="382" t="s">
        <v>1390</v>
      </c>
      <c r="R70" s="386">
        <v>4</v>
      </c>
      <c r="S70" s="383" t="e">
        <f t="shared" si="114"/>
        <v>#DIV/0!</v>
      </c>
      <c r="T70" s="383" t="e">
        <f t="shared" si="114"/>
        <v>#DIV/0!</v>
      </c>
      <c r="U70" s="383" t="e">
        <f t="shared" si="114"/>
        <v>#DIV/0!</v>
      </c>
      <c r="V70" s="383" t="e">
        <f t="shared" si="114"/>
        <v>#DIV/0!</v>
      </c>
      <c r="W70" s="383" t="e">
        <f t="shared" si="114"/>
        <v>#DIV/0!</v>
      </c>
      <c r="X70" s="383" t="e">
        <f t="shared" si="114"/>
        <v>#DIV/0!</v>
      </c>
      <c r="Y70" s="383" t="e">
        <f t="shared" si="114"/>
        <v>#DIV/0!</v>
      </c>
      <c r="Z70" s="383" t="e">
        <f t="shared" si="114"/>
        <v>#DIV/0!</v>
      </c>
      <c r="AA70" s="383" t="e">
        <f t="shared" si="114"/>
        <v>#DIV/0!</v>
      </c>
      <c r="AB70" s="383" t="e">
        <f t="shared" si="114"/>
        <v>#DIV/0!</v>
      </c>
      <c r="AC70" s="383" t="e">
        <f t="shared" si="114"/>
        <v>#DIV/0!</v>
      </c>
      <c r="AD70" s="383" t="e">
        <f t="shared" si="114"/>
        <v>#DIV/0!</v>
      </c>
      <c r="AE70" s="386" t="s">
        <v>1396</v>
      </c>
      <c r="AF70" s="383" t="e">
        <f t="shared" si="123"/>
        <v>#DIV/0!</v>
      </c>
      <c r="AG70" s="383" t="e">
        <f t="shared" si="123"/>
        <v>#DIV/0!</v>
      </c>
      <c r="AH70" s="383" t="e">
        <f t="shared" si="123"/>
        <v>#DIV/0!</v>
      </c>
      <c r="AI70" s="383" t="e">
        <f t="shared" si="123"/>
        <v>#DIV/0!</v>
      </c>
      <c r="AJ70" s="383" t="e">
        <f t="shared" si="123"/>
        <v>#DIV/0!</v>
      </c>
      <c r="AK70" s="383" t="e">
        <f t="shared" si="123"/>
        <v>#DIV/0!</v>
      </c>
      <c r="AL70" s="383" t="e">
        <f t="shared" si="123"/>
        <v>#DIV/0!</v>
      </c>
      <c r="AM70" s="383" t="e">
        <f t="shared" si="123"/>
        <v>#DIV/0!</v>
      </c>
      <c r="AN70" s="383" t="e">
        <f t="shared" si="123"/>
        <v>#DIV/0!</v>
      </c>
      <c r="AO70" s="383" t="e">
        <f t="shared" si="123"/>
        <v>#DIV/0!</v>
      </c>
      <c r="AP70" s="383" t="e">
        <f t="shared" si="123"/>
        <v>#DIV/0!</v>
      </c>
      <c r="AQ70" s="383" t="e">
        <f t="shared" si="123"/>
        <v>#DIV/0!</v>
      </c>
      <c r="AR70" s="386" t="s">
        <v>1390</v>
      </c>
      <c r="AS70" s="383" t="e">
        <f t="shared" si="124"/>
        <v>#DIV/0!</v>
      </c>
      <c r="AT70" s="383" t="e">
        <f t="shared" si="124"/>
        <v>#DIV/0!</v>
      </c>
      <c r="AU70" s="383" t="e">
        <f t="shared" si="124"/>
        <v>#DIV/0!</v>
      </c>
      <c r="AV70" s="383" t="e">
        <f t="shared" si="124"/>
        <v>#DIV/0!</v>
      </c>
      <c r="AW70" s="383" t="e">
        <f t="shared" si="124"/>
        <v>#DIV/0!</v>
      </c>
      <c r="AX70" s="383" t="e">
        <f t="shared" si="124"/>
        <v>#DIV/0!</v>
      </c>
      <c r="AY70" s="383" t="e">
        <f t="shared" si="124"/>
        <v>#DIV/0!</v>
      </c>
      <c r="AZ70" s="383" t="e">
        <f t="shared" si="124"/>
        <v>#DIV/0!</v>
      </c>
      <c r="BA70" s="383" t="e">
        <f t="shared" si="124"/>
        <v>#DIV/0!</v>
      </c>
      <c r="BB70" s="383" t="e">
        <f t="shared" si="124"/>
        <v>#DIV/0!</v>
      </c>
      <c r="BC70" s="383" t="e">
        <f t="shared" si="124"/>
        <v>#DIV/0!</v>
      </c>
      <c r="BD70" s="383" t="e">
        <f t="shared" si="124"/>
        <v>#DIV/0!</v>
      </c>
      <c r="BE70" s="386">
        <v>0</v>
      </c>
      <c r="BF70" s="383" t="e">
        <f t="shared" si="78"/>
        <v>#DIV/0!</v>
      </c>
      <c r="BG70" s="383" t="e">
        <f t="shared" si="78"/>
        <v>#DIV/0!</v>
      </c>
      <c r="BH70" s="383" t="e">
        <f t="shared" si="78"/>
        <v>#DIV/0!</v>
      </c>
      <c r="BI70" s="383" t="e">
        <f t="shared" si="78"/>
        <v>#DIV/0!</v>
      </c>
      <c r="BJ70" s="383" t="e">
        <f t="shared" si="78"/>
        <v>#DIV/0!</v>
      </c>
      <c r="BK70" s="383" t="e">
        <f t="shared" si="78"/>
        <v>#DIV/0!</v>
      </c>
      <c r="BL70" s="383" t="e">
        <f t="shared" si="78"/>
        <v>#DIV/0!</v>
      </c>
      <c r="BM70" s="383" t="e">
        <f t="shared" si="78"/>
        <v>#DIV/0!</v>
      </c>
      <c r="BN70" s="383" t="e">
        <f t="shared" si="78"/>
        <v>#DIV/0!</v>
      </c>
      <c r="BO70" s="383" t="e">
        <f t="shared" si="78"/>
        <v>#DIV/0!</v>
      </c>
      <c r="BP70" s="383" t="e">
        <f t="shared" si="78"/>
        <v>#DIV/0!</v>
      </c>
      <c r="BQ70" s="383" t="e">
        <f t="shared" si="78"/>
        <v>#DIV/0!</v>
      </c>
      <c r="BR70" s="386">
        <v>0</v>
      </c>
      <c r="BS70" s="383" t="e">
        <f>IF(BF70="","",IF(BS$18=$BR70,"〇",""))</f>
        <v>#DIV/0!</v>
      </c>
      <c r="BT70" s="383" t="e">
        <f t="shared" si="125"/>
        <v>#DIV/0!</v>
      </c>
      <c r="BU70" s="383" t="e">
        <f t="shared" si="125"/>
        <v>#DIV/0!</v>
      </c>
      <c r="BV70" s="383" t="e">
        <f t="shared" si="125"/>
        <v>#DIV/0!</v>
      </c>
      <c r="BW70" s="383" t="e">
        <f t="shared" si="125"/>
        <v>#DIV/0!</v>
      </c>
      <c r="BX70" s="383" t="e">
        <f t="shared" si="125"/>
        <v>#DIV/0!</v>
      </c>
      <c r="BY70" s="383" t="e">
        <f t="shared" si="125"/>
        <v>#DIV/0!</v>
      </c>
      <c r="BZ70" s="383" t="e">
        <f t="shared" si="125"/>
        <v>#DIV/0!</v>
      </c>
      <c r="CA70" s="383" t="e">
        <f t="shared" si="125"/>
        <v>#DIV/0!</v>
      </c>
      <c r="CB70" s="383" t="e">
        <f t="shared" si="125"/>
        <v>#DIV/0!</v>
      </c>
      <c r="CC70" s="383" t="e">
        <f t="shared" si="125"/>
        <v>#DIV/0!</v>
      </c>
      <c r="CD70" s="383" t="e">
        <f t="shared" si="125"/>
        <v>#DIV/0!</v>
      </c>
      <c r="CE70" s="386" t="s">
        <v>1396</v>
      </c>
      <c r="CF70" s="383" t="e">
        <f>IF(BS70="","",IF(CF$18&gt;=1,"〇",""))</f>
        <v>#DIV/0!</v>
      </c>
      <c r="CG70" s="383" t="e">
        <f t="shared" ref="CG70:CQ70" si="127">IF(BT70="","",IF(CG$18&gt;=1,"〇",""))</f>
        <v>#DIV/0!</v>
      </c>
      <c r="CH70" s="383" t="e">
        <f t="shared" si="127"/>
        <v>#DIV/0!</v>
      </c>
      <c r="CI70" s="383" t="e">
        <f t="shared" si="127"/>
        <v>#DIV/0!</v>
      </c>
      <c r="CJ70" s="383" t="e">
        <f t="shared" si="127"/>
        <v>#DIV/0!</v>
      </c>
      <c r="CK70" s="383" t="e">
        <f t="shared" si="127"/>
        <v>#DIV/0!</v>
      </c>
      <c r="CL70" s="383" t="e">
        <f t="shared" si="127"/>
        <v>#DIV/0!</v>
      </c>
      <c r="CM70" s="383" t="e">
        <f t="shared" si="127"/>
        <v>#DIV/0!</v>
      </c>
      <c r="CN70" s="383" t="e">
        <f t="shared" si="127"/>
        <v>#DIV/0!</v>
      </c>
      <c r="CO70" s="383" t="e">
        <f t="shared" si="127"/>
        <v>#DIV/0!</v>
      </c>
      <c r="CP70" s="383" t="e">
        <f t="shared" si="127"/>
        <v>#DIV/0!</v>
      </c>
      <c r="CQ70" s="383" t="e">
        <f t="shared" si="127"/>
        <v>#DIV/0!</v>
      </c>
    </row>
    <row r="71" spans="3:95">
      <c r="C71" s="391">
        <v>1</v>
      </c>
      <c r="D71" s="391" t="s">
        <v>1404</v>
      </c>
      <c r="E71" s="391">
        <v>1</v>
      </c>
      <c r="F71" s="391" t="s">
        <v>1404</v>
      </c>
      <c r="G71" s="391">
        <v>1</v>
      </c>
      <c r="H71" s="391" t="s">
        <v>1404</v>
      </c>
      <c r="I71" s="389">
        <v>1</v>
      </c>
      <c r="J71" s="389" t="s">
        <v>1404</v>
      </c>
      <c r="K71" s="382" t="s">
        <v>1390</v>
      </c>
      <c r="L71" s="382" t="s">
        <v>1390</v>
      </c>
      <c r="M71" s="391">
        <v>1</v>
      </c>
      <c r="N71" s="391" t="s">
        <v>1404</v>
      </c>
      <c r="O71" s="382" t="s">
        <v>1390</v>
      </c>
      <c r="P71" s="382" t="s">
        <v>1390</v>
      </c>
      <c r="R71" s="386">
        <v>4</v>
      </c>
      <c r="S71" s="383" t="e">
        <f t="shared" si="114"/>
        <v>#DIV/0!</v>
      </c>
      <c r="T71" s="383" t="e">
        <f t="shared" si="114"/>
        <v>#DIV/0!</v>
      </c>
      <c r="U71" s="383" t="e">
        <f t="shared" si="114"/>
        <v>#DIV/0!</v>
      </c>
      <c r="V71" s="383" t="e">
        <f t="shared" si="114"/>
        <v>#DIV/0!</v>
      </c>
      <c r="W71" s="383" t="e">
        <f t="shared" si="114"/>
        <v>#DIV/0!</v>
      </c>
      <c r="X71" s="383" t="e">
        <f t="shared" si="114"/>
        <v>#DIV/0!</v>
      </c>
      <c r="Y71" s="383" t="e">
        <f t="shared" si="114"/>
        <v>#DIV/0!</v>
      </c>
      <c r="Z71" s="383" t="e">
        <f t="shared" si="114"/>
        <v>#DIV/0!</v>
      </c>
      <c r="AA71" s="383" t="e">
        <f t="shared" si="114"/>
        <v>#DIV/0!</v>
      </c>
      <c r="AB71" s="383" t="e">
        <f t="shared" si="114"/>
        <v>#DIV/0!</v>
      </c>
      <c r="AC71" s="383" t="e">
        <f t="shared" si="114"/>
        <v>#DIV/0!</v>
      </c>
      <c r="AD71" s="383" t="e">
        <f t="shared" si="114"/>
        <v>#DIV/0!</v>
      </c>
      <c r="AE71" s="386" t="s">
        <v>1396</v>
      </c>
      <c r="AF71" s="383" t="e">
        <f t="shared" si="123"/>
        <v>#DIV/0!</v>
      </c>
      <c r="AG71" s="383" t="e">
        <f t="shared" si="123"/>
        <v>#DIV/0!</v>
      </c>
      <c r="AH71" s="383" t="e">
        <f t="shared" si="123"/>
        <v>#DIV/0!</v>
      </c>
      <c r="AI71" s="383" t="e">
        <f t="shared" si="123"/>
        <v>#DIV/0!</v>
      </c>
      <c r="AJ71" s="383" t="e">
        <f t="shared" si="123"/>
        <v>#DIV/0!</v>
      </c>
      <c r="AK71" s="383" t="e">
        <f t="shared" si="123"/>
        <v>#DIV/0!</v>
      </c>
      <c r="AL71" s="383" t="e">
        <f t="shared" si="123"/>
        <v>#DIV/0!</v>
      </c>
      <c r="AM71" s="383" t="e">
        <f t="shared" si="123"/>
        <v>#DIV/0!</v>
      </c>
      <c r="AN71" s="383" t="e">
        <f t="shared" si="123"/>
        <v>#DIV/0!</v>
      </c>
      <c r="AO71" s="383" t="e">
        <f t="shared" si="123"/>
        <v>#DIV/0!</v>
      </c>
      <c r="AP71" s="383" t="e">
        <f t="shared" si="123"/>
        <v>#DIV/0!</v>
      </c>
      <c r="AQ71" s="383" t="e">
        <f t="shared" si="123"/>
        <v>#DIV/0!</v>
      </c>
      <c r="AR71" s="386" t="s">
        <v>1390</v>
      </c>
      <c r="AS71" s="383" t="e">
        <f t="shared" si="124"/>
        <v>#DIV/0!</v>
      </c>
      <c r="AT71" s="383" t="e">
        <f t="shared" si="124"/>
        <v>#DIV/0!</v>
      </c>
      <c r="AU71" s="383" t="e">
        <f t="shared" si="124"/>
        <v>#DIV/0!</v>
      </c>
      <c r="AV71" s="383" t="e">
        <f t="shared" si="124"/>
        <v>#DIV/0!</v>
      </c>
      <c r="AW71" s="383" t="e">
        <f t="shared" si="124"/>
        <v>#DIV/0!</v>
      </c>
      <c r="AX71" s="383" t="e">
        <f t="shared" si="124"/>
        <v>#DIV/0!</v>
      </c>
      <c r="AY71" s="383" t="e">
        <f t="shared" si="124"/>
        <v>#DIV/0!</v>
      </c>
      <c r="AZ71" s="383" t="e">
        <f t="shared" si="124"/>
        <v>#DIV/0!</v>
      </c>
      <c r="BA71" s="383" t="e">
        <f t="shared" si="124"/>
        <v>#DIV/0!</v>
      </c>
      <c r="BB71" s="383" t="e">
        <f t="shared" si="124"/>
        <v>#DIV/0!</v>
      </c>
      <c r="BC71" s="383" t="e">
        <f t="shared" si="124"/>
        <v>#DIV/0!</v>
      </c>
      <c r="BD71" s="383" t="e">
        <f t="shared" si="124"/>
        <v>#DIV/0!</v>
      </c>
      <c r="BE71" s="386">
        <v>0</v>
      </c>
      <c r="BF71" s="383" t="e">
        <f t="shared" si="78"/>
        <v>#DIV/0!</v>
      </c>
      <c r="BG71" s="383" t="e">
        <f t="shared" si="78"/>
        <v>#DIV/0!</v>
      </c>
      <c r="BH71" s="383" t="e">
        <f t="shared" si="78"/>
        <v>#DIV/0!</v>
      </c>
      <c r="BI71" s="383" t="e">
        <f t="shared" si="78"/>
        <v>#DIV/0!</v>
      </c>
      <c r="BJ71" s="383" t="e">
        <f t="shared" si="78"/>
        <v>#DIV/0!</v>
      </c>
      <c r="BK71" s="383" t="e">
        <f t="shared" si="78"/>
        <v>#DIV/0!</v>
      </c>
      <c r="BL71" s="383" t="e">
        <f t="shared" si="78"/>
        <v>#DIV/0!</v>
      </c>
      <c r="BM71" s="383" t="e">
        <f t="shared" si="78"/>
        <v>#DIV/0!</v>
      </c>
      <c r="BN71" s="383" t="e">
        <f t="shared" si="78"/>
        <v>#DIV/0!</v>
      </c>
      <c r="BO71" s="383" t="e">
        <f t="shared" si="78"/>
        <v>#DIV/0!</v>
      </c>
      <c r="BP71" s="383" t="e">
        <f t="shared" si="78"/>
        <v>#DIV/0!</v>
      </c>
      <c r="BQ71" s="383" t="e">
        <f t="shared" si="78"/>
        <v>#DIV/0!</v>
      </c>
      <c r="BR71" s="386" t="s">
        <v>1396</v>
      </c>
      <c r="BS71" s="383" t="e">
        <f>IF(BF71="","",IF(BS$18&gt;=1,"〇",""))</f>
        <v>#DIV/0!</v>
      </c>
      <c r="BT71" s="383" t="e">
        <f t="shared" ref="BT71:CD71" si="128">IF(BG71="","",IF(BT$18&gt;=1,"〇",""))</f>
        <v>#DIV/0!</v>
      </c>
      <c r="BU71" s="383" t="e">
        <f t="shared" si="128"/>
        <v>#DIV/0!</v>
      </c>
      <c r="BV71" s="383" t="e">
        <f t="shared" si="128"/>
        <v>#DIV/0!</v>
      </c>
      <c r="BW71" s="383" t="e">
        <f t="shared" si="128"/>
        <v>#DIV/0!</v>
      </c>
      <c r="BX71" s="383" t="e">
        <f t="shared" si="128"/>
        <v>#DIV/0!</v>
      </c>
      <c r="BY71" s="383" t="e">
        <f t="shared" si="128"/>
        <v>#DIV/0!</v>
      </c>
      <c r="BZ71" s="383" t="e">
        <f t="shared" si="128"/>
        <v>#DIV/0!</v>
      </c>
      <c r="CA71" s="383" t="e">
        <f t="shared" si="128"/>
        <v>#DIV/0!</v>
      </c>
      <c r="CB71" s="383" t="e">
        <f t="shared" si="128"/>
        <v>#DIV/0!</v>
      </c>
      <c r="CC71" s="383" t="e">
        <f t="shared" si="128"/>
        <v>#DIV/0!</v>
      </c>
      <c r="CD71" s="383" t="e">
        <f t="shared" si="128"/>
        <v>#DIV/0!</v>
      </c>
      <c r="CE71" s="386" t="s">
        <v>1390</v>
      </c>
      <c r="CF71" s="383" t="e">
        <f t="shared" ref="CF71:CQ75" si="129">IF(BS71="","","〇")</f>
        <v>#DIV/0!</v>
      </c>
      <c r="CG71" s="383" t="e">
        <f t="shared" si="129"/>
        <v>#DIV/0!</v>
      </c>
      <c r="CH71" s="383" t="e">
        <f t="shared" si="129"/>
        <v>#DIV/0!</v>
      </c>
      <c r="CI71" s="383" t="e">
        <f t="shared" si="129"/>
        <v>#DIV/0!</v>
      </c>
      <c r="CJ71" s="383" t="e">
        <f t="shared" si="129"/>
        <v>#DIV/0!</v>
      </c>
      <c r="CK71" s="383" t="e">
        <f t="shared" si="129"/>
        <v>#DIV/0!</v>
      </c>
      <c r="CL71" s="383" t="e">
        <f t="shared" si="129"/>
        <v>#DIV/0!</v>
      </c>
      <c r="CM71" s="383" t="e">
        <f t="shared" si="129"/>
        <v>#DIV/0!</v>
      </c>
      <c r="CN71" s="383" t="e">
        <f t="shared" si="129"/>
        <v>#DIV/0!</v>
      </c>
      <c r="CO71" s="383" t="e">
        <f t="shared" si="129"/>
        <v>#DIV/0!</v>
      </c>
      <c r="CP71" s="383" t="e">
        <f t="shared" si="129"/>
        <v>#DIV/0!</v>
      </c>
      <c r="CQ71" s="383" t="e">
        <f t="shared" si="129"/>
        <v>#DIV/0!</v>
      </c>
    </row>
    <row r="72" spans="3:95">
      <c r="C72" s="391">
        <v>1</v>
      </c>
      <c r="D72" s="391" t="s">
        <v>1404</v>
      </c>
      <c r="E72" s="391">
        <v>1</v>
      </c>
      <c r="F72" s="391" t="s">
        <v>1404</v>
      </c>
      <c r="G72" s="391">
        <v>1</v>
      </c>
      <c r="H72" s="391" t="s">
        <v>1404</v>
      </c>
      <c r="I72" s="390">
        <v>1</v>
      </c>
      <c r="J72" s="390" t="s">
        <v>1405</v>
      </c>
      <c r="K72" s="382" t="s">
        <v>1390</v>
      </c>
      <c r="L72" s="382" t="s">
        <v>1390</v>
      </c>
      <c r="M72" s="391">
        <v>1</v>
      </c>
      <c r="N72" s="391" t="s">
        <v>1404</v>
      </c>
      <c r="O72" s="382" t="s">
        <v>1390</v>
      </c>
      <c r="P72" s="382" t="s">
        <v>1390</v>
      </c>
      <c r="R72" s="386">
        <v>4</v>
      </c>
      <c r="S72" s="383" t="e">
        <f t="shared" si="114"/>
        <v>#DIV/0!</v>
      </c>
      <c r="T72" s="383" t="e">
        <f t="shared" si="114"/>
        <v>#DIV/0!</v>
      </c>
      <c r="U72" s="383" t="e">
        <f t="shared" si="114"/>
        <v>#DIV/0!</v>
      </c>
      <c r="V72" s="383" t="e">
        <f t="shared" si="114"/>
        <v>#DIV/0!</v>
      </c>
      <c r="W72" s="383" t="e">
        <f t="shared" si="114"/>
        <v>#DIV/0!</v>
      </c>
      <c r="X72" s="383" t="e">
        <f t="shared" si="114"/>
        <v>#DIV/0!</v>
      </c>
      <c r="Y72" s="383" t="e">
        <f t="shared" si="114"/>
        <v>#DIV/0!</v>
      </c>
      <c r="Z72" s="383" t="e">
        <f t="shared" si="114"/>
        <v>#DIV/0!</v>
      </c>
      <c r="AA72" s="383" t="e">
        <f t="shared" si="114"/>
        <v>#DIV/0!</v>
      </c>
      <c r="AB72" s="383" t="e">
        <f t="shared" si="114"/>
        <v>#DIV/0!</v>
      </c>
      <c r="AC72" s="383" t="e">
        <f t="shared" si="114"/>
        <v>#DIV/0!</v>
      </c>
      <c r="AD72" s="383" t="e">
        <f t="shared" si="114"/>
        <v>#DIV/0!</v>
      </c>
      <c r="AE72" s="386" t="s">
        <v>1396</v>
      </c>
      <c r="AF72" s="383" t="e">
        <f t="shared" si="123"/>
        <v>#DIV/0!</v>
      </c>
      <c r="AG72" s="383" t="e">
        <f t="shared" si="123"/>
        <v>#DIV/0!</v>
      </c>
      <c r="AH72" s="383" t="e">
        <f t="shared" si="123"/>
        <v>#DIV/0!</v>
      </c>
      <c r="AI72" s="383" t="e">
        <f t="shared" si="123"/>
        <v>#DIV/0!</v>
      </c>
      <c r="AJ72" s="383" t="e">
        <f t="shared" si="123"/>
        <v>#DIV/0!</v>
      </c>
      <c r="AK72" s="383" t="e">
        <f t="shared" si="123"/>
        <v>#DIV/0!</v>
      </c>
      <c r="AL72" s="383" t="e">
        <f t="shared" si="123"/>
        <v>#DIV/0!</v>
      </c>
      <c r="AM72" s="383" t="e">
        <f t="shared" si="123"/>
        <v>#DIV/0!</v>
      </c>
      <c r="AN72" s="383" t="e">
        <f t="shared" si="123"/>
        <v>#DIV/0!</v>
      </c>
      <c r="AO72" s="383" t="e">
        <f t="shared" si="123"/>
        <v>#DIV/0!</v>
      </c>
      <c r="AP72" s="383" t="e">
        <f t="shared" si="123"/>
        <v>#DIV/0!</v>
      </c>
      <c r="AQ72" s="383" t="e">
        <f t="shared" si="123"/>
        <v>#DIV/0!</v>
      </c>
      <c r="AR72" s="386" t="s">
        <v>1390</v>
      </c>
      <c r="AS72" s="383" t="e">
        <f t="shared" si="124"/>
        <v>#DIV/0!</v>
      </c>
      <c r="AT72" s="383" t="e">
        <f t="shared" si="124"/>
        <v>#DIV/0!</v>
      </c>
      <c r="AU72" s="383" t="e">
        <f t="shared" si="124"/>
        <v>#DIV/0!</v>
      </c>
      <c r="AV72" s="383" t="e">
        <f t="shared" si="124"/>
        <v>#DIV/0!</v>
      </c>
      <c r="AW72" s="383" t="e">
        <f t="shared" si="124"/>
        <v>#DIV/0!</v>
      </c>
      <c r="AX72" s="383" t="e">
        <f t="shared" si="124"/>
        <v>#DIV/0!</v>
      </c>
      <c r="AY72" s="383" t="e">
        <f t="shared" si="124"/>
        <v>#DIV/0!</v>
      </c>
      <c r="AZ72" s="383" t="e">
        <f t="shared" si="124"/>
        <v>#DIV/0!</v>
      </c>
      <c r="BA72" s="383" t="e">
        <f t="shared" si="124"/>
        <v>#DIV/0!</v>
      </c>
      <c r="BB72" s="383" t="e">
        <f t="shared" si="124"/>
        <v>#DIV/0!</v>
      </c>
      <c r="BC72" s="383" t="e">
        <f t="shared" si="124"/>
        <v>#DIV/0!</v>
      </c>
      <c r="BD72" s="383" t="e">
        <f t="shared" si="124"/>
        <v>#DIV/0!</v>
      </c>
      <c r="BE72" s="386" t="s">
        <v>1396</v>
      </c>
      <c r="BF72" s="383" t="e">
        <f>IF(AS72="","",IF(BF$18&gt;=1,"〇",""))</f>
        <v>#DIV/0!</v>
      </c>
      <c r="BG72" s="383" t="e">
        <f t="shared" ref="BG72:BQ72" si="130">IF(AT72="","",IF(BG$18&gt;=1,"〇",""))</f>
        <v>#DIV/0!</v>
      </c>
      <c r="BH72" s="383" t="e">
        <f t="shared" si="130"/>
        <v>#DIV/0!</v>
      </c>
      <c r="BI72" s="383" t="e">
        <f t="shared" si="130"/>
        <v>#DIV/0!</v>
      </c>
      <c r="BJ72" s="383" t="e">
        <f t="shared" si="130"/>
        <v>#DIV/0!</v>
      </c>
      <c r="BK72" s="383" t="e">
        <f t="shared" si="130"/>
        <v>#DIV/0!</v>
      </c>
      <c r="BL72" s="383" t="e">
        <f t="shared" si="130"/>
        <v>#DIV/0!</v>
      </c>
      <c r="BM72" s="383" t="e">
        <f t="shared" si="130"/>
        <v>#DIV/0!</v>
      </c>
      <c r="BN72" s="383" t="e">
        <f t="shared" si="130"/>
        <v>#DIV/0!</v>
      </c>
      <c r="BO72" s="383" t="e">
        <f t="shared" si="130"/>
        <v>#DIV/0!</v>
      </c>
      <c r="BP72" s="383" t="e">
        <f t="shared" si="130"/>
        <v>#DIV/0!</v>
      </c>
      <c r="BQ72" s="383" t="e">
        <f t="shared" si="130"/>
        <v>#DIV/0!</v>
      </c>
      <c r="BR72" s="386" t="s">
        <v>1390</v>
      </c>
      <c r="BS72" s="383" t="e">
        <f t="shared" ref="BS72:CD75" si="131">IF(BF72="","","〇")</f>
        <v>#DIV/0!</v>
      </c>
      <c r="BT72" s="383" t="e">
        <f t="shared" si="131"/>
        <v>#DIV/0!</v>
      </c>
      <c r="BU72" s="383" t="e">
        <f t="shared" si="131"/>
        <v>#DIV/0!</v>
      </c>
      <c r="BV72" s="383" t="e">
        <f t="shared" si="131"/>
        <v>#DIV/0!</v>
      </c>
      <c r="BW72" s="383" t="e">
        <f t="shared" si="131"/>
        <v>#DIV/0!</v>
      </c>
      <c r="BX72" s="383" t="e">
        <f t="shared" si="131"/>
        <v>#DIV/0!</v>
      </c>
      <c r="BY72" s="383" t="e">
        <f t="shared" si="131"/>
        <v>#DIV/0!</v>
      </c>
      <c r="BZ72" s="383" t="e">
        <f t="shared" si="131"/>
        <v>#DIV/0!</v>
      </c>
      <c r="CA72" s="383" t="e">
        <f t="shared" si="131"/>
        <v>#DIV/0!</v>
      </c>
      <c r="CB72" s="383" t="e">
        <f t="shared" si="131"/>
        <v>#DIV/0!</v>
      </c>
      <c r="CC72" s="383" t="e">
        <f t="shared" si="131"/>
        <v>#DIV/0!</v>
      </c>
      <c r="CD72" s="383" t="e">
        <f t="shared" si="131"/>
        <v>#DIV/0!</v>
      </c>
      <c r="CE72" s="386" t="s">
        <v>1390</v>
      </c>
      <c r="CF72" s="383" t="e">
        <f t="shared" si="129"/>
        <v>#DIV/0!</v>
      </c>
      <c r="CG72" s="383" t="e">
        <f t="shared" si="129"/>
        <v>#DIV/0!</v>
      </c>
      <c r="CH72" s="383" t="e">
        <f t="shared" si="129"/>
        <v>#DIV/0!</v>
      </c>
      <c r="CI72" s="383" t="e">
        <f t="shared" si="129"/>
        <v>#DIV/0!</v>
      </c>
      <c r="CJ72" s="383" t="e">
        <f t="shared" si="129"/>
        <v>#DIV/0!</v>
      </c>
      <c r="CK72" s="383" t="e">
        <f t="shared" si="129"/>
        <v>#DIV/0!</v>
      </c>
      <c r="CL72" s="383" t="e">
        <f t="shared" si="129"/>
        <v>#DIV/0!</v>
      </c>
      <c r="CM72" s="383" t="e">
        <f t="shared" si="129"/>
        <v>#DIV/0!</v>
      </c>
      <c r="CN72" s="383" t="e">
        <f t="shared" si="129"/>
        <v>#DIV/0!</v>
      </c>
      <c r="CO72" s="383" t="e">
        <f t="shared" si="129"/>
        <v>#DIV/0!</v>
      </c>
      <c r="CP72" s="383" t="e">
        <f t="shared" si="129"/>
        <v>#DIV/0!</v>
      </c>
      <c r="CQ72" s="383" t="e">
        <f t="shared" si="129"/>
        <v>#DIV/0!</v>
      </c>
    </row>
    <row r="73" spans="3:95">
      <c r="C73" s="391">
        <v>1</v>
      </c>
      <c r="D73" s="391" t="s">
        <v>1404</v>
      </c>
      <c r="E73" s="391">
        <v>1</v>
      </c>
      <c r="F73" s="391" t="s">
        <v>1404</v>
      </c>
      <c r="G73" s="391">
        <v>1</v>
      </c>
      <c r="H73" s="391" t="s">
        <v>1404</v>
      </c>
      <c r="I73" s="391">
        <v>1</v>
      </c>
      <c r="J73" s="391" t="s">
        <v>1404</v>
      </c>
      <c r="K73" s="382" t="s">
        <v>1390</v>
      </c>
      <c r="L73" s="382" t="s">
        <v>1390</v>
      </c>
      <c r="M73" s="382" t="s">
        <v>1390</v>
      </c>
      <c r="N73" s="382" t="s">
        <v>1390</v>
      </c>
      <c r="O73" s="382" t="s">
        <v>1390</v>
      </c>
      <c r="P73" s="382" t="s">
        <v>1390</v>
      </c>
      <c r="R73" s="386">
        <v>5</v>
      </c>
      <c r="S73" s="383" t="e">
        <f>IF(AND(S$18&gt;=5,S$18&lt;6),"〇","")</f>
        <v>#DIV/0!</v>
      </c>
      <c r="T73" s="383" t="e">
        <f t="shared" ref="T73:AD73" si="132">IF(AND(T$18&gt;=5,T$18&lt;6),"〇","")</f>
        <v>#DIV/0!</v>
      </c>
      <c r="U73" s="383" t="e">
        <f t="shared" si="132"/>
        <v>#DIV/0!</v>
      </c>
      <c r="V73" s="383" t="e">
        <f t="shared" si="132"/>
        <v>#DIV/0!</v>
      </c>
      <c r="W73" s="383" t="e">
        <f t="shared" si="132"/>
        <v>#DIV/0!</v>
      </c>
      <c r="X73" s="383" t="e">
        <f t="shared" si="132"/>
        <v>#DIV/0!</v>
      </c>
      <c r="Y73" s="383" t="e">
        <f t="shared" si="132"/>
        <v>#DIV/0!</v>
      </c>
      <c r="Z73" s="383" t="e">
        <f t="shared" si="132"/>
        <v>#DIV/0!</v>
      </c>
      <c r="AA73" s="383" t="e">
        <f t="shared" si="132"/>
        <v>#DIV/0!</v>
      </c>
      <c r="AB73" s="383" t="e">
        <f t="shared" si="132"/>
        <v>#DIV/0!</v>
      </c>
      <c r="AC73" s="383" t="e">
        <f t="shared" si="132"/>
        <v>#DIV/0!</v>
      </c>
      <c r="AD73" s="383" t="e">
        <f t="shared" si="132"/>
        <v>#DIV/0!</v>
      </c>
      <c r="AE73" s="386">
        <v>0</v>
      </c>
      <c r="AF73" s="383" t="e">
        <f t="shared" si="39"/>
        <v>#DIV/0!</v>
      </c>
      <c r="AG73" s="383" t="e">
        <f t="shared" si="39"/>
        <v>#DIV/0!</v>
      </c>
      <c r="AH73" s="383" t="e">
        <f t="shared" si="39"/>
        <v>#DIV/0!</v>
      </c>
      <c r="AI73" s="383" t="e">
        <f t="shared" si="39"/>
        <v>#DIV/0!</v>
      </c>
      <c r="AJ73" s="383" t="e">
        <f t="shared" si="39"/>
        <v>#DIV/0!</v>
      </c>
      <c r="AK73" s="383" t="e">
        <f t="shared" si="39"/>
        <v>#DIV/0!</v>
      </c>
      <c r="AL73" s="383" t="e">
        <f t="shared" si="39"/>
        <v>#DIV/0!</v>
      </c>
      <c r="AM73" s="383" t="e">
        <f t="shared" si="39"/>
        <v>#DIV/0!</v>
      </c>
      <c r="AN73" s="383" t="e">
        <f t="shared" si="39"/>
        <v>#DIV/0!</v>
      </c>
      <c r="AO73" s="383" t="e">
        <f t="shared" si="39"/>
        <v>#DIV/0!</v>
      </c>
      <c r="AP73" s="383" t="e">
        <f t="shared" si="39"/>
        <v>#DIV/0!</v>
      </c>
      <c r="AQ73" s="383" t="e">
        <f t="shared" si="39"/>
        <v>#DIV/0!</v>
      </c>
      <c r="AR73" s="386">
        <v>0</v>
      </c>
      <c r="AS73" s="383" t="e">
        <f t="shared" ref="AS73:BD79" si="133">IF(AF73="","",IF(AS$18=$AR73,"〇",""))</f>
        <v>#DIV/0!</v>
      </c>
      <c r="AT73" s="383" t="e">
        <f t="shared" si="133"/>
        <v>#DIV/0!</v>
      </c>
      <c r="AU73" s="383" t="e">
        <f t="shared" si="133"/>
        <v>#DIV/0!</v>
      </c>
      <c r="AV73" s="383" t="e">
        <f t="shared" si="133"/>
        <v>#DIV/0!</v>
      </c>
      <c r="AW73" s="383" t="e">
        <f t="shared" si="133"/>
        <v>#DIV/0!</v>
      </c>
      <c r="AX73" s="383" t="e">
        <f t="shared" si="133"/>
        <v>#DIV/0!</v>
      </c>
      <c r="AY73" s="383" t="e">
        <f t="shared" si="133"/>
        <v>#DIV/0!</v>
      </c>
      <c r="AZ73" s="383" t="e">
        <f t="shared" si="133"/>
        <v>#DIV/0!</v>
      </c>
      <c r="BA73" s="383" t="e">
        <f t="shared" si="133"/>
        <v>#DIV/0!</v>
      </c>
      <c r="BB73" s="383" t="e">
        <f t="shared" si="133"/>
        <v>#DIV/0!</v>
      </c>
      <c r="BC73" s="383" t="e">
        <f t="shared" si="133"/>
        <v>#DIV/0!</v>
      </c>
      <c r="BD73" s="383" t="e">
        <f t="shared" si="133"/>
        <v>#DIV/0!</v>
      </c>
      <c r="BE73" s="386" t="s">
        <v>1390</v>
      </c>
      <c r="BF73" s="383" t="e">
        <f>IF(AS73="","","〇")</f>
        <v>#DIV/0!</v>
      </c>
      <c r="BG73" s="383" t="e">
        <f t="shared" ref="BG73:BQ75" si="134">IF(AT73="","","〇")</f>
        <v>#DIV/0!</v>
      </c>
      <c r="BH73" s="383" t="e">
        <f t="shared" si="134"/>
        <v>#DIV/0!</v>
      </c>
      <c r="BI73" s="383" t="e">
        <f t="shared" si="134"/>
        <v>#DIV/0!</v>
      </c>
      <c r="BJ73" s="383" t="e">
        <f t="shared" si="134"/>
        <v>#DIV/0!</v>
      </c>
      <c r="BK73" s="383" t="e">
        <f t="shared" si="134"/>
        <v>#DIV/0!</v>
      </c>
      <c r="BL73" s="383" t="e">
        <f t="shared" si="134"/>
        <v>#DIV/0!</v>
      </c>
      <c r="BM73" s="383" t="e">
        <f t="shared" si="134"/>
        <v>#DIV/0!</v>
      </c>
      <c r="BN73" s="383" t="e">
        <f t="shared" si="134"/>
        <v>#DIV/0!</v>
      </c>
      <c r="BO73" s="383" t="e">
        <f t="shared" si="134"/>
        <v>#DIV/0!</v>
      </c>
      <c r="BP73" s="383" t="e">
        <f t="shared" si="134"/>
        <v>#DIV/0!</v>
      </c>
      <c r="BQ73" s="383" t="e">
        <f t="shared" si="134"/>
        <v>#DIV/0!</v>
      </c>
      <c r="BR73" s="386" t="s">
        <v>1390</v>
      </c>
      <c r="BS73" s="383" t="e">
        <f t="shared" si="131"/>
        <v>#DIV/0!</v>
      </c>
      <c r="BT73" s="383" t="e">
        <f t="shared" si="131"/>
        <v>#DIV/0!</v>
      </c>
      <c r="BU73" s="383" t="e">
        <f t="shared" si="131"/>
        <v>#DIV/0!</v>
      </c>
      <c r="BV73" s="383" t="e">
        <f t="shared" si="131"/>
        <v>#DIV/0!</v>
      </c>
      <c r="BW73" s="383" t="e">
        <f t="shared" si="131"/>
        <v>#DIV/0!</v>
      </c>
      <c r="BX73" s="383" t="e">
        <f t="shared" si="131"/>
        <v>#DIV/0!</v>
      </c>
      <c r="BY73" s="383" t="e">
        <f t="shared" si="131"/>
        <v>#DIV/0!</v>
      </c>
      <c r="BZ73" s="383" t="e">
        <f t="shared" si="131"/>
        <v>#DIV/0!</v>
      </c>
      <c r="CA73" s="383" t="e">
        <f t="shared" si="131"/>
        <v>#DIV/0!</v>
      </c>
      <c r="CB73" s="383" t="e">
        <f t="shared" si="131"/>
        <v>#DIV/0!</v>
      </c>
      <c r="CC73" s="383" t="e">
        <f t="shared" si="131"/>
        <v>#DIV/0!</v>
      </c>
      <c r="CD73" s="383" t="e">
        <f t="shared" si="131"/>
        <v>#DIV/0!</v>
      </c>
      <c r="CE73" s="386" t="s">
        <v>1390</v>
      </c>
      <c r="CF73" s="383" t="e">
        <f t="shared" si="129"/>
        <v>#DIV/0!</v>
      </c>
      <c r="CG73" s="383" t="e">
        <f t="shared" si="129"/>
        <v>#DIV/0!</v>
      </c>
      <c r="CH73" s="383" t="e">
        <f t="shared" si="129"/>
        <v>#DIV/0!</v>
      </c>
      <c r="CI73" s="383" t="e">
        <f t="shared" si="129"/>
        <v>#DIV/0!</v>
      </c>
      <c r="CJ73" s="383" t="e">
        <f t="shared" si="129"/>
        <v>#DIV/0!</v>
      </c>
      <c r="CK73" s="383" t="e">
        <f t="shared" si="129"/>
        <v>#DIV/0!</v>
      </c>
      <c r="CL73" s="383" t="e">
        <f t="shared" si="129"/>
        <v>#DIV/0!</v>
      </c>
      <c r="CM73" s="383" t="e">
        <f t="shared" si="129"/>
        <v>#DIV/0!</v>
      </c>
      <c r="CN73" s="383" t="e">
        <f t="shared" si="129"/>
        <v>#DIV/0!</v>
      </c>
      <c r="CO73" s="383" t="e">
        <f t="shared" si="129"/>
        <v>#DIV/0!</v>
      </c>
      <c r="CP73" s="383" t="e">
        <f t="shared" si="129"/>
        <v>#DIV/0!</v>
      </c>
      <c r="CQ73" s="383" t="e">
        <f t="shared" si="129"/>
        <v>#DIV/0!</v>
      </c>
    </row>
    <row r="74" spans="3:95">
      <c r="C74" s="391">
        <v>1</v>
      </c>
      <c r="D74" s="391" t="s">
        <v>1404</v>
      </c>
      <c r="E74" s="391">
        <v>1</v>
      </c>
      <c r="F74" s="391" t="s">
        <v>1404</v>
      </c>
      <c r="G74" s="391">
        <v>1</v>
      </c>
      <c r="H74" s="391" t="s">
        <v>1404</v>
      </c>
      <c r="I74" s="391">
        <v>1</v>
      </c>
      <c r="J74" s="391" t="s">
        <v>1404</v>
      </c>
      <c r="K74" s="382" t="s">
        <v>1390</v>
      </c>
      <c r="L74" s="382" t="s">
        <v>1390</v>
      </c>
      <c r="M74" s="382" t="s">
        <v>1390</v>
      </c>
      <c r="N74" s="382" t="s">
        <v>1390</v>
      </c>
      <c r="O74" s="391">
        <v>1</v>
      </c>
      <c r="P74" s="391" t="s">
        <v>1404</v>
      </c>
      <c r="R74" s="386">
        <v>5</v>
      </c>
      <c r="S74" s="383" t="e">
        <f t="shared" ref="S74:AD83" si="135">IF(AND(S$18&gt;=5,S$18&lt;6),"〇","")</f>
        <v>#DIV/0!</v>
      </c>
      <c r="T74" s="383" t="e">
        <f t="shared" si="135"/>
        <v>#DIV/0!</v>
      </c>
      <c r="U74" s="383" t="e">
        <f t="shared" si="135"/>
        <v>#DIV/0!</v>
      </c>
      <c r="V74" s="383" t="e">
        <f t="shared" si="135"/>
        <v>#DIV/0!</v>
      </c>
      <c r="W74" s="383" t="e">
        <f t="shared" si="135"/>
        <v>#DIV/0!</v>
      </c>
      <c r="X74" s="383" t="e">
        <f t="shared" si="135"/>
        <v>#DIV/0!</v>
      </c>
      <c r="Y74" s="383" t="e">
        <f t="shared" si="135"/>
        <v>#DIV/0!</v>
      </c>
      <c r="Z74" s="383" t="e">
        <f t="shared" si="135"/>
        <v>#DIV/0!</v>
      </c>
      <c r="AA74" s="383" t="e">
        <f t="shared" si="135"/>
        <v>#DIV/0!</v>
      </c>
      <c r="AB74" s="383" t="e">
        <f t="shared" si="135"/>
        <v>#DIV/0!</v>
      </c>
      <c r="AC74" s="383" t="e">
        <f t="shared" si="135"/>
        <v>#DIV/0!</v>
      </c>
      <c r="AD74" s="383" t="e">
        <f t="shared" si="135"/>
        <v>#DIV/0!</v>
      </c>
      <c r="AE74" s="386">
        <v>0</v>
      </c>
      <c r="AF74" s="383" t="e">
        <f t="shared" si="39"/>
        <v>#DIV/0!</v>
      </c>
      <c r="AG74" s="383" t="e">
        <f t="shared" si="39"/>
        <v>#DIV/0!</v>
      </c>
      <c r="AH74" s="383" t="e">
        <f t="shared" si="39"/>
        <v>#DIV/0!</v>
      </c>
      <c r="AI74" s="383" t="e">
        <f t="shared" si="39"/>
        <v>#DIV/0!</v>
      </c>
      <c r="AJ74" s="383" t="e">
        <f t="shared" si="39"/>
        <v>#DIV/0!</v>
      </c>
      <c r="AK74" s="383" t="e">
        <f t="shared" si="39"/>
        <v>#DIV/0!</v>
      </c>
      <c r="AL74" s="383" t="e">
        <f t="shared" si="39"/>
        <v>#DIV/0!</v>
      </c>
      <c r="AM74" s="383" t="e">
        <f t="shared" si="39"/>
        <v>#DIV/0!</v>
      </c>
      <c r="AN74" s="383" t="e">
        <f t="shared" si="39"/>
        <v>#DIV/0!</v>
      </c>
      <c r="AO74" s="383" t="e">
        <f t="shared" si="39"/>
        <v>#DIV/0!</v>
      </c>
      <c r="AP74" s="383" t="e">
        <f t="shared" si="39"/>
        <v>#DIV/0!</v>
      </c>
      <c r="AQ74" s="383" t="e">
        <f t="shared" si="39"/>
        <v>#DIV/0!</v>
      </c>
      <c r="AR74" s="386">
        <v>1</v>
      </c>
      <c r="AS74" s="383" t="e">
        <f t="shared" si="133"/>
        <v>#DIV/0!</v>
      </c>
      <c r="AT74" s="383" t="e">
        <f t="shared" si="133"/>
        <v>#DIV/0!</v>
      </c>
      <c r="AU74" s="383" t="e">
        <f t="shared" si="133"/>
        <v>#DIV/0!</v>
      </c>
      <c r="AV74" s="383" t="e">
        <f t="shared" si="133"/>
        <v>#DIV/0!</v>
      </c>
      <c r="AW74" s="383" t="e">
        <f t="shared" si="133"/>
        <v>#DIV/0!</v>
      </c>
      <c r="AX74" s="383" t="e">
        <f t="shared" si="133"/>
        <v>#DIV/0!</v>
      </c>
      <c r="AY74" s="383" t="e">
        <f t="shared" si="133"/>
        <v>#DIV/0!</v>
      </c>
      <c r="AZ74" s="383" t="e">
        <f t="shared" si="133"/>
        <v>#DIV/0!</v>
      </c>
      <c r="BA74" s="383" t="e">
        <f t="shared" si="133"/>
        <v>#DIV/0!</v>
      </c>
      <c r="BB74" s="383" t="e">
        <f t="shared" si="133"/>
        <v>#DIV/0!</v>
      </c>
      <c r="BC74" s="383" t="e">
        <f t="shared" si="133"/>
        <v>#DIV/0!</v>
      </c>
      <c r="BD74" s="383" t="e">
        <f t="shared" si="133"/>
        <v>#DIV/0!</v>
      </c>
      <c r="BE74" s="386" t="s">
        <v>1390</v>
      </c>
      <c r="BF74" s="383" t="e">
        <f t="shared" ref="BF74:BF75" si="136">IF(AS74="","","〇")</f>
        <v>#DIV/0!</v>
      </c>
      <c r="BG74" s="383" t="e">
        <f t="shared" si="134"/>
        <v>#DIV/0!</v>
      </c>
      <c r="BH74" s="383" t="e">
        <f t="shared" si="134"/>
        <v>#DIV/0!</v>
      </c>
      <c r="BI74" s="383" t="e">
        <f t="shared" si="134"/>
        <v>#DIV/0!</v>
      </c>
      <c r="BJ74" s="383" t="e">
        <f t="shared" si="134"/>
        <v>#DIV/0!</v>
      </c>
      <c r="BK74" s="383" t="e">
        <f t="shared" si="134"/>
        <v>#DIV/0!</v>
      </c>
      <c r="BL74" s="383" t="e">
        <f t="shared" si="134"/>
        <v>#DIV/0!</v>
      </c>
      <c r="BM74" s="383" t="e">
        <f t="shared" si="134"/>
        <v>#DIV/0!</v>
      </c>
      <c r="BN74" s="383" t="e">
        <f t="shared" si="134"/>
        <v>#DIV/0!</v>
      </c>
      <c r="BO74" s="383" t="e">
        <f t="shared" si="134"/>
        <v>#DIV/0!</v>
      </c>
      <c r="BP74" s="383" t="e">
        <f t="shared" si="134"/>
        <v>#DIV/0!</v>
      </c>
      <c r="BQ74" s="383" t="e">
        <f t="shared" si="134"/>
        <v>#DIV/0!</v>
      </c>
      <c r="BR74" s="386" t="s">
        <v>1390</v>
      </c>
      <c r="BS74" s="383" t="e">
        <f t="shared" si="131"/>
        <v>#DIV/0!</v>
      </c>
      <c r="BT74" s="383" t="e">
        <f t="shared" si="131"/>
        <v>#DIV/0!</v>
      </c>
      <c r="BU74" s="383" t="e">
        <f t="shared" si="131"/>
        <v>#DIV/0!</v>
      </c>
      <c r="BV74" s="383" t="e">
        <f t="shared" si="131"/>
        <v>#DIV/0!</v>
      </c>
      <c r="BW74" s="383" t="e">
        <f t="shared" si="131"/>
        <v>#DIV/0!</v>
      </c>
      <c r="BX74" s="383" t="e">
        <f t="shared" si="131"/>
        <v>#DIV/0!</v>
      </c>
      <c r="BY74" s="383" t="e">
        <f t="shared" si="131"/>
        <v>#DIV/0!</v>
      </c>
      <c r="BZ74" s="383" t="e">
        <f t="shared" si="131"/>
        <v>#DIV/0!</v>
      </c>
      <c r="CA74" s="383" t="e">
        <f t="shared" si="131"/>
        <v>#DIV/0!</v>
      </c>
      <c r="CB74" s="383" t="e">
        <f t="shared" si="131"/>
        <v>#DIV/0!</v>
      </c>
      <c r="CC74" s="383" t="e">
        <f t="shared" si="131"/>
        <v>#DIV/0!</v>
      </c>
      <c r="CD74" s="383" t="e">
        <f t="shared" si="131"/>
        <v>#DIV/0!</v>
      </c>
      <c r="CE74" s="386" t="s">
        <v>1390</v>
      </c>
      <c r="CF74" s="383" t="e">
        <f t="shared" si="129"/>
        <v>#DIV/0!</v>
      </c>
      <c r="CG74" s="383" t="e">
        <f t="shared" si="129"/>
        <v>#DIV/0!</v>
      </c>
      <c r="CH74" s="383" t="e">
        <f t="shared" si="129"/>
        <v>#DIV/0!</v>
      </c>
      <c r="CI74" s="383" t="e">
        <f t="shared" si="129"/>
        <v>#DIV/0!</v>
      </c>
      <c r="CJ74" s="383" t="e">
        <f t="shared" si="129"/>
        <v>#DIV/0!</v>
      </c>
      <c r="CK74" s="383" t="e">
        <f t="shared" si="129"/>
        <v>#DIV/0!</v>
      </c>
      <c r="CL74" s="383" t="e">
        <f t="shared" si="129"/>
        <v>#DIV/0!</v>
      </c>
      <c r="CM74" s="383" t="e">
        <f t="shared" si="129"/>
        <v>#DIV/0!</v>
      </c>
      <c r="CN74" s="383" t="e">
        <f t="shared" si="129"/>
        <v>#DIV/0!</v>
      </c>
      <c r="CO74" s="383" t="e">
        <f t="shared" si="129"/>
        <v>#DIV/0!</v>
      </c>
      <c r="CP74" s="383" t="e">
        <f t="shared" si="129"/>
        <v>#DIV/0!</v>
      </c>
      <c r="CQ74" s="383" t="e">
        <f t="shared" si="129"/>
        <v>#DIV/0!</v>
      </c>
    </row>
    <row r="75" spans="3:95">
      <c r="C75" s="391">
        <v>1</v>
      </c>
      <c r="D75" s="391" t="s">
        <v>1404</v>
      </c>
      <c r="E75" s="391">
        <v>1</v>
      </c>
      <c r="F75" s="391" t="s">
        <v>1404</v>
      </c>
      <c r="G75" s="391">
        <v>1</v>
      </c>
      <c r="H75" s="391" t="s">
        <v>1404</v>
      </c>
      <c r="I75" s="391">
        <v>1</v>
      </c>
      <c r="J75" s="391" t="s">
        <v>1404</v>
      </c>
      <c r="K75" s="382" t="s">
        <v>1390</v>
      </c>
      <c r="L75" s="382" t="s">
        <v>1390</v>
      </c>
      <c r="M75" s="391">
        <v>1</v>
      </c>
      <c r="N75" s="391" t="s">
        <v>1404</v>
      </c>
      <c r="O75" s="382" t="s">
        <v>1390</v>
      </c>
      <c r="P75" s="382" t="s">
        <v>1390</v>
      </c>
      <c r="R75" s="386">
        <v>5</v>
      </c>
      <c r="S75" s="383" t="e">
        <f t="shared" si="135"/>
        <v>#DIV/0!</v>
      </c>
      <c r="T75" s="383" t="e">
        <f t="shared" si="135"/>
        <v>#DIV/0!</v>
      </c>
      <c r="U75" s="383" t="e">
        <f t="shared" si="135"/>
        <v>#DIV/0!</v>
      </c>
      <c r="V75" s="383" t="e">
        <f t="shared" si="135"/>
        <v>#DIV/0!</v>
      </c>
      <c r="W75" s="383" t="e">
        <f t="shared" si="135"/>
        <v>#DIV/0!</v>
      </c>
      <c r="X75" s="383" t="e">
        <f t="shared" si="135"/>
        <v>#DIV/0!</v>
      </c>
      <c r="Y75" s="383" t="e">
        <f t="shared" si="135"/>
        <v>#DIV/0!</v>
      </c>
      <c r="Z75" s="383" t="e">
        <f t="shared" si="135"/>
        <v>#DIV/0!</v>
      </c>
      <c r="AA75" s="383" t="e">
        <f t="shared" si="135"/>
        <v>#DIV/0!</v>
      </c>
      <c r="AB75" s="383" t="e">
        <f t="shared" si="135"/>
        <v>#DIV/0!</v>
      </c>
      <c r="AC75" s="383" t="e">
        <f t="shared" si="135"/>
        <v>#DIV/0!</v>
      </c>
      <c r="AD75" s="383" t="e">
        <f t="shared" si="135"/>
        <v>#DIV/0!</v>
      </c>
      <c r="AE75" s="386">
        <v>1</v>
      </c>
      <c r="AF75" s="383" t="e">
        <f>IF(S75="","",IF(AF$18=$AE75,"〇",""))</f>
        <v>#DIV/0!</v>
      </c>
      <c r="AG75" s="383" t="e">
        <f t="shared" ref="AG75:AQ79" si="137">IF(T75="","",IF(AG$18=$AE75,"〇",""))</f>
        <v>#DIV/0!</v>
      </c>
      <c r="AH75" s="383" t="e">
        <f t="shared" si="137"/>
        <v>#DIV/0!</v>
      </c>
      <c r="AI75" s="383" t="e">
        <f t="shared" si="137"/>
        <v>#DIV/0!</v>
      </c>
      <c r="AJ75" s="383" t="e">
        <f t="shared" si="137"/>
        <v>#DIV/0!</v>
      </c>
      <c r="AK75" s="383" t="e">
        <f t="shared" si="137"/>
        <v>#DIV/0!</v>
      </c>
      <c r="AL75" s="383" t="e">
        <f t="shared" si="137"/>
        <v>#DIV/0!</v>
      </c>
      <c r="AM75" s="383" t="e">
        <f t="shared" si="137"/>
        <v>#DIV/0!</v>
      </c>
      <c r="AN75" s="383" t="e">
        <f t="shared" si="137"/>
        <v>#DIV/0!</v>
      </c>
      <c r="AO75" s="383" t="e">
        <f t="shared" si="137"/>
        <v>#DIV/0!</v>
      </c>
      <c r="AP75" s="383" t="e">
        <f t="shared" si="137"/>
        <v>#DIV/0!</v>
      </c>
      <c r="AQ75" s="383" t="e">
        <f t="shared" si="137"/>
        <v>#DIV/0!</v>
      </c>
      <c r="AR75" s="386">
        <v>0</v>
      </c>
      <c r="AS75" s="383" t="e">
        <f t="shared" si="133"/>
        <v>#DIV/0!</v>
      </c>
      <c r="AT75" s="383" t="e">
        <f t="shared" si="133"/>
        <v>#DIV/0!</v>
      </c>
      <c r="AU75" s="383" t="e">
        <f t="shared" si="133"/>
        <v>#DIV/0!</v>
      </c>
      <c r="AV75" s="383" t="e">
        <f t="shared" si="133"/>
        <v>#DIV/0!</v>
      </c>
      <c r="AW75" s="383" t="e">
        <f t="shared" si="133"/>
        <v>#DIV/0!</v>
      </c>
      <c r="AX75" s="383" t="e">
        <f t="shared" si="133"/>
        <v>#DIV/0!</v>
      </c>
      <c r="AY75" s="383" t="e">
        <f t="shared" si="133"/>
        <v>#DIV/0!</v>
      </c>
      <c r="AZ75" s="383" t="e">
        <f t="shared" si="133"/>
        <v>#DIV/0!</v>
      </c>
      <c r="BA75" s="383" t="e">
        <f t="shared" si="133"/>
        <v>#DIV/0!</v>
      </c>
      <c r="BB75" s="383" t="e">
        <f t="shared" si="133"/>
        <v>#DIV/0!</v>
      </c>
      <c r="BC75" s="383" t="e">
        <f t="shared" si="133"/>
        <v>#DIV/0!</v>
      </c>
      <c r="BD75" s="383" t="e">
        <f t="shared" si="133"/>
        <v>#DIV/0!</v>
      </c>
      <c r="BE75" s="386" t="s">
        <v>1390</v>
      </c>
      <c r="BF75" s="383" t="e">
        <f t="shared" si="136"/>
        <v>#DIV/0!</v>
      </c>
      <c r="BG75" s="383" t="e">
        <f t="shared" si="134"/>
        <v>#DIV/0!</v>
      </c>
      <c r="BH75" s="383" t="e">
        <f t="shared" si="134"/>
        <v>#DIV/0!</v>
      </c>
      <c r="BI75" s="383" t="e">
        <f t="shared" si="134"/>
        <v>#DIV/0!</v>
      </c>
      <c r="BJ75" s="383" t="e">
        <f t="shared" si="134"/>
        <v>#DIV/0!</v>
      </c>
      <c r="BK75" s="383" t="e">
        <f t="shared" si="134"/>
        <v>#DIV/0!</v>
      </c>
      <c r="BL75" s="383" t="e">
        <f t="shared" si="134"/>
        <v>#DIV/0!</v>
      </c>
      <c r="BM75" s="383" t="e">
        <f t="shared" si="134"/>
        <v>#DIV/0!</v>
      </c>
      <c r="BN75" s="383" t="e">
        <f t="shared" si="134"/>
        <v>#DIV/0!</v>
      </c>
      <c r="BO75" s="383" t="e">
        <f t="shared" si="134"/>
        <v>#DIV/0!</v>
      </c>
      <c r="BP75" s="383" t="e">
        <f t="shared" si="134"/>
        <v>#DIV/0!</v>
      </c>
      <c r="BQ75" s="383" t="e">
        <f t="shared" si="134"/>
        <v>#DIV/0!</v>
      </c>
      <c r="BR75" s="386" t="s">
        <v>1390</v>
      </c>
      <c r="BS75" s="383" t="e">
        <f t="shared" si="131"/>
        <v>#DIV/0!</v>
      </c>
      <c r="BT75" s="383" t="e">
        <f t="shared" si="131"/>
        <v>#DIV/0!</v>
      </c>
      <c r="BU75" s="383" t="e">
        <f t="shared" si="131"/>
        <v>#DIV/0!</v>
      </c>
      <c r="BV75" s="383" t="e">
        <f t="shared" si="131"/>
        <v>#DIV/0!</v>
      </c>
      <c r="BW75" s="383" t="e">
        <f t="shared" si="131"/>
        <v>#DIV/0!</v>
      </c>
      <c r="BX75" s="383" t="e">
        <f t="shared" si="131"/>
        <v>#DIV/0!</v>
      </c>
      <c r="BY75" s="383" t="e">
        <f t="shared" si="131"/>
        <v>#DIV/0!</v>
      </c>
      <c r="BZ75" s="383" t="e">
        <f t="shared" si="131"/>
        <v>#DIV/0!</v>
      </c>
      <c r="CA75" s="383" t="e">
        <f t="shared" si="131"/>
        <v>#DIV/0!</v>
      </c>
      <c r="CB75" s="383" t="e">
        <f t="shared" si="131"/>
        <v>#DIV/0!</v>
      </c>
      <c r="CC75" s="383" t="e">
        <f t="shared" si="131"/>
        <v>#DIV/0!</v>
      </c>
      <c r="CD75" s="383" t="e">
        <f t="shared" si="131"/>
        <v>#DIV/0!</v>
      </c>
      <c r="CE75" s="386" t="s">
        <v>1390</v>
      </c>
      <c r="CF75" s="383" t="e">
        <f t="shared" si="129"/>
        <v>#DIV/0!</v>
      </c>
      <c r="CG75" s="383" t="e">
        <f t="shared" si="129"/>
        <v>#DIV/0!</v>
      </c>
      <c r="CH75" s="383" t="e">
        <f t="shared" si="129"/>
        <v>#DIV/0!</v>
      </c>
      <c r="CI75" s="383" t="e">
        <f t="shared" si="129"/>
        <v>#DIV/0!</v>
      </c>
      <c r="CJ75" s="383" t="e">
        <f t="shared" si="129"/>
        <v>#DIV/0!</v>
      </c>
      <c r="CK75" s="383" t="e">
        <f t="shared" si="129"/>
        <v>#DIV/0!</v>
      </c>
      <c r="CL75" s="383" t="e">
        <f t="shared" si="129"/>
        <v>#DIV/0!</v>
      </c>
      <c r="CM75" s="383" t="e">
        <f t="shared" si="129"/>
        <v>#DIV/0!</v>
      </c>
      <c r="CN75" s="383" t="e">
        <f t="shared" si="129"/>
        <v>#DIV/0!</v>
      </c>
      <c r="CO75" s="383" t="e">
        <f t="shared" si="129"/>
        <v>#DIV/0!</v>
      </c>
      <c r="CP75" s="383" t="e">
        <f t="shared" si="129"/>
        <v>#DIV/0!</v>
      </c>
      <c r="CQ75" s="383" t="e">
        <f t="shared" si="129"/>
        <v>#DIV/0!</v>
      </c>
    </row>
    <row r="76" spans="3:95">
      <c r="C76" s="391">
        <v>1</v>
      </c>
      <c r="D76" s="391" t="s">
        <v>1404</v>
      </c>
      <c r="E76" s="391">
        <v>1</v>
      </c>
      <c r="F76" s="391" t="s">
        <v>1404</v>
      </c>
      <c r="G76" s="391">
        <v>1</v>
      </c>
      <c r="H76" s="391" t="s">
        <v>1404</v>
      </c>
      <c r="I76" s="382" t="s">
        <v>1390</v>
      </c>
      <c r="J76" s="382" t="s">
        <v>1390</v>
      </c>
      <c r="K76" s="382" t="s">
        <v>1390</v>
      </c>
      <c r="L76" s="382" t="s">
        <v>1390</v>
      </c>
      <c r="M76" s="391">
        <v>1</v>
      </c>
      <c r="N76" s="391" t="s">
        <v>1404</v>
      </c>
      <c r="O76" s="391">
        <v>1</v>
      </c>
      <c r="P76" s="391" t="s">
        <v>1404</v>
      </c>
      <c r="R76" s="386">
        <v>5</v>
      </c>
      <c r="S76" s="383" t="e">
        <f t="shared" si="135"/>
        <v>#DIV/0!</v>
      </c>
      <c r="T76" s="383" t="e">
        <f t="shared" si="135"/>
        <v>#DIV/0!</v>
      </c>
      <c r="U76" s="383" t="e">
        <f t="shared" si="135"/>
        <v>#DIV/0!</v>
      </c>
      <c r="V76" s="383" t="e">
        <f t="shared" si="135"/>
        <v>#DIV/0!</v>
      </c>
      <c r="W76" s="383" t="e">
        <f t="shared" si="135"/>
        <v>#DIV/0!</v>
      </c>
      <c r="X76" s="383" t="e">
        <f t="shared" si="135"/>
        <v>#DIV/0!</v>
      </c>
      <c r="Y76" s="383" t="e">
        <f t="shared" si="135"/>
        <v>#DIV/0!</v>
      </c>
      <c r="Z76" s="383" t="e">
        <f t="shared" si="135"/>
        <v>#DIV/0!</v>
      </c>
      <c r="AA76" s="383" t="e">
        <f t="shared" si="135"/>
        <v>#DIV/0!</v>
      </c>
      <c r="AB76" s="383" t="e">
        <f t="shared" si="135"/>
        <v>#DIV/0!</v>
      </c>
      <c r="AC76" s="383" t="e">
        <f t="shared" si="135"/>
        <v>#DIV/0!</v>
      </c>
      <c r="AD76" s="383" t="e">
        <f t="shared" si="135"/>
        <v>#DIV/0!</v>
      </c>
      <c r="AE76" s="386">
        <v>1</v>
      </c>
      <c r="AF76" s="383" t="e">
        <f t="shared" ref="AF76:AF79" si="138">IF(S76="","",IF(AF$18=$AE76,"〇",""))</f>
        <v>#DIV/0!</v>
      </c>
      <c r="AG76" s="383" t="e">
        <f t="shared" si="137"/>
        <v>#DIV/0!</v>
      </c>
      <c r="AH76" s="383" t="e">
        <f t="shared" si="137"/>
        <v>#DIV/0!</v>
      </c>
      <c r="AI76" s="383" t="e">
        <f t="shared" si="137"/>
        <v>#DIV/0!</v>
      </c>
      <c r="AJ76" s="383" t="e">
        <f t="shared" si="137"/>
        <v>#DIV/0!</v>
      </c>
      <c r="AK76" s="383" t="e">
        <f t="shared" si="137"/>
        <v>#DIV/0!</v>
      </c>
      <c r="AL76" s="383" t="e">
        <f t="shared" si="137"/>
        <v>#DIV/0!</v>
      </c>
      <c r="AM76" s="383" t="e">
        <f t="shared" si="137"/>
        <v>#DIV/0!</v>
      </c>
      <c r="AN76" s="383" t="e">
        <f t="shared" si="137"/>
        <v>#DIV/0!</v>
      </c>
      <c r="AO76" s="383" t="e">
        <f t="shared" si="137"/>
        <v>#DIV/0!</v>
      </c>
      <c r="AP76" s="383" t="e">
        <f t="shared" si="137"/>
        <v>#DIV/0!</v>
      </c>
      <c r="AQ76" s="383" t="e">
        <f t="shared" si="137"/>
        <v>#DIV/0!</v>
      </c>
      <c r="AR76" s="386">
        <v>1</v>
      </c>
      <c r="AS76" s="383" t="e">
        <f t="shared" si="133"/>
        <v>#DIV/0!</v>
      </c>
      <c r="AT76" s="383" t="e">
        <f t="shared" si="133"/>
        <v>#DIV/0!</v>
      </c>
      <c r="AU76" s="383" t="e">
        <f t="shared" si="133"/>
        <v>#DIV/0!</v>
      </c>
      <c r="AV76" s="383" t="e">
        <f t="shared" si="133"/>
        <v>#DIV/0!</v>
      </c>
      <c r="AW76" s="383" t="e">
        <f t="shared" si="133"/>
        <v>#DIV/0!</v>
      </c>
      <c r="AX76" s="383" t="e">
        <f t="shared" si="133"/>
        <v>#DIV/0!</v>
      </c>
      <c r="AY76" s="383" t="e">
        <f t="shared" si="133"/>
        <v>#DIV/0!</v>
      </c>
      <c r="AZ76" s="383" t="e">
        <f t="shared" si="133"/>
        <v>#DIV/0!</v>
      </c>
      <c r="BA76" s="383" t="e">
        <f t="shared" si="133"/>
        <v>#DIV/0!</v>
      </c>
      <c r="BB76" s="383" t="e">
        <f t="shared" si="133"/>
        <v>#DIV/0!</v>
      </c>
      <c r="BC76" s="383" t="e">
        <f t="shared" si="133"/>
        <v>#DIV/0!</v>
      </c>
      <c r="BD76" s="383" t="e">
        <f t="shared" si="133"/>
        <v>#DIV/0!</v>
      </c>
      <c r="BE76" s="386">
        <v>0</v>
      </c>
      <c r="BF76" s="383" t="e">
        <f t="shared" ref="BF76:BQ82" si="139">IF(AS76="","",IF(BF$18=$BE76,"〇",""))</f>
        <v>#DIV/0!</v>
      </c>
      <c r="BG76" s="383" t="e">
        <f t="shared" si="139"/>
        <v>#DIV/0!</v>
      </c>
      <c r="BH76" s="383" t="e">
        <f t="shared" si="139"/>
        <v>#DIV/0!</v>
      </c>
      <c r="BI76" s="383" t="e">
        <f t="shared" si="139"/>
        <v>#DIV/0!</v>
      </c>
      <c r="BJ76" s="383" t="e">
        <f t="shared" si="139"/>
        <v>#DIV/0!</v>
      </c>
      <c r="BK76" s="383" t="e">
        <f t="shared" si="139"/>
        <v>#DIV/0!</v>
      </c>
      <c r="BL76" s="383" t="e">
        <f t="shared" si="139"/>
        <v>#DIV/0!</v>
      </c>
      <c r="BM76" s="383" t="e">
        <f t="shared" si="139"/>
        <v>#DIV/0!</v>
      </c>
      <c r="BN76" s="383" t="e">
        <f t="shared" si="139"/>
        <v>#DIV/0!</v>
      </c>
      <c r="BO76" s="383" t="e">
        <f t="shared" si="139"/>
        <v>#DIV/0!</v>
      </c>
      <c r="BP76" s="383" t="e">
        <f t="shared" si="139"/>
        <v>#DIV/0!</v>
      </c>
      <c r="BQ76" s="383" t="e">
        <f t="shared" si="139"/>
        <v>#DIV/0!</v>
      </c>
      <c r="BR76" s="386">
        <v>0</v>
      </c>
      <c r="BS76" s="383" t="e">
        <f>IF(BF76="","",IF(BS$18=$BR76,"〇",""))</f>
        <v>#DIV/0!</v>
      </c>
      <c r="BT76" s="383" t="e">
        <f t="shared" ref="BT76:CD77" si="140">IF(BG76="","",IF(BT$18=$BR76,"〇",""))</f>
        <v>#DIV/0!</v>
      </c>
      <c r="BU76" s="383" t="e">
        <f t="shared" si="140"/>
        <v>#DIV/0!</v>
      </c>
      <c r="BV76" s="383" t="e">
        <f t="shared" si="140"/>
        <v>#DIV/0!</v>
      </c>
      <c r="BW76" s="383" t="e">
        <f t="shared" si="140"/>
        <v>#DIV/0!</v>
      </c>
      <c r="BX76" s="383" t="e">
        <f t="shared" si="140"/>
        <v>#DIV/0!</v>
      </c>
      <c r="BY76" s="383" t="e">
        <f t="shared" si="140"/>
        <v>#DIV/0!</v>
      </c>
      <c r="BZ76" s="383" t="e">
        <f t="shared" si="140"/>
        <v>#DIV/0!</v>
      </c>
      <c r="CA76" s="383" t="e">
        <f t="shared" si="140"/>
        <v>#DIV/0!</v>
      </c>
      <c r="CB76" s="383" t="e">
        <f t="shared" si="140"/>
        <v>#DIV/0!</v>
      </c>
      <c r="CC76" s="383" t="e">
        <f t="shared" si="140"/>
        <v>#DIV/0!</v>
      </c>
      <c r="CD76" s="383" t="e">
        <f t="shared" si="140"/>
        <v>#DIV/0!</v>
      </c>
      <c r="CE76" s="386">
        <v>0</v>
      </c>
      <c r="CF76" s="383" t="e">
        <f>IF(BS76="","",IF(CF$18=$CE76,"〇",""))</f>
        <v>#DIV/0!</v>
      </c>
      <c r="CG76" s="383" t="e">
        <f t="shared" ref="CG76:CQ76" si="141">IF(BT76="","",IF(CG$18=$CE76,"〇",""))</f>
        <v>#DIV/0!</v>
      </c>
      <c r="CH76" s="383" t="e">
        <f t="shared" si="141"/>
        <v>#DIV/0!</v>
      </c>
      <c r="CI76" s="383" t="e">
        <f t="shared" si="141"/>
        <v>#DIV/0!</v>
      </c>
      <c r="CJ76" s="383" t="e">
        <f t="shared" si="141"/>
        <v>#DIV/0!</v>
      </c>
      <c r="CK76" s="383" t="e">
        <f t="shared" si="141"/>
        <v>#DIV/0!</v>
      </c>
      <c r="CL76" s="383" t="e">
        <f t="shared" si="141"/>
        <v>#DIV/0!</v>
      </c>
      <c r="CM76" s="383" t="e">
        <f t="shared" si="141"/>
        <v>#DIV/0!</v>
      </c>
      <c r="CN76" s="383" t="e">
        <f t="shared" si="141"/>
        <v>#DIV/0!</v>
      </c>
      <c r="CO76" s="383" t="e">
        <f t="shared" si="141"/>
        <v>#DIV/0!</v>
      </c>
      <c r="CP76" s="383" t="e">
        <f t="shared" si="141"/>
        <v>#DIV/0!</v>
      </c>
      <c r="CQ76" s="383" t="e">
        <f t="shared" si="141"/>
        <v>#DIV/0!</v>
      </c>
    </row>
    <row r="77" spans="3:95">
      <c r="C77" s="391">
        <v>1</v>
      </c>
      <c r="D77" s="391" t="s">
        <v>1404</v>
      </c>
      <c r="E77" s="391">
        <v>1</v>
      </c>
      <c r="F77" s="391" t="s">
        <v>1404</v>
      </c>
      <c r="G77" s="391">
        <v>1</v>
      </c>
      <c r="H77" s="391" t="s">
        <v>1404</v>
      </c>
      <c r="I77" s="387">
        <v>1</v>
      </c>
      <c r="J77" s="387" t="s">
        <v>1393</v>
      </c>
      <c r="K77" s="382" t="s">
        <v>1390</v>
      </c>
      <c r="L77" s="382" t="s">
        <v>1390</v>
      </c>
      <c r="M77" s="391">
        <v>1</v>
      </c>
      <c r="N77" s="391" t="s">
        <v>1404</v>
      </c>
      <c r="O77" s="391">
        <v>1</v>
      </c>
      <c r="P77" s="391" t="s">
        <v>1404</v>
      </c>
      <c r="R77" s="386">
        <v>5</v>
      </c>
      <c r="S77" s="383" t="e">
        <f t="shared" si="135"/>
        <v>#DIV/0!</v>
      </c>
      <c r="T77" s="383" t="e">
        <f t="shared" si="135"/>
        <v>#DIV/0!</v>
      </c>
      <c r="U77" s="383" t="e">
        <f t="shared" si="135"/>
        <v>#DIV/0!</v>
      </c>
      <c r="V77" s="383" t="e">
        <f t="shared" si="135"/>
        <v>#DIV/0!</v>
      </c>
      <c r="W77" s="383" t="e">
        <f t="shared" si="135"/>
        <v>#DIV/0!</v>
      </c>
      <c r="X77" s="383" t="e">
        <f t="shared" si="135"/>
        <v>#DIV/0!</v>
      </c>
      <c r="Y77" s="383" t="e">
        <f t="shared" si="135"/>
        <v>#DIV/0!</v>
      </c>
      <c r="Z77" s="383" t="e">
        <f t="shared" si="135"/>
        <v>#DIV/0!</v>
      </c>
      <c r="AA77" s="383" t="e">
        <f t="shared" si="135"/>
        <v>#DIV/0!</v>
      </c>
      <c r="AB77" s="383" t="e">
        <f t="shared" si="135"/>
        <v>#DIV/0!</v>
      </c>
      <c r="AC77" s="383" t="e">
        <f t="shared" si="135"/>
        <v>#DIV/0!</v>
      </c>
      <c r="AD77" s="383" t="e">
        <f t="shared" si="135"/>
        <v>#DIV/0!</v>
      </c>
      <c r="AE77" s="386">
        <v>1</v>
      </c>
      <c r="AF77" s="383" t="e">
        <f t="shared" si="138"/>
        <v>#DIV/0!</v>
      </c>
      <c r="AG77" s="383" t="e">
        <f t="shared" si="137"/>
        <v>#DIV/0!</v>
      </c>
      <c r="AH77" s="383" t="e">
        <f t="shared" si="137"/>
        <v>#DIV/0!</v>
      </c>
      <c r="AI77" s="383" t="e">
        <f t="shared" si="137"/>
        <v>#DIV/0!</v>
      </c>
      <c r="AJ77" s="383" t="e">
        <f t="shared" si="137"/>
        <v>#DIV/0!</v>
      </c>
      <c r="AK77" s="383" t="e">
        <f t="shared" si="137"/>
        <v>#DIV/0!</v>
      </c>
      <c r="AL77" s="383" t="e">
        <f t="shared" si="137"/>
        <v>#DIV/0!</v>
      </c>
      <c r="AM77" s="383" t="e">
        <f t="shared" si="137"/>
        <v>#DIV/0!</v>
      </c>
      <c r="AN77" s="383" t="e">
        <f t="shared" si="137"/>
        <v>#DIV/0!</v>
      </c>
      <c r="AO77" s="383" t="e">
        <f t="shared" si="137"/>
        <v>#DIV/0!</v>
      </c>
      <c r="AP77" s="383" t="e">
        <f t="shared" si="137"/>
        <v>#DIV/0!</v>
      </c>
      <c r="AQ77" s="383" t="e">
        <f t="shared" si="137"/>
        <v>#DIV/0!</v>
      </c>
      <c r="AR77" s="386">
        <v>1</v>
      </c>
      <c r="AS77" s="383" t="e">
        <f t="shared" si="133"/>
        <v>#DIV/0!</v>
      </c>
      <c r="AT77" s="383" t="e">
        <f t="shared" si="133"/>
        <v>#DIV/0!</v>
      </c>
      <c r="AU77" s="383" t="e">
        <f t="shared" si="133"/>
        <v>#DIV/0!</v>
      </c>
      <c r="AV77" s="383" t="e">
        <f t="shared" si="133"/>
        <v>#DIV/0!</v>
      </c>
      <c r="AW77" s="383" t="e">
        <f t="shared" si="133"/>
        <v>#DIV/0!</v>
      </c>
      <c r="AX77" s="383" t="e">
        <f t="shared" si="133"/>
        <v>#DIV/0!</v>
      </c>
      <c r="AY77" s="383" t="e">
        <f t="shared" si="133"/>
        <v>#DIV/0!</v>
      </c>
      <c r="AZ77" s="383" t="e">
        <f t="shared" si="133"/>
        <v>#DIV/0!</v>
      </c>
      <c r="BA77" s="383" t="e">
        <f t="shared" si="133"/>
        <v>#DIV/0!</v>
      </c>
      <c r="BB77" s="383" t="e">
        <f t="shared" si="133"/>
        <v>#DIV/0!</v>
      </c>
      <c r="BC77" s="383" t="e">
        <f t="shared" si="133"/>
        <v>#DIV/0!</v>
      </c>
      <c r="BD77" s="383" t="e">
        <f t="shared" si="133"/>
        <v>#DIV/0!</v>
      </c>
      <c r="BE77" s="386">
        <v>0</v>
      </c>
      <c r="BF77" s="383" t="e">
        <f t="shared" si="139"/>
        <v>#DIV/0!</v>
      </c>
      <c r="BG77" s="383" t="e">
        <f t="shared" si="139"/>
        <v>#DIV/0!</v>
      </c>
      <c r="BH77" s="383" t="e">
        <f t="shared" si="139"/>
        <v>#DIV/0!</v>
      </c>
      <c r="BI77" s="383" t="e">
        <f t="shared" si="139"/>
        <v>#DIV/0!</v>
      </c>
      <c r="BJ77" s="383" t="e">
        <f t="shared" si="139"/>
        <v>#DIV/0!</v>
      </c>
      <c r="BK77" s="383" t="e">
        <f t="shared" si="139"/>
        <v>#DIV/0!</v>
      </c>
      <c r="BL77" s="383" t="e">
        <f t="shared" si="139"/>
        <v>#DIV/0!</v>
      </c>
      <c r="BM77" s="383" t="e">
        <f t="shared" si="139"/>
        <v>#DIV/0!</v>
      </c>
      <c r="BN77" s="383" t="e">
        <f t="shared" si="139"/>
        <v>#DIV/0!</v>
      </c>
      <c r="BO77" s="383" t="e">
        <f t="shared" si="139"/>
        <v>#DIV/0!</v>
      </c>
      <c r="BP77" s="383" t="e">
        <f t="shared" si="139"/>
        <v>#DIV/0!</v>
      </c>
      <c r="BQ77" s="383" t="e">
        <f t="shared" si="139"/>
        <v>#DIV/0!</v>
      </c>
      <c r="BR77" s="386">
        <v>0</v>
      </c>
      <c r="BS77" s="383" t="e">
        <f>IF(BF77="","",IF(BS$18=$BR77,"〇",""))</f>
        <v>#DIV/0!</v>
      </c>
      <c r="BT77" s="383" t="e">
        <f t="shared" si="140"/>
        <v>#DIV/0!</v>
      </c>
      <c r="BU77" s="383" t="e">
        <f t="shared" si="140"/>
        <v>#DIV/0!</v>
      </c>
      <c r="BV77" s="383" t="e">
        <f t="shared" si="140"/>
        <v>#DIV/0!</v>
      </c>
      <c r="BW77" s="383" t="e">
        <f t="shared" si="140"/>
        <v>#DIV/0!</v>
      </c>
      <c r="BX77" s="383" t="e">
        <f t="shared" si="140"/>
        <v>#DIV/0!</v>
      </c>
      <c r="BY77" s="383" t="e">
        <f t="shared" si="140"/>
        <v>#DIV/0!</v>
      </c>
      <c r="BZ77" s="383" t="e">
        <f t="shared" si="140"/>
        <v>#DIV/0!</v>
      </c>
      <c r="CA77" s="383" t="e">
        <f t="shared" si="140"/>
        <v>#DIV/0!</v>
      </c>
      <c r="CB77" s="383" t="e">
        <f t="shared" si="140"/>
        <v>#DIV/0!</v>
      </c>
      <c r="CC77" s="383" t="e">
        <f t="shared" si="140"/>
        <v>#DIV/0!</v>
      </c>
      <c r="CD77" s="383" t="e">
        <f t="shared" si="140"/>
        <v>#DIV/0!</v>
      </c>
      <c r="CE77" s="386" t="s">
        <v>1396</v>
      </c>
      <c r="CF77" s="383" t="e">
        <f>IF(BS77="","",IF(CF$18&gt;=1,"〇",""))</f>
        <v>#DIV/0!</v>
      </c>
      <c r="CG77" s="383" t="e">
        <f t="shared" ref="CG77:CQ77" si="142">IF(BT77="","",IF(CG$18&gt;=1,"〇",""))</f>
        <v>#DIV/0!</v>
      </c>
      <c r="CH77" s="383" t="e">
        <f t="shared" si="142"/>
        <v>#DIV/0!</v>
      </c>
      <c r="CI77" s="383" t="e">
        <f t="shared" si="142"/>
        <v>#DIV/0!</v>
      </c>
      <c r="CJ77" s="383" t="e">
        <f t="shared" si="142"/>
        <v>#DIV/0!</v>
      </c>
      <c r="CK77" s="383" t="e">
        <f t="shared" si="142"/>
        <v>#DIV/0!</v>
      </c>
      <c r="CL77" s="383" t="e">
        <f t="shared" si="142"/>
        <v>#DIV/0!</v>
      </c>
      <c r="CM77" s="383" t="e">
        <f t="shared" si="142"/>
        <v>#DIV/0!</v>
      </c>
      <c r="CN77" s="383" t="e">
        <f t="shared" si="142"/>
        <v>#DIV/0!</v>
      </c>
      <c r="CO77" s="383" t="e">
        <f t="shared" si="142"/>
        <v>#DIV/0!</v>
      </c>
      <c r="CP77" s="383" t="e">
        <f t="shared" si="142"/>
        <v>#DIV/0!</v>
      </c>
      <c r="CQ77" s="383" t="e">
        <f t="shared" si="142"/>
        <v>#DIV/0!</v>
      </c>
    </row>
    <row r="78" spans="3:95">
      <c r="C78" s="391">
        <v>1</v>
      </c>
      <c r="D78" s="391" t="s">
        <v>1404</v>
      </c>
      <c r="E78" s="391">
        <v>1</v>
      </c>
      <c r="F78" s="391" t="s">
        <v>1404</v>
      </c>
      <c r="G78" s="391">
        <v>1</v>
      </c>
      <c r="H78" s="391" t="s">
        <v>1404</v>
      </c>
      <c r="I78" s="389">
        <v>1</v>
      </c>
      <c r="J78" s="389" t="s">
        <v>1404</v>
      </c>
      <c r="K78" s="382" t="s">
        <v>1390</v>
      </c>
      <c r="L78" s="382" t="s">
        <v>1390</v>
      </c>
      <c r="M78" s="391">
        <v>1</v>
      </c>
      <c r="N78" s="391" t="s">
        <v>1404</v>
      </c>
      <c r="O78" s="391">
        <v>1</v>
      </c>
      <c r="P78" s="391" t="s">
        <v>1404</v>
      </c>
      <c r="R78" s="386">
        <v>5</v>
      </c>
      <c r="S78" s="383" t="e">
        <f t="shared" si="135"/>
        <v>#DIV/0!</v>
      </c>
      <c r="T78" s="383" t="e">
        <f t="shared" si="135"/>
        <v>#DIV/0!</v>
      </c>
      <c r="U78" s="383" t="e">
        <f t="shared" si="135"/>
        <v>#DIV/0!</v>
      </c>
      <c r="V78" s="383" t="e">
        <f t="shared" si="135"/>
        <v>#DIV/0!</v>
      </c>
      <c r="W78" s="383" t="e">
        <f t="shared" si="135"/>
        <v>#DIV/0!</v>
      </c>
      <c r="X78" s="383" t="e">
        <f t="shared" si="135"/>
        <v>#DIV/0!</v>
      </c>
      <c r="Y78" s="383" t="e">
        <f t="shared" si="135"/>
        <v>#DIV/0!</v>
      </c>
      <c r="Z78" s="383" t="e">
        <f t="shared" si="135"/>
        <v>#DIV/0!</v>
      </c>
      <c r="AA78" s="383" t="e">
        <f t="shared" si="135"/>
        <v>#DIV/0!</v>
      </c>
      <c r="AB78" s="383" t="e">
        <f t="shared" si="135"/>
        <v>#DIV/0!</v>
      </c>
      <c r="AC78" s="383" t="e">
        <f t="shared" si="135"/>
        <v>#DIV/0!</v>
      </c>
      <c r="AD78" s="383" t="e">
        <f t="shared" si="135"/>
        <v>#DIV/0!</v>
      </c>
      <c r="AE78" s="386">
        <v>1</v>
      </c>
      <c r="AF78" s="383" t="e">
        <f t="shared" si="138"/>
        <v>#DIV/0!</v>
      </c>
      <c r="AG78" s="383" t="e">
        <f t="shared" si="137"/>
        <v>#DIV/0!</v>
      </c>
      <c r="AH78" s="383" t="e">
        <f t="shared" si="137"/>
        <v>#DIV/0!</v>
      </c>
      <c r="AI78" s="383" t="e">
        <f t="shared" si="137"/>
        <v>#DIV/0!</v>
      </c>
      <c r="AJ78" s="383" t="e">
        <f t="shared" si="137"/>
        <v>#DIV/0!</v>
      </c>
      <c r="AK78" s="383" t="e">
        <f t="shared" si="137"/>
        <v>#DIV/0!</v>
      </c>
      <c r="AL78" s="383" t="e">
        <f t="shared" si="137"/>
        <v>#DIV/0!</v>
      </c>
      <c r="AM78" s="383" t="e">
        <f t="shared" si="137"/>
        <v>#DIV/0!</v>
      </c>
      <c r="AN78" s="383" t="e">
        <f t="shared" si="137"/>
        <v>#DIV/0!</v>
      </c>
      <c r="AO78" s="383" t="e">
        <f t="shared" si="137"/>
        <v>#DIV/0!</v>
      </c>
      <c r="AP78" s="383" t="e">
        <f t="shared" si="137"/>
        <v>#DIV/0!</v>
      </c>
      <c r="AQ78" s="383" t="e">
        <f t="shared" si="137"/>
        <v>#DIV/0!</v>
      </c>
      <c r="AR78" s="386">
        <v>1</v>
      </c>
      <c r="AS78" s="383" t="e">
        <f t="shared" si="133"/>
        <v>#DIV/0!</v>
      </c>
      <c r="AT78" s="383" t="e">
        <f t="shared" si="133"/>
        <v>#DIV/0!</v>
      </c>
      <c r="AU78" s="383" t="e">
        <f t="shared" si="133"/>
        <v>#DIV/0!</v>
      </c>
      <c r="AV78" s="383" t="e">
        <f t="shared" si="133"/>
        <v>#DIV/0!</v>
      </c>
      <c r="AW78" s="383" t="e">
        <f t="shared" si="133"/>
        <v>#DIV/0!</v>
      </c>
      <c r="AX78" s="383" t="e">
        <f t="shared" si="133"/>
        <v>#DIV/0!</v>
      </c>
      <c r="AY78" s="383" t="e">
        <f t="shared" si="133"/>
        <v>#DIV/0!</v>
      </c>
      <c r="AZ78" s="383" t="e">
        <f t="shared" si="133"/>
        <v>#DIV/0!</v>
      </c>
      <c r="BA78" s="383" t="e">
        <f t="shared" si="133"/>
        <v>#DIV/0!</v>
      </c>
      <c r="BB78" s="383" t="e">
        <f t="shared" si="133"/>
        <v>#DIV/0!</v>
      </c>
      <c r="BC78" s="383" t="e">
        <f t="shared" si="133"/>
        <v>#DIV/0!</v>
      </c>
      <c r="BD78" s="383" t="e">
        <f t="shared" si="133"/>
        <v>#DIV/0!</v>
      </c>
      <c r="BE78" s="386">
        <v>0</v>
      </c>
      <c r="BF78" s="383" t="e">
        <f t="shared" si="139"/>
        <v>#DIV/0!</v>
      </c>
      <c r="BG78" s="383" t="e">
        <f t="shared" si="139"/>
        <v>#DIV/0!</v>
      </c>
      <c r="BH78" s="383" t="e">
        <f t="shared" si="139"/>
        <v>#DIV/0!</v>
      </c>
      <c r="BI78" s="383" t="e">
        <f t="shared" si="139"/>
        <v>#DIV/0!</v>
      </c>
      <c r="BJ78" s="383" t="e">
        <f t="shared" si="139"/>
        <v>#DIV/0!</v>
      </c>
      <c r="BK78" s="383" t="e">
        <f t="shared" si="139"/>
        <v>#DIV/0!</v>
      </c>
      <c r="BL78" s="383" t="e">
        <f t="shared" si="139"/>
        <v>#DIV/0!</v>
      </c>
      <c r="BM78" s="383" t="e">
        <f t="shared" si="139"/>
        <v>#DIV/0!</v>
      </c>
      <c r="BN78" s="383" t="e">
        <f t="shared" si="139"/>
        <v>#DIV/0!</v>
      </c>
      <c r="BO78" s="383" t="e">
        <f t="shared" si="139"/>
        <v>#DIV/0!</v>
      </c>
      <c r="BP78" s="383" t="e">
        <f t="shared" si="139"/>
        <v>#DIV/0!</v>
      </c>
      <c r="BQ78" s="383" t="e">
        <f t="shared" si="139"/>
        <v>#DIV/0!</v>
      </c>
      <c r="BR78" s="386" t="s">
        <v>1396</v>
      </c>
      <c r="BS78" s="383" t="e">
        <f>IF(BF78="","",IF(BS$18&gt;=1,"〇",""))</f>
        <v>#DIV/0!</v>
      </c>
      <c r="BT78" s="383" t="e">
        <f t="shared" ref="BT78:CD78" si="143">IF(BG78="","",IF(BT$18&gt;=1,"〇",""))</f>
        <v>#DIV/0!</v>
      </c>
      <c r="BU78" s="383" t="e">
        <f t="shared" si="143"/>
        <v>#DIV/0!</v>
      </c>
      <c r="BV78" s="383" t="e">
        <f t="shared" si="143"/>
        <v>#DIV/0!</v>
      </c>
      <c r="BW78" s="383" t="e">
        <f t="shared" si="143"/>
        <v>#DIV/0!</v>
      </c>
      <c r="BX78" s="383" t="e">
        <f t="shared" si="143"/>
        <v>#DIV/0!</v>
      </c>
      <c r="BY78" s="383" t="e">
        <f t="shared" si="143"/>
        <v>#DIV/0!</v>
      </c>
      <c r="BZ78" s="383" t="e">
        <f t="shared" si="143"/>
        <v>#DIV/0!</v>
      </c>
      <c r="CA78" s="383" t="e">
        <f t="shared" si="143"/>
        <v>#DIV/0!</v>
      </c>
      <c r="CB78" s="383" t="e">
        <f t="shared" si="143"/>
        <v>#DIV/0!</v>
      </c>
      <c r="CC78" s="383" t="e">
        <f t="shared" si="143"/>
        <v>#DIV/0!</v>
      </c>
      <c r="CD78" s="383" t="e">
        <f t="shared" si="143"/>
        <v>#DIV/0!</v>
      </c>
      <c r="CE78" s="386" t="s">
        <v>1390</v>
      </c>
      <c r="CF78" s="383" t="e">
        <f t="shared" ref="CF78:CQ79" si="144">IF(BS78="","","〇")</f>
        <v>#DIV/0!</v>
      </c>
      <c r="CG78" s="383" t="e">
        <f t="shared" si="144"/>
        <v>#DIV/0!</v>
      </c>
      <c r="CH78" s="383" t="e">
        <f t="shared" si="144"/>
        <v>#DIV/0!</v>
      </c>
      <c r="CI78" s="383" t="e">
        <f t="shared" si="144"/>
        <v>#DIV/0!</v>
      </c>
      <c r="CJ78" s="383" t="e">
        <f t="shared" si="144"/>
        <v>#DIV/0!</v>
      </c>
      <c r="CK78" s="383" t="e">
        <f t="shared" si="144"/>
        <v>#DIV/0!</v>
      </c>
      <c r="CL78" s="383" t="e">
        <f t="shared" si="144"/>
        <v>#DIV/0!</v>
      </c>
      <c r="CM78" s="383" t="e">
        <f t="shared" si="144"/>
        <v>#DIV/0!</v>
      </c>
      <c r="CN78" s="383" t="e">
        <f t="shared" si="144"/>
        <v>#DIV/0!</v>
      </c>
      <c r="CO78" s="383" t="e">
        <f t="shared" si="144"/>
        <v>#DIV/0!</v>
      </c>
      <c r="CP78" s="383" t="e">
        <f t="shared" si="144"/>
        <v>#DIV/0!</v>
      </c>
      <c r="CQ78" s="383" t="e">
        <f t="shared" si="144"/>
        <v>#DIV/0!</v>
      </c>
    </row>
    <row r="79" spans="3:95">
      <c r="C79" s="391">
        <v>1</v>
      </c>
      <c r="D79" s="391" t="s">
        <v>1404</v>
      </c>
      <c r="E79" s="391">
        <v>1</v>
      </c>
      <c r="F79" s="391" t="s">
        <v>1404</v>
      </c>
      <c r="G79" s="391">
        <v>1</v>
      </c>
      <c r="H79" s="391" t="s">
        <v>1404</v>
      </c>
      <c r="I79" s="390">
        <v>1</v>
      </c>
      <c r="J79" s="390" t="s">
        <v>1405</v>
      </c>
      <c r="K79" s="382" t="s">
        <v>1390</v>
      </c>
      <c r="L79" s="382" t="s">
        <v>1390</v>
      </c>
      <c r="M79" s="391">
        <v>1</v>
      </c>
      <c r="N79" s="391" t="s">
        <v>1404</v>
      </c>
      <c r="O79" s="391">
        <v>1</v>
      </c>
      <c r="P79" s="391" t="s">
        <v>1404</v>
      </c>
      <c r="R79" s="386">
        <v>5</v>
      </c>
      <c r="S79" s="383" t="e">
        <f t="shared" si="135"/>
        <v>#DIV/0!</v>
      </c>
      <c r="T79" s="383" t="e">
        <f t="shared" si="135"/>
        <v>#DIV/0!</v>
      </c>
      <c r="U79" s="383" t="e">
        <f t="shared" si="135"/>
        <v>#DIV/0!</v>
      </c>
      <c r="V79" s="383" t="e">
        <f t="shared" si="135"/>
        <v>#DIV/0!</v>
      </c>
      <c r="W79" s="383" t="e">
        <f t="shared" si="135"/>
        <v>#DIV/0!</v>
      </c>
      <c r="X79" s="383" t="e">
        <f t="shared" si="135"/>
        <v>#DIV/0!</v>
      </c>
      <c r="Y79" s="383" t="e">
        <f t="shared" si="135"/>
        <v>#DIV/0!</v>
      </c>
      <c r="Z79" s="383" t="e">
        <f t="shared" si="135"/>
        <v>#DIV/0!</v>
      </c>
      <c r="AA79" s="383" t="e">
        <f t="shared" si="135"/>
        <v>#DIV/0!</v>
      </c>
      <c r="AB79" s="383" t="e">
        <f t="shared" si="135"/>
        <v>#DIV/0!</v>
      </c>
      <c r="AC79" s="383" t="e">
        <f t="shared" si="135"/>
        <v>#DIV/0!</v>
      </c>
      <c r="AD79" s="383" t="e">
        <f t="shared" si="135"/>
        <v>#DIV/0!</v>
      </c>
      <c r="AE79" s="386">
        <v>1</v>
      </c>
      <c r="AF79" s="383" t="e">
        <f t="shared" si="138"/>
        <v>#DIV/0!</v>
      </c>
      <c r="AG79" s="383" t="e">
        <f t="shared" si="137"/>
        <v>#DIV/0!</v>
      </c>
      <c r="AH79" s="383" t="e">
        <f t="shared" si="137"/>
        <v>#DIV/0!</v>
      </c>
      <c r="AI79" s="383" t="e">
        <f t="shared" si="137"/>
        <v>#DIV/0!</v>
      </c>
      <c r="AJ79" s="383" t="e">
        <f t="shared" si="137"/>
        <v>#DIV/0!</v>
      </c>
      <c r="AK79" s="383" t="e">
        <f t="shared" si="137"/>
        <v>#DIV/0!</v>
      </c>
      <c r="AL79" s="383" t="e">
        <f t="shared" si="137"/>
        <v>#DIV/0!</v>
      </c>
      <c r="AM79" s="383" t="e">
        <f t="shared" si="137"/>
        <v>#DIV/0!</v>
      </c>
      <c r="AN79" s="383" t="e">
        <f t="shared" si="137"/>
        <v>#DIV/0!</v>
      </c>
      <c r="AO79" s="383" t="e">
        <f t="shared" si="137"/>
        <v>#DIV/0!</v>
      </c>
      <c r="AP79" s="383" t="e">
        <f t="shared" si="137"/>
        <v>#DIV/0!</v>
      </c>
      <c r="AQ79" s="383" t="e">
        <f t="shared" si="137"/>
        <v>#DIV/0!</v>
      </c>
      <c r="AR79" s="386">
        <v>1</v>
      </c>
      <c r="AS79" s="383" t="e">
        <f t="shared" si="133"/>
        <v>#DIV/0!</v>
      </c>
      <c r="AT79" s="383" t="e">
        <f t="shared" si="133"/>
        <v>#DIV/0!</v>
      </c>
      <c r="AU79" s="383" t="e">
        <f t="shared" si="133"/>
        <v>#DIV/0!</v>
      </c>
      <c r="AV79" s="383" t="e">
        <f t="shared" si="133"/>
        <v>#DIV/0!</v>
      </c>
      <c r="AW79" s="383" t="e">
        <f t="shared" si="133"/>
        <v>#DIV/0!</v>
      </c>
      <c r="AX79" s="383" t="e">
        <f t="shared" si="133"/>
        <v>#DIV/0!</v>
      </c>
      <c r="AY79" s="383" t="e">
        <f t="shared" si="133"/>
        <v>#DIV/0!</v>
      </c>
      <c r="AZ79" s="383" t="e">
        <f t="shared" si="133"/>
        <v>#DIV/0!</v>
      </c>
      <c r="BA79" s="383" t="e">
        <f t="shared" si="133"/>
        <v>#DIV/0!</v>
      </c>
      <c r="BB79" s="383" t="e">
        <f t="shared" si="133"/>
        <v>#DIV/0!</v>
      </c>
      <c r="BC79" s="383" t="e">
        <f t="shared" si="133"/>
        <v>#DIV/0!</v>
      </c>
      <c r="BD79" s="383" t="e">
        <f t="shared" si="133"/>
        <v>#DIV/0!</v>
      </c>
      <c r="BE79" s="386" t="s">
        <v>1396</v>
      </c>
      <c r="BF79" s="383" t="e">
        <f>IF(AS79="","",IF(BF$18&gt;=1,"〇",""))</f>
        <v>#DIV/0!</v>
      </c>
      <c r="BG79" s="383" t="e">
        <f t="shared" ref="BG79:BQ79" si="145">IF(AT79="","",IF(BG$18&gt;=1,"〇",""))</f>
        <v>#DIV/0!</v>
      </c>
      <c r="BH79" s="383" t="e">
        <f t="shared" si="145"/>
        <v>#DIV/0!</v>
      </c>
      <c r="BI79" s="383" t="e">
        <f t="shared" si="145"/>
        <v>#DIV/0!</v>
      </c>
      <c r="BJ79" s="383" t="e">
        <f t="shared" si="145"/>
        <v>#DIV/0!</v>
      </c>
      <c r="BK79" s="383" t="e">
        <f t="shared" si="145"/>
        <v>#DIV/0!</v>
      </c>
      <c r="BL79" s="383" t="e">
        <f t="shared" si="145"/>
        <v>#DIV/0!</v>
      </c>
      <c r="BM79" s="383" t="e">
        <f t="shared" si="145"/>
        <v>#DIV/0!</v>
      </c>
      <c r="BN79" s="383" t="e">
        <f t="shared" si="145"/>
        <v>#DIV/0!</v>
      </c>
      <c r="BO79" s="383" t="e">
        <f t="shared" si="145"/>
        <v>#DIV/0!</v>
      </c>
      <c r="BP79" s="383" t="e">
        <f t="shared" si="145"/>
        <v>#DIV/0!</v>
      </c>
      <c r="BQ79" s="383" t="e">
        <f t="shared" si="145"/>
        <v>#DIV/0!</v>
      </c>
      <c r="BR79" s="386" t="s">
        <v>1390</v>
      </c>
      <c r="BS79" s="383" t="e">
        <f>IF(BF79="","","〇")</f>
        <v>#DIV/0!</v>
      </c>
      <c r="BT79" s="383" t="e">
        <f t="shared" ref="BT79:CD79" si="146">IF(BG79="","","〇")</f>
        <v>#DIV/0!</v>
      </c>
      <c r="BU79" s="383" t="e">
        <f t="shared" si="146"/>
        <v>#DIV/0!</v>
      </c>
      <c r="BV79" s="383" t="e">
        <f t="shared" si="146"/>
        <v>#DIV/0!</v>
      </c>
      <c r="BW79" s="383" t="e">
        <f t="shared" si="146"/>
        <v>#DIV/0!</v>
      </c>
      <c r="BX79" s="383" t="e">
        <f t="shared" si="146"/>
        <v>#DIV/0!</v>
      </c>
      <c r="BY79" s="383" t="e">
        <f t="shared" si="146"/>
        <v>#DIV/0!</v>
      </c>
      <c r="BZ79" s="383" t="e">
        <f t="shared" si="146"/>
        <v>#DIV/0!</v>
      </c>
      <c r="CA79" s="383" t="e">
        <f t="shared" si="146"/>
        <v>#DIV/0!</v>
      </c>
      <c r="CB79" s="383" t="e">
        <f t="shared" si="146"/>
        <v>#DIV/0!</v>
      </c>
      <c r="CC79" s="383" t="e">
        <f t="shared" si="146"/>
        <v>#DIV/0!</v>
      </c>
      <c r="CD79" s="383" t="e">
        <f t="shared" si="146"/>
        <v>#DIV/0!</v>
      </c>
      <c r="CE79" s="386" t="s">
        <v>1390</v>
      </c>
      <c r="CF79" s="383" t="e">
        <f t="shared" si="144"/>
        <v>#DIV/0!</v>
      </c>
      <c r="CG79" s="383" t="e">
        <f t="shared" si="144"/>
        <v>#DIV/0!</v>
      </c>
      <c r="CH79" s="383" t="e">
        <f t="shared" si="144"/>
        <v>#DIV/0!</v>
      </c>
      <c r="CI79" s="383" t="e">
        <f t="shared" si="144"/>
        <v>#DIV/0!</v>
      </c>
      <c r="CJ79" s="383" t="e">
        <f t="shared" si="144"/>
        <v>#DIV/0!</v>
      </c>
      <c r="CK79" s="383" t="e">
        <f t="shared" si="144"/>
        <v>#DIV/0!</v>
      </c>
      <c r="CL79" s="383" t="e">
        <f t="shared" si="144"/>
        <v>#DIV/0!</v>
      </c>
      <c r="CM79" s="383" t="e">
        <f t="shared" si="144"/>
        <v>#DIV/0!</v>
      </c>
      <c r="CN79" s="383" t="e">
        <f t="shared" si="144"/>
        <v>#DIV/0!</v>
      </c>
      <c r="CO79" s="383" t="e">
        <f t="shared" si="144"/>
        <v>#DIV/0!</v>
      </c>
      <c r="CP79" s="383" t="e">
        <f t="shared" si="144"/>
        <v>#DIV/0!</v>
      </c>
      <c r="CQ79" s="383" t="e">
        <f t="shared" si="144"/>
        <v>#DIV/0!</v>
      </c>
    </row>
    <row r="80" spans="3:95">
      <c r="C80" s="391">
        <v>1</v>
      </c>
      <c r="D80" s="391" t="s">
        <v>1404</v>
      </c>
      <c r="E80" s="391">
        <v>1</v>
      </c>
      <c r="F80" s="391" t="s">
        <v>1404</v>
      </c>
      <c r="G80" s="391">
        <v>1</v>
      </c>
      <c r="H80" s="391" t="s">
        <v>1404</v>
      </c>
      <c r="I80" s="382" t="s">
        <v>1390</v>
      </c>
      <c r="J80" s="382" t="s">
        <v>1390</v>
      </c>
      <c r="K80" s="382" t="s">
        <v>1390</v>
      </c>
      <c r="L80" s="382" t="s">
        <v>1390</v>
      </c>
      <c r="M80" s="391">
        <v>2</v>
      </c>
      <c r="N80" s="391" t="s">
        <v>1404</v>
      </c>
      <c r="O80" s="382" t="s">
        <v>1390</v>
      </c>
      <c r="P80" s="382" t="s">
        <v>1390</v>
      </c>
      <c r="R80" s="386">
        <v>5</v>
      </c>
      <c r="S80" s="383" t="e">
        <f t="shared" si="135"/>
        <v>#DIV/0!</v>
      </c>
      <c r="T80" s="383" t="e">
        <f t="shared" si="135"/>
        <v>#DIV/0!</v>
      </c>
      <c r="U80" s="383" t="e">
        <f t="shared" si="135"/>
        <v>#DIV/0!</v>
      </c>
      <c r="V80" s="383" t="e">
        <f t="shared" si="135"/>
        <v>#DIV/0!</v>
      </c>
      <c r="W80" s="383" t="e">
        <f t="shared" si="135"/>
        <v>#DIV/0!</v>
      </c>
      <c r="X80" s="383" t="e">
        <f t="shared" si="135"/>
        <v>#DIV/0!</v>
      </c>
      <c r="Y80" s="383" t="e">
        <f t="shared" si="135"/>
        <v>#DIV/0!</v>
      </c>
      <c r="Z80" s="383" t="e">
        <f t="shared" si="135"/>
        <v>#DIV/0!</v>
      </c>
      <c r="AA80" s="383" t="e">
        <f t="shared" si="135"/>
        <v>#DIV/0!</v>
      </c>
      <c r="AB80" s="383" t="e">
        <f t="shared" si="135"/>
        <v>#DIV/0!</v>
      </c>
      <c r="AC80" s="383" t="e">
        <f t="shared" si="135"/>
        <v>#DIV/0!</v>
      </c>
      <c r="AD80" s="383" t="e">
        <f t="shared" si="135"/>
        <v>#DIV/0!</v>
      </c>
      <c r="AE80" s="386" t="s">
        <v>1395</v>
      </c>
      <c r="AF80" s="383" t="e">
        <f>IF(S80="","",IF(AF$18&gt;=2,"〇",""))</f>
        <v>#DIV/0!</v>
      </c>
      <c r="AG80" s="383" t="e">
        <f t="shared" ref="AG80:AQ83" si="147">IF(T80="","",IF(AG$18&gt;=2,"〇",""))</f>
        <v>#DIV/0!</v>
      </c>
      <c r="AH80" s="383" t="e">
        <f t="shared" si="147"/>
        <v>#DIV/0!</v>
      </c>
      <c r="AI80" s="383" t="e">
        <f t="shared" si="147"/>
        <v>#DIV/0!</v>
      </c>
      <c r="AJ80" s="383" t="e">
        <f t="shared" si="147"/>
        <v>#DIV/0!</v>
      </c>
      <c r="AK80" s="383" t="e">
        <f t="shared" si="147"/>
        <v>#DIV/0!</v>
      </c>
      <c r="AL80" s="383" t="e">
        <f t="shared" si="147"/>
        <v>#DIV/0!</v>
      </c>
      <c r="AM80" s="383" t="e">
        <f t="shared" si="147"/>
        <v>#DIV/0!</v>
      </c>
      <c r="AN80" s="383" t="e">
        <f t="shared" si="147"/>
        <v>#DIV/0!</v>
      </c>
      <c r="AO80" s="383" t="e">
        <f t="shared" si="147"/>
        <v>#DIV/0!</v>
      </c>
      <c r="AP80" s="383" t="e">
        <f t="shared" si="147"/>
        <v>#DIV/0!</v>
      </c>
      <c r="AQ80" s="383" t="e">
        <f t="shared" si="147"/>
        <v>#DIV/0!</v>
      </c>
      <c r="AR80" s="386" t="s">
        <v>1390</v>
      </c>
      <c r="AS80" s="383" t="e">
        <f t="shared" ref="AS80:BD83" si="148">IF(AF80="","","〇")</f>
        <v>#DIV/0!</v>
      </c>
      <c r="AT80" s="383" t="e">
        <f t="shared" si="148"/>
        <v>#DIV/0!</v>
      </c>
      <c r="AU80" s="383" t="e">
        <f t="shared" si="148"/>
        <v>#DIV/0!</v>
      </c>
      <c r="AV80" s="383" t="e">
        <f t="shared" si="148"/>
        <v>#DIV/0!</v>
      </c>
      <c r="AW80" s="383" t="e">
        <f t="shared" si="148"/>
        <v>#DIV/0!</v>
      </c>
      <c r="AX80" s="383" t="e">
        <f t="shared" si="148"/>
        <v>#DIV/0!</v>
      </c>
      <c r="AY80" s="383" t="e">
        <f t="shared" si="148"/>
        <v>#DIV/0!</v>
      </c>
      <c r="AZ80" s="383" t="e">
        <f t="shared" si="148"/>
        <v>#DIV/0!</v>
      </c>
      <c r="BA80" s="383" t="e">
        <f t="shared" si="148"/>
        <v>#DIV/0!</v>
      </c>
      <c r="BB80" s="383" t="e">
        <f t="shared" si="148"/>
        <v>#DIV/0!</v>
      </c>
      <c r="BC80" s="383" t="e">
        <f t="shared" si="148"/>
        <v>#DIV/0!</v>
      </c>
      <c r="BD80" s="383" t="e">
        <f t="shared" si="148"/>
        <v>#DIV/0!</v>
      </c>
      <c r="BE80" s="386">
        <v>0</v>
      </c>
      <c r="BF80" s="383" t="e">
        <f t="shared" si="139"/>
        <v>#DIV/0!</v>
      </c>
      <c r="BG80" s="383" t="e">
        <f t="shared" si="139"/>
        <v>#DIV/0!</v>
      </c>
      <c r="BH80" s="383" t="e">
        <f t="shared" si="139"/>
        <v>#DIV/0!</v>
      </c>
      <c r="BI80" s="383" t="e">
        <f t="shared" si="139"/>
        <v>#DIV/0!</v>
      </c>
      <c r="BJ80" s="383" t="e">
        <f t="shared" si="139"/>
        <v>#DIV/0!</v>
      </c>
      <c r="BK80" s="383" t="e">
        <f t="shared" si="139"/>
        <v>#DIV/0!</v>
      </c>
      <c r="BL80" s="383" t="e">
        <f t="shared" si="139"/>
        <v>#DIV/0!</v>
      </c>
      <c r="BM80" s="383" t="e">
        <f t="shared" si="139"/>
        <v>#DIV/0!</v>
      </c>
      <c r="BN80" s="383" t="e">
        <f t="shared" si="139"/>
        <v>#DIV/0!</v>
      </c>
      <c r="BO80" s="383" t="e">
        <f t="shared" si="139"/>
        <v>#DIV/0!</v>
      </c>
      <c r="BP80" s="383" t="e">
        <f t="shared" si="139"/>
        <v>#DIV/0!</v>
      </c>
      <c r="BQ80" s="383" t="e">
        <f t="shared" si="139"/>
        <v>#DIV/0!</v>
      </c>
      <c r="BR80" s="386">
        <v>0</v>
      </c>
      <c r="BS80" s="383" t="e">
        <f>IF(BF80="","",IF(BS$18=$BR80,"〇",""))</f>
        <v>#DIV/0!</v>
      </c>
      <c r="BT80" s="383" t="e">
        <f t="shared" ref="BT80:CD81" si="149">IF(BG80="","",IF(BT$18=$BR80,"〇",""))</f>
        <v>#DIV/0!</v>
      </c>
      <c r="BU80" s="383" t="e">
        <f t="shared" si="149"/>
        <v>#DIV/0!</v>
      </c>
      <c r="BV80" s="383" t="e">
        <f t="shared" si="149"/>
        <v>#DIV/0!</v>
      </c>
      <c r="BW80" s="383" t="e">
        <f t="shared" si="149"/>
        <v>#DIV/0!</v>
      </c>
      <c r="BX80" s="383" t="e">
        <f t="shared" si="149"/>
        <v>#DIV/0!</v>
      </c>
      <c r="BY80" s="383" t="e">
        <f t="shared" si="149"/>
        <v>#DIV/0!</v>
      </c>
      <c r="BZ80" s="383" t="e">
        <f t="shared" si="149"/>
        <v>#DIV/0!</v>
      </c>
      <c r="CA80" s="383" t="e">
        <f t="shared" si="149"/>
        <v>#DIV/0!</v>
      </c>
      <c r="CB80" s="383" t="e">
        <f t="shared" si="149"/>
        <v>#DIV/0!</v>
      </c>
      <c r="CC80" s="383" t="e">
        <f t="shared" si="149"/>
        <v>#DIV/0!</v>
      </c>
      <c r="CD80" s="383" t="e">
        <f t="shared" si="149"/>
        <v>#DIV/0!</v>
      </c>
      <c r="CE80" s="386">
        <v>0</v>
      </c>
      <c r="CF80" s="383" t="e">
        <f>IF(BS80="","",IF(CF$18=$CE80,"〇",""))</f>
        <v>#DIV/0!</v>
      </c>
      <c r="CG80" s="383" t="e">
        <f t="shared" ref="CG80:CQ80" si="150">IF(BT80="","",IF(CG$18=$CE80,"〇",""))</f>
        <v>#DIV/0!</v>
      </c>
      <c r="CH80" s="383" t="e">
        <f t="shared" si="150"/>
        <v>#DIV/0!</v>
      </c>
      <c r="CI80" s="383" t="e">
        <f t="shared" si="150"/>
        <v>#DIV/0!</v>
      </c>
      <c r="CJ80" s="383" t="e">
        <f t="shared" si="150"/>
        <v>#DIV/0!</v>
      </c>
      <c r="CK80" s="383" t="e">
        <f t="shared" si="150"/>
        <v>#DIV/0!</v>
      </c>
      <c r="CL80" s="383" t="e">
        <f t="shared" si="150"/>
        <v>#DIV/0!</v>
      </c>
      <c r="CM80" s="383" t="e">
        <f t="shared" si="150"/>
        <v>#DIV/0!</v>
      </c>
      <c r="CN80" s="383" t="e">
        <f t="shared" si="150"/>
        <v>#DIV/0!</v>
      </c>
      <c r="CO80" s="383" t="e">
        <f t="shared" si="150"/>
        <v>#DIV/0!</v>
      </c>
      <c r="CP80" s="383" t="e">
        <f t="shared" si="150"/>
        <v>#DIV/0!</v>
      </c>
      <c r="CQ80" s="383" t="e">
        <f t="shared" si="150"/>
        <v>#DIV/0!</v>
      </c>
    </row>
    <row r="81" spans="3:95">
      <c r="C81" s="391">
        <v>1</v>
      </c>
      <c r="D81" s="391" t="s">
        <v>1404</v>
      </c>
      <c r="E81" s="391">
        <v>1</v>
      </c>
      <c r="F81" s="391" t="s">
        <v>1404</v>
      </c>
      <c r="G81" s="391">
        <v>1</v>
      </c>
      <c r="H81" s="391" t="s">
        <v>1404</v>
      </c>
      <c r="I81" s="387">
        <v>1</v>
      </c>
      <c r="J81" s="387" t="s">
        <v>1393</v>
      </c>
      <c r="K81" s="382" t="s">
        <v>1390</v>
      </c>
      <c r="L81" s="382" t="s">
        <v>1390</v>
      </c>
      <c r="M81" s="391">
        <v>2</v>
      </c>
      <c r="N81" s="391" t="s">
        <v>1404</v>
      </c>
      <c r="O81" s="382" t="s">
        <v>1390</v>
      </c>
      <c r="P81" s="382" t="s">
        <v>1390</v>
      </c>
      <c r="R81" s="386">
        <v>5</v>
      </c>
      <c r="S81" s="383" t="e">
        <f t="shared" si="135"/>
        <v>#DIV/0!</v>
      </c>
      <c r="T81" s="383" t="e">
        <f t="shared" si="135"/>
        <v>#DIV/0!</v>
      </c>
      <c r="U81" s="383" t="e">
        <f t="shared" si="135"/>
        <v>#DIV/0!</v>
      </c>
      <c r="V81" s="383" t="e">
        <f t="shared" si="135"/>
        <v>#DIV/0!</v>
      </c>
      <c r="W81" s="383" t="e">
        <f t="shared" si="135"/>
        <v>#DIV/0!</v>
      </c>
      <c r="X81" s="383" t="e">
        <f t="shared" si="135"/>
        <v>#DIV/0!</v>
      </c>
      <c r="Y81" s="383" t="e">
        <f t="shared" si="135"/>
        <v>#DIV/0!</v>
      </c>
      <c r="Z81" s="383" t="e">
        <f t="shared" si="135"/>
        <v>#DIV/0!</v>
      </c>
      <c r="AA81" s="383" t="e">
        <f t="shared" si="135"/>
        <v>#DIV/0!</v>
      </c>
      <c r="AB81" s="383" t="e">
        <f t="shared" si="135"/>
        <v>#DIV/0!</v>
      </c>
      <c r="AC81" s="383" t="e">
        <f t="shared" si="135"/>
        <v>#DIV/0!</v>
      </c>
      <c r="AD81" s="383" t="e">
        <f t="shared" si="135"/>
        <v>#DIV/0!</v>
      </c>
      <c r="AE81" s="386" t="s">
        <v>1395</v>
      </c>
      <c r="AF81" s="383" t="e">
        <f t="shared" ref="AF81:AF83" si="151">IF(S81="","",IF(AF$18&gt;=2,"〇",""))</f>
        <v>#DIV/0!</v>
      </c>
      <c r="AG81" s="383" t="e">
        <f t="shared" si="147"/>
        <v>#DIV/0!</v>
      </c>
      <c r="AH81" s="383" t="e">
        <f t="shared" si="147"/>
        <v>#DIV/0!</v>
      </c>
      <c r="AI81" s="383" t="e">
        <f t="shared" si="147"/>
        <v>#DIV/0!</v>
      </c>
      <c r="AJ81" s="383" t="e">
        <f t="shared" si="147"/>
        <v>#DIV/0!</v>
      </c>
      <c r="AK81" s="383" t="e">
        <f t="shared" si="147"/>
        <v>#DIV/0!</v>
      </c>
      <c r="AL81" s="383" t="e">
        <f t="shared" si="147"/>
        <v>#DIV/0!</v>
      </c>
      <c r="AM81" s="383" t="e">
        <f t="shared" si="147"/>
        <v>#DIV/0!</v>
      </c>
      <c r="AN81" s="383" t="e">
        <f t="shared" si="147"/>
        <v>#DIV/0!</v>
      </c>
      <c r="AO81" s="383" t="e">
        <f t="shared" si="147"/>
        <v>#DIV/0!</v>
      </c>
      <c r="AP81" s="383" t="e">
        <f t="shared" si="147"/>
        <v>#DIV/0!</v>
      </c>
      <c r="AQ81" s="383" t="e">
        <f t="shared" si="147"/>
        <v>#DIV/0!</v>
      </c>
      <c r="AR81" s="386" t="s">
        <v>1390</v>
      </c>
      <c r="AS81" s="383" t="e">
        <f t="shared" si="148"/>
        <v>#DIV/0!</v>
      </c>
      <c r="AT81" s="383" t="e">
        <f t="shared" si="148"/>
        <v>#DIV/0!</v>
      </c>
      <c r="AU81" s="383" t="e">
        <f t="shared" si="148"/>
        <v>#DIV/0!</v>
      </c>
      <c r="AV81" s="383" t="e">
        <f t="shared" si="148"/>
        <v>#DIV/0!</v>
      </c>
      <c r="AW81" s="383" t="e">
        <f t="shared" si="148"/>
        <v>#DIV/0!</v>
      </c>
      <c r="AX81" s="383" t="e">
        <f t="shared" si="148"/>
        <v>#DIV/0!</v>
      </c>
      <c r="AY81" s="383" t="e">
        <f t="shared" si="148"/>
        <v>#DIV/0!</v>
      </c>
      <c r="AZ81" s="383" t="e">
        <f t="shared" si="148"/>
        <v>#DIV/0!</v>
      </c>
      <c r="BA81" s="383" t="e">
        <f t="shared" si="148"/>
        <v>#DIV/0!</v>
      </c>
      <c r="BB81" s="383" t="e">
        <f t="shared" si="148"/>
        <v>#DIV/0!</v>
      </c>
      <c r="BC81" s="383" t="e">
        <f t="shared" si="148"/>
        <v>#DIV/0!</v>
      </c>
      <c r="BD81" s="383" t="e">
        <f t="shared" si="148"/>
        <v>#DIV/0!</v>
      </c>
      <c r="BE81" s="386">
        <v>0</v>
      </c>
      <c r="BF81" s="383" t="e">
        <f t="shared" si="139"/>
        <v>#DIV/0!</v>
      </c>
      <c r="BG81" s="383" t="e">
        <f t="shared" si="139"/>
        <v>#DIV/0!</v>
      </c>
      <c r="BH81" s="383" t="e">
        <f t="shared" si="139"/>
        <v>#DIV/0!</v>
      </c>
      <c r="BI81" s="383" t="e">
        <f t="shared" si="139"/>
        <v>#DIV/0!</v>
      </c>
      <c r="BJ81" s="383" t="e">
        <f t="shared" si="139"/>
        <v>#DIV/0!</v>
      </c>
      <c r="BK81" s="383" t="e">
        <f t="shared" si="139"/>
        <v>#DIV/0!</v>
      </c>
      <c r="BL81" s="383" t="e">
        <f t="shared" si="139"/>
        <v>#DIV/0!</v>
      </c>
      <c r="BM81" s="383" t="e">
        <f t="shared" si="139"/>
        <v>#DIV/0!</v>
      </c>
      <c r="BN81" s="383" t="e">
        <f t="shared" si="139"/>
        <v>#DIV/0!</v>
      </c>
      <c r="BO81" s="383" t="e">
        <f t="shared" si="139"/>
        <v>#DIV/0!</v>
      </c>
      <c r="BP81" s="383" t="e">
        <f t="shared" si="139"/>
        <v>#DIV/0!</v>
      </c>
      <c r="BQ81" s="383" t="e">
        <f t="shared" si="139"/>
        <v>#DIV/0!</v>
      </c>
      <c r="BR81" s="386">
        <v>0</v>
      </c>
      <c r="BS81" s="383" t="e">
        <f>IF(BF81="","",IF(BS$18=$BR81,"〇",""))</f>
        <v>#DIV/0!</v>
      </c>
      <c r="BT81" s="383" t="e">
        <f t="shared" si="149"/>
        <v>#DIV/0!</v>
      </c>
      <c r="BU81" s="383" t="e">
        <f t="shared" si="149"/>
        <v>#DIV/0!</v>
      </c>
      <c r="BV81" s="383" t="e">
        <f t="shared" si="149"/>
        <v>#DIV/0!</v>
      </c>
      <c r="BW81" s="383" t="e">
        <f t="shared" si="149"/>
        <v>#DIV/0!</v>
      </c>
      <c r="BX81" s="383" t="e">
        <f t="shared" si="149"/>
        <v>#DIV/0!</v>
      </c>
      <c r="BY81" s="383" t="e">
        <f t="shared" si="149"/>
        <v>#DIV/0!</v>
      </c>
      <c r="BZ81" s="383" t="e">
        <f t="shared" si="149"/>
        <v>#DIV/0!</v>
      </c>
      <c r="CA81" s="383" t="e">
        <f t="shared" si="149"/>
        <v>#DIV/0!</v>
      </c>
      <c r="CB81" s="383" t="e">
        <f t="shared" si="149"/>
        <v>#DIV/0!</v>
      </c>
      <c r="CC81" s="383" t="e">
        <f t="shared" si="149"/>
        <v>#DIV/0!</v>
      </c>
      <c r="CD81" s="383" t="e">
        <f t="shared" si="149"/>
        <v>#DIV/0!</v>
      </c>
      <c r="CE81" s="386" t="s">
        <v>1396</v>
      </c>
      <c r="CF81" s="383" t="e">
        <f>IF(BS81="","",IF(CF$18&gt;=1,"〇",""))</f>
        <v>#DIV/0!</v>
      </c>
      <c r="CG81" s="383" t="e">
        <f t="shared" ref="CG81:CQ81" si="152">IF(BT81="","",IF(CG$18&gt;=1,"〇",""))</f>
        <v>#DIV/0!</v>
      </c>
      <c r="CH81" s="383" t="e">
        <f t="shared" si="152"/>
        <v>#DIV/0!</v>
      </c>
      <c r="CI81" s="383" t="e">
        <f t="shared" si="152"/>
        <v>#DIV/0!</v>
      </c>
      <c r="CJ81" s="383" t="e">
        <f t="shared" si="152"/>
        <v>#DIV/0!</v>
      </c>
      <c r="CK81" s="383" t="e">
        <f t="shared" si="152"/>
        <v>#DIV/0!</v>
      </c>
      <c r="CL81" s="383" t="e">
        <f t="shared" si="152"/>
        <v>#DIV/0!</v>
      </c>
      <c r="CM81" s="383" t="e">
        <f t="shared" si="152"/>
        <v>#DIV/0!</v>
      </c>
      <c r="CN81" s="383" t="e">
        <f t="shared" si="152"/>
        <v>#DIV/0!</v>
      </c>
      <c r="CO81" s="383" t="e">
        <f t="shared" si="152"/>
        <v>#DIV/0!</v>
      </c>
      <c r="CP81" s="383" t="e">
        <f t="shared" si="152"/>
        <v>#DIV/0!</v>
      </c>
      <c r="CQ81" s="383" t="e">
        <f t="shared" si="152"/>
        <v>#DIV/0!</v>
      </c>
    </row>
    <row r="82" spans="3:95">
      <c r="C82" s="391">
        <v>1</v>
      </c>
      <c r="D82" s="391" t="s">
        <v>1404</v>
      </c>
      <c r="E82" s="391">
        <v>1</v>
      </c>
      <c r="F82" s="391" t="s">
        <v>1404</v>
      </c>
      <c r="G82" s="391">
        <v>1</v>
      </c>
      <c r="H82" s="391" t="s">
        <v>1404</v>
      </c>
      <c r="I82" s="389">
        <v>1</v>
      </c>
      <c r="J82" s="389" t="s">
        <v>1404</v>
      </c>
      <c r="K82" s="382" t="s">
        <v>1390</v>
      </c>
      <c r="L82" s="382" t="s">
        <v>1390</v>
      </c>
      <c r="M82" s="391">
        <v>2</v>
      </c>
      <c r="N82" s="391" t="s">
        <v>1404</v>
      </c>
      <c r="O82" s="382" t="s">
        <v>1390</v>
      </c>
      <c r="P82" s="382" t="s">
        <v>1390</v>
      </c>
      <c r="R82" s="386">
        <v>5</v>
      </c>
      <c r="S82" s="383" t="e">
        <f t="shared" si="135"/>
        <v>#DIV/0!</v>
      </c>
      <c r="T82" s="383" t="e">
        <f t="shared" si="135"/>
        <v>#DIV/0!</v>
      </c>
      <c r="U82" s="383" t="e">
        <f t="shared" si="135"/>
        <v>#DIV/0!</v>
      </c>
      <c r="V82" s="383" t="e">
        <f t="shared" si="135"/>
        <v>#DIV/0!</v>
      </c>
      <c r="W82" s="383" t="e">
        <f t="shared" si="135"/>
        <v>#DIV/0!</v>
      </c>
      <c r="X82" s="383" t="e">
        <f t="shared" si="135"/>
        <v>#DIV/0!</v>
      </c>
      <c r="Y82" s="383" t="e">
        <f t="shared" si="135"/>
        <v>#DIV/0!</v>
      </c>
      <c r="Z82" s="383" t="e">
        <f t="shared" si="135"/>
        <v>#DIV/0!</v>
      </c>
      <c r="AA82" s="383" t="e">
        <f t="shared" si="135"/>
        <v>#DIV/0!</v>
      </c>
      <c r="AB82" s="383" t="e">
        <f t="shared" si="135"/>
        <v>#DIV/0!</v>
      </c>
      <c r="AC82" s="383" t="e">
        <f t="shared" si="135"/>
        <v>#DIV/0!</v>
      </c>
      <c r="AD82" s="383" t="e">
        <f t="shared" si="135"/>
        <v>#DIV/0!</v>
      </c>
      <c r="AE82" s="386" t="s">
        <v>1395</v>
      </c>
      <c r="AF82" s="383" t="e">
        <f t="shared" si="151"/>
        <v>#DIV/0!</v>
      </c>
      <c r="AG82" s="383" t="e">
        <f t="shared" si="147"/>
        <v>#DIV/0!</v>
      </c>
      <c r="AH82" s="383" t="e">
        <f t="shared" si="147"/>
        <v>#DIV/0!</v>
      </c>
      <c r="AI82" s="383" t="e">
        <f t="shared" si="147"/>
        <v>#DIV/0!</v>
      </c>
      <c r="AJ82" s="383" t="e">
        <f t="shared" si="147"/>
        <v>#DIV/0!</v>
      </c>
      <c r="AK82" s="383" t="e">
        <f t="shared" si="147"/>
        <v>#DIV/0!</v>
      </c>
      <c r="AL82" s="383" t="e">
        <f t="shared" si="147"/>
        <v>#DIV/0!</v>
      </c>
      <c r="AM82" s="383" t="e">
        <f t="shared" si="147"/>
        <v>#DIV/0!</v>
      </c>
      <c r="AN82" s="383" t="e">
        <f t="shared" si="147"/>
        <v>#DIV/0!</v>
      </c>
      <c r="AO82" s="383" t="e">
        <f t="shared" si="147"/>
        <v>#DIV/0!</v>
      </c>
      <c r="AP82" s="383" t="e">
        <f t="shared" si="147"/>
        <v>#DIV/0!</v>
      </c>
      <c r="AQ82" s="383" t="e">
        <f t="shared" si="147"/>
        <v>#DIV/0!</v>
      </c>
      <c r="AR82" s="386" t="s">
        <v>1390</v>
      </c>
      <c r="AS82" s="383" t="e">
        <f t="shared" si="148"/>
        <v>#DIV/0!</v>
      </c>
      <c r="AT82" s="383" t="e">
        <f t="shared" si="148"/>
        <v>#DIV/0!</v>
      </c>
      <c r="AU82" s="383" t="e">
        <f t="shared" si="148"/>
        <v>#DIV/0!</v>
      </c>
      <c r="AV82" s="383" t="e">
        <f t="shared" si="148"/>
        <v>#DIV/0!</v>
      </c>
      <c r="AW82" s="383" t="e">
        <f t="shared" si="148"/>
        <v>#DIV/0!</v>
      </c>
      <c r="AX82" s="383" t="e">
        <f t="shared" si="148"/>
        <v>#DIV/0!</v>
      </c>
      <c r="AY82" s="383" t="e">
        <f t="shared" si="148"/>
        <v>#DIV/0!</v>
      </c>
      <c r="AZ82" s="383" t="e">
        <f t="shared" si="148"/>
        <v>#DIV/0!</v>
      </c>
      <c r="BA82" s="383" t="e">
        <f t="shared" si="148"/>
        <v>#DIV/0!</v>
      </c>
      <c r="BB82" s="383" t="e">
        <f t="shared" si="148"/>
        <v>#DIV/0!</v>
      </c>
      <c r="BC82" s="383" t="e">
        <f t="shared" si="148"/>
        <v>#DIV/0!</v>
      </c>
      <c r="BD82" s="383" t="e">
        <f t="shared" si="148"/>
        <v>#DIV/0!</v>
      </c>
      <c r="BE82" s="386">
        <v>0</v>
      </c>
      <c r="BF82" s="383" t="e">
        <f t="shared" si="139"/>
        <v>#DIV/0!</v>
      </c>
      <c r="BG82" s="383" t="e">
        <f t="shared" si="139"/>
        <v>#DIV/0!</v>
      </c>
      <c r="BH82" s="383" t="e">
        <f t="shared" si="139"/>
        <v>#DIV/0!</v>
      </c>
      <c r="BI82" s="383" t="e">
        <f t="shared" si="139"/>
        <v>#DIV/0!</v>
      </c>
      <c r="BJ82" s="383" t="e">
        <f t="shared" si="139"/>
        <v>#DIV/0!</v>
      </c>
      <c r="BK82" s="383" t="e">
        <f t="shared" si="139"/>
        <v>#DIV/0!</v>
      </c>
      <c r="BL82" s="383" t="e">
        <f t="shared" si="139"/>
        <v>#DIV/0!</v>
      </c>
      <c r="BM82" s="383" t="e">
        <f t="shared" si="139"/>
        <v>#DIV/0!</v>
      </c>
      <c r="BN82" s="383" t="e">
        <f t="shared" si="139"/>
        <v>#DIV/0!</v>
      </c>
      <c r="BO82" s="383" t="e">
        <f t="shared" si="139"/>
        <v>#DIV/0!</v>
      </c>
      <c r="BP82" s="383" t="e">
        <f t="shared" si="139"/>
        <v>#DIV/0!</v>
      </c>
      <c r="BQ82" s="383" t="e">
        <f t="shared" si="139"/>
        <v>#DIV/0!</v>
      </c>
      <c r="BR82" s="386" t="s">
        <v>1396</v>
      </c>
      <c r="BS82" s="383" t="e">
        <f>IF(BF82="","",IF(BS$18&gt;=1,"〇",""))</f>
        <v>#DIV/0!</v>
      </c>
      <c r="BT82" s="383" t="e">
        <f t="shared" ref="BT82:CD82" si="153">IF(BG82="","",IF(BT$18&gt;=1,"〇",""))</f>
        <v>#DIV/0!</v>
      </c>
      <c r="BU82" s="383" t="e">
        <f t="shared" si="153"/>
        <v>#DIV/0!</v>
      </c>
      <c r="BV82" s="383" t="e">
        <f t="shared" si="153"/>
        <v>#DIV/0!</v>
      </c>
      <c r="BW82" s="383" t="e">
        <f t="shared" si="153"/>
        <v>#DIV/0!</v>
      </c>
      <c r="BX82" s="383" t="e">
        <f t="shared" si="153"/>
        <v>#DIV/0!</v>
      </c>
      <c r="BY82" s="383" t="e">
        <f t="shared" si="153"/>
        <v>#DIV/0!</v>
      </c>
      <c r="BZ82" s="383" t="e">
        <f t="shared" si="153"/>
        <v>#DIV/0!</v>
      </c>
      <c r="CA82" s="383" t="e">
        <f t="shared" si="153"/>
        <v>#DIV/0!</v>
      </c>
      <c r="CB82" s="383" t="e">
        <f t="shared" si="153"/>
        <v>#DIV/0!</v>
      </c>
      <c r="CC82" s="383" t="e">
        <f t="shared" si="153"/>
        <v>#DIV/0!</v>
      </c>
      <c r="CD82" s="383" t="e">
        <f t="shared" si="153"/>
        <v>#DIV/0!</v>
      </c>
      <c r="CE82" s="386" t="s">
        <v>1390</v>
      </c>
      <c r="CF82" s="383" t="e">
        <f t="shared" ref="CF82:CQ88" si="154">IF(BS82="","","〇")</f>
        <v>#DIV/0!</v>
      </c>
      <c r="CG82" s="383" t="e">
        <f t="shared" si="154"/>
        <v>#DIV/0!</v>
      </c>
      <c r="CH82" s="383" t="e">
        <f t="shared" si="154"/>
        <v>#DIV/0!</v>
      </c>
      <c r="CI82" s="383" t="e">
        <f t="shared" si="154"/>
        <v>#DIV/0!</v>
      </c>
      <c r="CJ82" s="383" t="e">
        <f t="shared" si="154"/>
        <v>#DIV/0!</v>
      </c>
      <c r="CK82" s="383" t="e">
        <f t="shared" si="154"/>
        <v>#DIV/0!</v>
      </c>
      <c r="CL82" s="383" t="e">
        <f t="shared" si="154"/>
        <v>#DIV/0!</v>
      </c>
      <c r="CM82" s="383" t="e">
        <f t="shared" si="154"/>
        <v>#DIV/0!</v>
      </c>
      <c r="CN82" s="383" t="e">
        <f t="shared" si="154"/>
        <v>#DIV/0!</v>
      </c>
      <c r="CO82" s="383" t="e">
        <f t="shared" si="154"/>
        <v>#DIV/0!</v>
      </c>
      <c r="CP82" s="383" t="e">
        <f t="shared" si="154"/>
        <v>#DIV/0!</v>
      </c>
      <c r="CQ82" s="383" t="e">
        <f t="shared" si="154"/>
        <v>#DIV/0!</v>
      </c>
    </row>
    <row r="83" spans="3:95">
      <c r="C83" s="391">
        <v>1</v>
      </c>
      <c r="D83" s="391" t="s">
        <v>1404</v>
      </c>
      <c r="E83" s="391">
        <v>1</v>
      </c>
      <c r="F83" s="391" t="s">
        <v>1404</v>
      </c>
      <c r="G83" s="391">
        <v>1</v>
      </c>
      <c r="H83" s="391" t="s">
        <v>1404</v>
      </c>
      <c r="I83" s="390">
        <v>1</v>
      </c>
      <c r="J83" s="390" t="s">
        <v>1405</v>
      </c>
      <c r="K83" s="382" t="s">
        <v>1390</v>
      </c>
      <c r="L83" s="382" t="s">
        <v>1390</v>
      </c>
      <c r="M83" s="391">
        <v>2</v>
      </c>
      <c r="N83" s="391" t="s">
        <v>1404</v>
      </c>
      <c r="O83" s="382" t="s">
        <v>1390</v>
      </c>
      <c r="P83" s="382" t="s">
        <v>1390</v>
      </c>
      <c r="R83" s="386">
        <v>5</v>
      </c>
      <c r="S83" s="383" t="e">
        <f t="shared" si="135"/>
        <v>#DIV/0!</v>
      </c>
      <c r="T83" s="383" t="e">
        <f t="shared" si="135"/>
        <v>#DIV/0!</v>
      </c>
      <c r="U83" s="383" t="e">
        <f t="shared" si="135"/>
        <v>#DIV/0!</v>
      </c>
      <c r="V83" s="383" t="e">
        <f t="shared" si="135"/>
        <v>#DIV/0!</v>
      </c>
      <c r="W83" s="383" t="e">
        <f t="shared" si="135"/>
        <v>#DIV/0!</v>
      </c>
      <c r="X83" s="383" t="e">
        <f t="shared" si="135"/>
        <v>#DIV/0!</v>
      </c>
      <c r="Y83" s="383" t="e">
        <f t="shared" si="135"/>
        <v>#DIV/0!</v>
      </c>
      <c r="Z83" s="383" t="e">
        <f t="shared" si="135"/>
        <v>#DIV/0!</v>
      </c>
      <c r="AA83" s="383" t="e">
        <f t="shared" si="135"/>
        <v>#DIV/0!</v>
      </c>
      <c r="AB83" s="383" t="e">
        <f t="shared" si="135"/>
        <v>#DIV/0!</v>
      </c>
      <c r="AC83" s="383" t="e">
        <f t="shared" si="135"/>
        <v>#DIV/0!</v>
      </c>
      <c r="AD83" s="383" t="e">
        <f t="shared" si="135"/>
        <v>#DIV/0!</v>
      </c>
      <c r="AE83" s="386" t="s">
        <v>1395</v>
      </c>
      <c r="AF83" s="383" t="e">
        <f t="shared" si="151"/>
        <v>#DIV/0!</v>
      </c>
      <c r="AG83" s="383" t="e">
        <f t="shared" si="147"/>
        <v>#DIV/0!</v>
      </c>
      <c r="AH83" s="383" t="e">
        <f t="shared" si="147"/>
        <v>#DIV/0!</v>
      </c>
      <c r="AI83" s="383" t="e">
        <f t="shared" si="147"/>
        <v>#DIV/0!</v>
      </c>
      <c r="AJ83" s="383" t="e">
        <f t="shared" si="147"/>
        <v>#DIV/0!</v>
      </c>
      <c r="AK83" s="383" t="e">
        <f t="shared" si="147"/>
        <v>#DIV/0!</v>
      </c>
      <c r="AL83" s="383" t="e">
        <f t="shared" si="147"/>
        <v>#DIV/0!</v>
      </c>
      <c r="AM83" s="383" t="e">
        <f t="shared" si="147"/>
        <v>#DIV/0!</v>
      </c>
      <c r="AN83" s="383" t="e">
        <f t="shared" si="147"/>
        <v>#DIV/0!</v>
      </c>
      <c r="AO83" s="383" t="e">
        <f t="shared" si="147"/>
        <v>#DIV/0!</v>
      </c>
      <c r="AP83" s="383" t="e">
        <f t="shared" si="147"/>
        <v>#DIV/0!</v>
      </c>
      <c r="AQ83" s="383" t="e">
        <f t="shared" si="147"/>
        <v>#DIV/0!</v>
      </c>
      <c r="AR83" s="386" t="s">
        <v>1390</v>
      </c>
      <c r="AS83" s="383" t="e">
        <f t="shared" si="148"/>
        <v>#DIV/0!</v>
      </c>
      <c r="AT83" s="383" t="e">
        <f t="shared" si="148"/>
        <v>#DIV/0!</v>
      </c>
      <c r="AU83" s="383" t="e">
        <f t="shared" si="148"/>
        <v>#DIV/0!</v>
      </c>
      <c r="AV83" s="383" t="e">
        <f t="shared" si="148"/>
        <v>#DIV/0!</v>
      </c>
      <c r="AW83" s="383" t="e">
        <f t="shared" si="148"/>
        <v>#DIV/0!</v>
      </c>
      <c r="AX83" s="383" t="e">
        <f t="shared" si="148"/>
        <v>#DIV/0!</v>
      </c>
      <c r="AY83" s="383" t="e">
        <f t="shared" si="148"/>
        <v>#DIV/0!</v>
      </c>
      <c r="AZ83" s="383" t="e">
        <f t="shared" si="148"/>
        <v>#DIV/0!</v>
      </c>
      <c r="BA83" s="383" t="e">
        <f t="shared" si="148"/>
        <v>#DIV/0!</v>
      </c>
      <c r="BB83" s="383" t="e">
        <f t="shared" si="148"/>
        <v>#DIV/0!</v>
      </c>
      <c r="BC83" s="383" t="e">
        <f t="shared" si="148"/>
        <v>#DIV/0!</v>
      </c>
      <c r="BD83" s="383" t="e">
        <f t="shared" si="148"/>
        <v>#DIV/0!</v>
      </c>
      <c r="BE83" s="386" t="s">
        <v>1396</v>
      </c>
      <c r="BF83" s="383" t="e">
        <f>IF(AS83="","",IF(BF$18&gt;=1,"〇",""))</f>
        <v>#DIV/0!</v>
      </c>
      <c r="BG83" s="383" t="e">
        <f t="shared" ref="BG83:BQ83" si="155">IF(AT83="","",IF(BG$18&gt;=1,"〇",""))</f>
        <v>#DIV/0!</v>
      </c>
      <c r="BH83" s="383" t="e">
        <f t="shared" si="155"/>
        <v>#DIV/0!</v>
      </c>
      <c r="BI83" s="383" t="e">
        <f t="shared" si="155"/>
        <v>#DIV/0!</v>
      </c>
      <c r="BJ83" s="383" t="e">
        <f t="shared" si="155"/>
        <v>#DIV/0!</v>
      </c>
      <c r="BK83" s="383" t="e">
        <f t="shared" si="155"/>
        <v>#DIV/0!</v>
      </c>
      <c r="BL83" s="383" t="e">
        <f t="shared" si="155"/>
        <v>#DIV/0!</v>
      </c>
      <c r="BM83" s="383" t="e">
        <f t="shared" si="155"/>
        <v>#DIV/0!</v>
      </c>
      <c r="BN83" s="383" t="e">
        <f t="shared" si="155"/>
        <v>#DIV/0!</v>
      </c>
      <c r="BO83" s="383" t="e">
        <f t="shared" si="155"/>
        <v>#DIV/0!</v>
      </c>
      <c r="BP83" s="383" t="e">
        <f t="shared" si="155"/>
        <v>#DIV/0!</v>
      </c>
      <c r="BQ83" s="383" t="e">
        <f t="shared" si="155"/>
        <v>#DIV/0!</v>
      </c>
      <c r="BR83" s="386" t="s">
        <v>1390</v>
      </c>
      <c r="BS83" s="383" t="e">
        <f t="shared" ref="BS83:CD88" si="156">IF(BF83="","","〇")</f>
        <v>#DIV/0!</v>
      </c>
      <c r="BT83" s="383" t="e">
        <f t="shared" si="156"/>
        <v>#DIV/0!</v>
      </c>
      <c r="BU83" s="383" t="e">
        <f t="shared" si="156"/>
        <v>#DIV/0!</v>
      </c>
      <c r="BV83" s="383" t="e">
        <f t="shared" si="156"/>
        <v>#DIV/0!</v>
      </c>
      <c r="BW83" s="383" t="e">
        <f t="shared" si="156"/>
        <v>#DIV/0!</v>
      </c>
      <c r="BX83" s="383" t="e">
        <f t="shared" si="156"/>
        <v>#DIV/0!</v>
      </c>
      <c r="BY83" s="383" t="e">
        <f t="shared" si="156"/>
        <v>#DIV/0!</v>
      </c>
      <c r="BZ83" s="383" t="e">
        <f t="shared" si="156"/>
        <v>#DIV/0!</v>
      </c>
      <c r="CA83" s="383" t="e">
        <f t="shared" si="156"/>
        <v>#DIV/0!</v>
      </c>
      <c r="CB83" s="383" t="e">
        <f t="shared" si="156"/>
        <v>#DIV/0!</v>
      </c>
      <c r="CC83" s="383" t="e">
        <f t="shared" si="156"/>
        <v>#DIV/0!</v>
      </c>
      <c r="CD83" s="383" t="e">
        <f t="shared" si="156"/>
        <v>#DIV/0!</v>
      </c>
      <c r="CE83" s="386" t="s">
        <v>1390</v>
      </c>
      <c r="CF83" s="383" t="e">
        <f t="shared" si="154"/>
        <v>#DIV/0!</v>
      </c>
      <c r="CG83" s="383" t="e">
        <f t="shared" si="154"/>
        <v>#DIV/0!</v>
      </c>
      <c r="CH83" s="383" t="e">
        <f t="shared" si="154"/>
        <v>#DIV/0!</v>
      </c>
      <c r="CI83" s="383" t="e">
        <f t="shared" si="154"/>
        <v>#DIV/0!</v>
      </c>
      <c r="CJ83" s="383" t="e">
        <f t="shared" si="154"/>
        <v>#DIV/0!</v>
      </c>
      <c r="CK83" s="383" t="e">
        <f t="shared" si="154"/>
        <v>#DIV/0!</v>
      </c>
      <c r="CL83" s="383" t="e">
        <f t="shared" si="154"/>
        <v>#DIV/0!</v>
      </c>
      <c r="CM83" s="383" t="e">
        <f t="shared" si="154"/>
        <v>#DIV/0!</v>
      </c>
      <c r="CN83" s="383" t="e">
        <f t="shared" si="154"/>
        <v>#DIV/0!</v>
      </c>
      <c r="CO83" s="383" t="e">
        <f t="shared" si="154"/>
        <v>#DIV/0!</v>
      </c>
      <c r="CP83" s="383" t="e">
        <f t="shared" si="154"/>
        <v>#DIV/0!</v>
      </c>
      <c r="CQ83" s="383" t="e">
        <f t="shared" si="154"/>
        <v>#DIV/0!</v>
      </c>
    </row>
    <row r="84" spans="3:95">
      <c r="C84" s="391">
        <v>1</v>
      </c>
      <c r="D84" s="391" t="s">
        <v>1404</v>
      </c>
      <c r="E84" s="391">
        <v>1</v>
      </c>
      <c r="F84" s="391" t="s">
        <v>1404</v>
      </c>
      <c r="G84" s="391">
        <v>1</v>
      </c>
      <c r="H84" s="391" t="s">
        <v>1404</v>
      </c>
      <c r="I84" s="391">
        <v>1</v>
      </c>
      <c r="J84" s="391" t="s">
        <v>1404</v>
      </c>
      <c r="K84" s="382" t="s">
        <v>1390</v>
      </c>
      <c r="L84" s="382" t="s">
        <v>1390</v>
      </c>
      <c r="M84" s="382" t="s">
        <v>1390</v>
      </c>
      <c r="N84" s="382" t="s">
        <v>1390</v>
      </c>
      <c r="O84" s="382" t="s">
        <v>1390</v>
      </c>
      <c r="P84" s="382" t="s">
        <v>1390</v>
      </c>
      <c r="R84" s="386">
        <v>6</v>
      </c>
      <c r="S84" s="383" t="e">
        <f>IF(AND(S$18&gt;=6,S$18&lt;7),"〇","")</f>
        <v>#DIV/0!</v>
      </c>
      <c r="T84" s="383" t="e">
        <f t="shared" ref="T84:AD84" si="157">IF(AND(T$18&gt;=6,T$18&lt;7),"〇","")</f>
        <v>#DIV/0!</v>
      </c>
      <c r="U84" s="383" t="e">
        <f t="shared" si="157"/>
        <v>#DIV/0!</v>
      </c>
      <c r="V84" s="383" t="e">
        <f t="shared" si="157"/>
        <v>#DIV/0!</v>
      </c>
      <c r="W84" s="383" t="e">
        <f t="shared" si="157"/>
        <v>#DIV/0!</v>
      </c>
      <c r="X84" s="383" t="e">
        <f t="shared" si="157"/>
        <v>#DIV/0!</v>
      </c>
      <c r="Y84" s="383" t="e">
        <f t="shared" si="157"/>
        <v>#DIV/0!</v>
      </c>
      <c r="Z84" s="383" t="e">
        <f t="shared" si="157"/>
        <v>#DIV/0!</v>
      </c>
      <c r="AA84" s="383" t="e">
        <f t="shared" si="157"/>
        <v>#DIV/0!</v>
      </c>
      <c r="AB84" s="383" t="e">
        <f t="shared" si="157"/>
        <v>#DIV/0!</v>
      </c>
      <c r="AC84" s="383" t="e">
        <f t="shared" si="157"/>
        <v>#DIV/0!</v>
      </c>
      <c r="AD84" s="383" t="e">
        <f t="shared" si="157"/>
        <v>#DIV/0!</v>
      </c>
      <c r="AE84" s="386">
        <v>0</v>
      </c>
      <c r="AF84" s="383" t="e">
        <f t="shared" si="39"/>
        <v>#DIV/0!</v>
      </c>
      <c r="AG84" s="383" t="e">
        <f t="shared" si="39"/>
        <v>#DIV/0!</v>
      </c>
      <c r="AH84" s="383" t="e">
        <f t="shared" si="39"/>
        <v>#DIV/0!</v>
      </c>
      <c r="AI84" s="383" t="e">
        <f t="shared" si="39"/>
        <v>#DIV/0!</v>
      </c>
      <c r="AJ84" s="383" t="e">
        <f t="shared" si="39"/>
        <v>#DIV/0!</v>
      </c>
      <c r="AK84" s="383" t="e">
        <f t="shared" si="39"/>
        <v>#DIV/0!</v>
      </c>
      <c r="AL84" s="383" t="e">
        <f t="shared" si="39"/>
        <v>#DIV/0!</v>
      </c>
      <c r="AM84" s="383" t="e">
        <f t="shared" si="39"/>
        <v>#DIV/0!</v>
      </c>
      <c r="AN84" s="383" t="e">
        <f t="shared" si="39"/>
        <v>#DIV/0!</v>
      </c>
      <c r="AO84" s="383" t="e">
        <f t="shared" si="39"/>
        <v>#DIV/0!</v>
      </c>
      <c r="AP84" s="383" t="e">
        <f t="shared" si="39"/>
        <v>#DIV/0!</v>
      </c>
      <c r="AQ84" s="383" t="e">
        <f t="shared" si="39"/>
        <v>#DIV/0!</v>
      </c>
      <c r="AR84" s="386">
        <v>0</v>
      </c>
      <c r="AS84" s="383" t="e">
        <f t="shared" ref="AS84:BD92" si="158">IF(AF84="","",IF(AS$18=$AR84,"〇",""))</f>
        <v>#DIV/0!</v>
      </c>
      <c r="AT84" s="383" t="e">
        <f t="shared" si="158"/>
        <v>#DIV/0!</v>
      </c>
      <c r="AU84" s="383" t="e">
        <f t="shared" si="158"/>
        <v>#DIV/0!</v>
      </c>
      <c r="AV84" s="383" t="e">
        <f t="shared" si="158"/>
        <v>#DIV/0!</v>
      </c>
      <c r="AW84" s="383" t="e">
        <f t="shared" si="158"/>
        <v>#DIV/0!</v>
      </c>
      <c r="AX84" s="383" t="e">
        <f t="shared" si="158"/>
        <v>#DIV/0!</v>
      </c>
      <c r="AY84" s="383" t="e">
        <f t="shared" si="158"/>
        <v>#DIV/0!</v>
      </c>
      <c r="AZ84" s="383" t="e">
        <f t="shared" si="158"/>
        <v>#DIV/0!</v>
      </c>
      <c r="BA84" s="383" t="e">
        <f t="shared" si="158"/>
        <v>#DIV/0!</v>
      </c>
      <c r="BB84" s="383" t="e">
        <f t="shared" si="158"/>
        <v>#DIV/0!</v>
      </c>
      <c r="BC84" s="383" t="e">
        <f t="shared" si="158"/>
        <v>#DIV/0!</v>
      </c>
      <c r="BD84" s="383" t="e">
        <f t="shared" si="158"/>
        <v>#DIV/0!</v>
      </c>
      <c r="BE84" s="386" t="s">
        <v>1390</v>
      </c>
      <c r="BF84" s="383" t="e">
        <f t="shared" ref="BF84:BQ88" si="159">IF(AS84="","","〇")</f>
        <v>#DIV/0!</v>
      </c>
      <c r="BG84" s="383" t="e">
        <f t="shared" si="159"/>
        <v>#DIV/0!</v>
      </c>
      <c r="BH84" s="383" t="e">
        <f t="shared" si="159"/>
        <v>#DIV/0!</v>
      </c>
      <c r="BI84" s="383" t="e">
        <f t="shared" si="159"/>
        <v>#DIV/0!</v>
      </c>
      <c r="BJ84" s="383" t="e">
        <f t="shared" si="159"/>
        <v>#DIV/0!</v>
      </c>
      <c r="BK84" s="383" t="e">
        <f t="shared" si="159"/>
        <v>#DIV/0!</v>
      </c>
      <c r="BL84" s="383" t="e">
        <f t="shared" si="159"/>
        <v>#DIV/0!</v>
      </c>
      <c r="BM84" s="383" t="e">
        <f t="shared" si="159"/>
        <v>#DIV/0!</v>
      </c>
      <c r="BN84" s="383" t="e">
        <f t="shared" si="159"/>
        <v>#DIV/0!</v>
      </c>
      <c r="BO84" s="383" t="e">
        <f t="shared" si="159"/>
        <v>#DIV/0!</v>
      </c>
      <c r="BP84" s="383" t="e">
        <f t="shared" si="159"/>
        <v>#DIV/0!</v>
      </c>
      <c r="BQ84" s="383" t="e">
        <f t="shared" si="159"/>
        <v>#DIV/0!</v>
      </c>
      <c r="BR84" s="386" t="s">
        <v>1390</v>
      </c>
      <c r="BS84" s="383" t="e">
        <f t="shared" si="156"/>
        <v>#DIV/0!</v>
      </c>
      <c r="BT84" s="383" t="e">
        <f t="shared" si="156"/>
        <v>#DIV/0!</v>
      </c>
      <c r="BU84" s="383" t="e">
        <f t="shared" si="156"/>
        <v>#DIV/0!</v>
      </c>
      <c r="BV84" s="383" t="e">
        <f t="shared" si="156"/>
        <v>#DIV/0!</v>
      </c>
      <c r="BW84" s="383" t="e">
        <f t="shared" si="156"/>
        <v>#DIV/0!</v>
      </c>
      <c r="BX84" s="383" t="e">
        <f t="shared" si="156"/>
        <v>#DIV/0!</v>
      </c>
      <c r="BY84" s="383" t="e">
        <f t="shared" si="156"/>
        <v>#DIV/0!</v>
      </c>
      <c r="BZ84" s="383" t="e">
        <f t="shared" si="156"/>
        <v>#DIV/0!</v>
      </c>
      <c r="CA84" s="383" t="e">
        <f t="shared" si="156"/>
        <v>#DIV/0!</v>
      </c>
      <c r="CB84" s="383" t="e">
        <f t="shared" si="156"/>
        <v>#DIV/0!</v>
      </c>
      <c r="CC84" s="383" t="e">
        <f t="shared" si="156"/>
        <v>#DIV/0!</v>
      </c>
      <c r="CD84" s="383" t="e">
        <f t="shared" si="156"/>
        <v>#DIV/0!</v>
      </c>
      <c r="CE84" s="386" t="s">
        <v>1390</v>
      </c>
      <c r="CF84" s="383" t="e">
        <f t="shared" si="154"/>
        <v>#DIV/0!</v>
      </c>
      <c r="CG84" s="383" t="e">
        <f t="shared" si="154"/>
        <v>#DIV/0!</v>
      </c>
      <c r="CH84" s="383" t="e">
        <f t="shared" si="154"/>
        <v>#DIV/0!</v>
      </c>
      <c r="CI84" s="383" t="e">
        <f t="shared" si="154"/>
        <v>#DIV/0!</v>
      </c>
      <c r="CJ84" s="383" t="e">
        <f t="shared" si="154"/>
        <v>#DIV/0!</v>
      </c>
      <c r="CK84" s="383" t="e">
        <f t="shared" si="154"/>
        <v>#DIV/0!</v>
      </c>
      <c r="CL84" s="383" t="e">
        <f t="shared" si="154"/>
        <v>#DIV/0!</v>
      </c>
      <c r="CM84" s="383" t="e">
        <f t="shared" si="154"/>
        <v>#DIV/0!</v>
      </c>
      <c r="CN84" s="383" t="e">
        <f t="shared" si="154"/>
        <v>#DIV/0!</v>
      </c>
      <c r="CO84" s="383" t="e">
        <f t="shared" si="154"/>
        <v>#DIV/0!</v>
      </c>
      <c r="CP84" s="383" t="e">
        <f t="shared" si="154"/>
        <v>#DIV/0!</v>
      </c>
      <c r="CQ84" s="383" t="e">
        <f t="shared" si="154"/>
        <v>#DIV/0!</v>
      </c>
    </row>
    <row r="85" spans="3:95">
      <c r="C85" s="391">
        <v>1</v>
      </c>
      <c r="D85" s="391" t="s">
        <v>1404</v>
      </c>
      <c r="E85" s="391">
        <v>1</v>
      </c>
      <c r="F85" s="391" t="s">
        <v>1404</v>
      </c>
      <c r="G85" s="391">
        <v>1</v>
      </c>
      <c r="H85" s="391" t="s">
        <v>1404</v>
      </c>
      <c r="I85" s="391">
        <v>1</v>
      </c>
      <c r="J85" s="391" t="s">
        <v>1404</v>
      </c>
      <c r="K85" s="382" t="s">
        <v>1390</v>
      </c>
      <c r="L85" s="382" t="s">
        <v>1390</v>
      </c>
      <c r="M85" s="382" t="s">
        <v>1390</v>
      </c>
      <c r="N85" s="382" t="s">
        <v>1390</v>
      </c>
      <c r="O85" s="391">
        <v>1</v>
      </c>
      <c r="P85" s="391" t="s">
        <v>1404</v>
      </c>
      <c r="R85" s="386">
        <v>6</v>
      </c>
      <c r="S85" s="383" t="e">
        <f t="shared" ref="S85:AD96" si="160">IF(AND(S$18&gt;=6,S$18&lt;7),"〇","")</f>
        <v>#DIV/0!</v>
      </c>
      <c r="T85" s="383" t="e">
        <f t="shared" si="160"/>
        <v>#DIV/0!</v>
      </c>
      <c r="U85" s="383" t="e">
        <f t="shared" si="160"/>
        <v>#DIV/0!</v>
      </c>
      <c r="V85" s="383" t="e">
        <f t="shared" si="160"/>
        <v>#DIV/0!</v>
      </c>
      <c r="W85" s="383" t="e">
        <f t="shared" si="160"/>
        <v>#DIV/0!</v>
      </c>
      <c r="X85" s="383" t="e">
        <f t="shared" si="160"/>
        <v>#DIV/0!</v>
      </c>
      <c r="Y85" s="383" t="e">
        <f t="shared" si="160"/>
        <v>#DIV/0!</v>
      </c>
      <c r="Z85" s="383" t="e">
        <f t="shared" si="160"/>
        <v>#DIV/0!</v>
      </c>
      <c r="AA85" s="383" t="e">
        <f t="shared" si="160"/>
        <v>#DIV/0!</v>
      </c>
      <c r="AB85" s="383" t="e">
        <f t="shared" si="160"/>
        <v>#DIV/0!</v>
      </c>
      <c r="AC85" s="383" t="e">
        <f t="shared" si="160"/>
        <v>#DIV/0!</v>
      </c>
      <c r="AD85" s="383" t="e">
        <f t="shared" si="160"/>
        <v>#DIV/0!</v>
      </c>
      <c r="AE85" s="386">
        <v>0</v>
      </c>
      <c r="AF85" s="383" t="e">
        <f t="shared" ref="AF85:AQ113" si="161">IF(S85="","",IF(AF$18=0,"〇",""))</f>
        <v>#DIV/0!</v>
      </c>
      <c r="AG85" s="383" t="e">
        <f t="shared" si="161"/>
        <v>#DIV/0!</v>
      </c>
      <c r="AH85" s="383" t="e">
        <f t="shared" si="161"/>
        <v>#DIV/0!</v>
      </c>
      <c r="AI85" s="383" t="e">
        <f t="shared" si="161"/>
        <v>#DIV/0!</v>
      </c>
      <c r="AJ85" s="383" t="e">
        <f t="shared" si="161"/>
        <v>#DIV/0!</v>
      </c>
      <c r="AK85" s="383" t="e">
        <f t="shared" si="161"/>
        <v>#DIV/0!</v>
      </c>
      <c r="AL85" s="383" t="e">
        <f t="shared" si="161"/>
        <v>#DIV/0!</v>
      </c>
      <c r="AM85" s="383" t="e">
        <f t="shared" si="161"/>
        <v>#DIV/0!</v>
      </c>
      <c r="AN85" s="383" t="e">
        <f t="shared" si="161"/>
        <v>#DIV/0!</v>
      </c>
      <c r="AO85" s="383" t="e">
        <f t="shared" si="161"/>
        <v>#DIV/0!</v>
      </c>
      <c r="AP85" s="383" t="e">
        <f t="shared" si="161"/>
        <v>#DIV/0!</v>
      </c>
      <c r="AQ85" s="383" t="e">
        <f t="shared" si="161"/>
        <v>#DIV/0!</v>
      </c>
      <c r="AR85" s="386">
        <v>1</v>
      </c>
      <c r="AS85" s="383" t="e">
        <f t="shared" si="158"/>
        <v>#DIV/0!</v>
      </c>
      <c r="AT85" s="383" t="e">
        <f t="shared" si="158"/>
        <v>#DIV/0!</v>
      </c>
      <c r="AU85" s="383" t="e">
        <f t="shared" si="158"/>
        <v>#DIV/0!</v>
      </c>
      <c r="AV85" s="383" t="e">
        <f t="shared" si="158"/>
        <v>#DIV/0!</v>
      </c>
      <c r="AW85" s="383" t="e">
        <f t="shared" si="158"/>
        <v>#DIV/0!</v>
      </c>
      <c r="AX85" s="383" t="e">
        <f t="shared" si="158"/>
        <v>#DIV/0!</v>
      </c>
      <c r="AY85" s="383" t="e">
        <f t="shared" si="158"/>
        <v>#DIV/0!</v>
      </c>
      <c r="AZ85" s="383" t="e">
        <f t="shared" si="158"/>
        <v>#DIV/0!</v>
      </c>
      <c r="BA85" s="383" t="e">
        <f t="shared" si="158"/>
        <v>#DIV/0!</v>
      </c>
      <c r="BB85" s="383" t="e">
        <f t="shared" si="158"/>
        <v>#DIV/0!</v>
      </c>
      <c r="BC85" s="383" t="e">
        <f t="shared" si="158"/>
        <v>#DIV/0!</v>
      </c>
      <c r="BD85" s="383" t="e">
        <f t="shared" si="158"/>
        <v>#DIV/0!</v>
      </c>
      <c r="BE85" s="386" t="s">
        <v>1390</v>
      </c>
      <c r="BF85" s="383" t="e">
        <f t="shared" si="159"/>
        <v>#DIV/0!</v>
      </c>
      <c r="BG85" s="383" t="e">
        <f t="shared" si="159"/>
        <v>#DIV/0!</v>
      </c>
      <c r="BH85" s="383" t="e">
        <f t="shared" si="159"/>
        <v>#DIV/0!</v>
      </c>
      <c r="BI85" s="383" t="e">
        <f t="shared" si="159"/>
        <v>#DIV/0!</v>
      </c>
      <c r="BJ85" s="383" t="e">
        <f t="shared" si="159"/>
        <v>#DIV/0!</v>
      </c>
      <c r="BK85" s="383" t="e">
        <f t="shared" si="159"/>
        <v>#DIV/0!</v>
      </c>
      <c r="BL85" s="383" t="e">
        <f t="shared" si="159"/>
        <v>#DIV/0!</v>
      </c>
      <c r="BM85" s="383" t="e">
        <f t="shared" si="159"/>
        <v>#DIV/0!</v>
      </c>
      <c r="BN85" s="383" t="e">
        <f t="shared" si="159"/>
        <v>#DIV/0!</v>
      </c>
      <c r="BO85" s="383" t="e">
        <f t="shared" si="159"/>
        <v>#DIV/0!</v>
      </c>
      <c r="BP85" s="383" t="e">
        <f t="shared" si="159"/>
        <v>#DIV/0!</v>
      </c>
      <c r="BQ85" s="383" t="e">
        <f t="shared" si="159"/>
        <v>#DIV/0!</v>
      </c>
      <c r="BR85" s="386" t="s">
        <v>1390</v>
      </c>
      <c r="BS85" s="383" t="e">
        <f t="shared" si="156"/>
        <v>#DIV/0!</v>
      </c>
      <c r="BT85" s="383" t="e">
        <f t="shared" si="156"/>
        <v>#DIV/0!</v>
      </c>
      <c r="BU85" s="383" t="e">
        <f t="shared" si="156"/>
        <v>#DIV/0!</v>
      </c>
      <c r="BV85" s="383" t="e">
        <f t="shared" si="156"/>
        <v>#DIV/0!</v>
      </c>
      <c r="BW85" s="383" t="e">
        <f t="shared" si="156"/>
        <v>#DIV/0!</v>
      </c>
      <c r="BX85" s="383" t="e">
        <f t="shared" si="156"/>
        <v>#DIV/0!</v>
      </c>
      <c r="BY85" s="383" t="e">
        <f t="shared" si="156"/>
        <v>#DIV/0!</v>
      </c>
      <c r="BZ85" s="383" t="e">
        <f t="shared" si="156"/>
        <v>#DIV/0!</v>
      </c>
      <c r="CA85" s="383" t="e">
        <f t="shared" si="156"/>
        <v>#DIV/0!</v>
      </c>
      <c r="CB85" s="383" t="e">
        <f t="shared" si="156"/>
        <v>#DIV/0!</v>
      </c>
      <c r="CC85" s="383" t="e">
        <f t="shared" si="156"/>
        <v>#DIV/0!</v>
      </c>
      <c r="CD85" s="383" t="e">
        <f t="shared" si="156"/>
        <v>#DIV/0!</v>
      </c>
      <c r="CE85" s="386" t="s">
        <v>1390</v>
      </c>
      <c r="CF85" s="383" t="e">
        <f t="shared" si="154"/>
        <v>#DIV/0!</v>
      </c>
      <c r="CG85" s="383" t="e">
        <f t="shared" si="154"/>
        <v>#DIV/0!</v>
      </c>
      <c r="CH85" s="383" t="e">
        <f t="shared" si="154"/>
        <v>#DIV/0!</v>
      </c>
      <c r="CI85" s="383" t="e">
        <f t="shared" si="154"/>
        <v>#DIV/0!</v>
      </c>
      <c r="CJ85" s="383" t="e">
        <f t="shared" si="154"/>
        <v>#DIV/0!</v>
      </c>
      <c r="CK85" s="383" t="e">
        <f t="shared" si="154"/>
        <v>#DIV/0!</v>
      </c>
      <c r="CL85" s="383" t="e">
        <f t="shared" si="154"/>
        <v>#DIV/0!</v>
      </c>
      <c r="CM85" s="383" t="e">
        <f t="shared" si="154"/>
        <v>#DIV/0!</v>
      </c>
      <c r="CN85" s="383" t="e">
        <f t="shared" si="154"/>
        <v>#DIV/0!</v>
      </c>
      <c r="CO85" s="383" t="e">
        <f t="shared" si="154"/>
        <v>#DIV/0!</v>
      </c>
      <c r="CP85" s="383" t="e">
        <f t="shared" si="154"/>
        <v>#DIV/0!</v>
      </c>
      <c r="CQ85" s="383" t="e">
        <f t="shared" si="154"/>
        <v>#DIV/0!</v>
      </c>
    </row>
    <row r="86" spans="3:95">
      <c r="C86" s="391">
        <v>1</v>
      </c>
      <c r="D86" s="391" t="s">
        <v>1404</v>
      </c>
      <c r="E86" s="391">
        <v>1</v>
      </c>
      <c r="F86" s="391" t="s">
        <v>1404</v>
      </c>
      <c r="G86" s="391">
        <v>1</v>
      </c>
      <c r="H86" s="391" t="s">
        <v>1404</v>
      </c>
      <c r="I86" s="391">
        <v>1</v>
      </c>
      <c r="J86" s="391" t="s">
        <v>1404</v>
      </c>
      <c r="K86" s="382" t="s">
        <v>1390</v>
      </c>
      <c r="L86" s="382" t="s">
        <v>1390</v>
      </c>
      <c r="M86" s="391">
        <v>1</v>
      </c>
      <c r="N86" s="391" t="s">
        <v>1404</v>
      </c>
      <c r="O86" s="382" t="s">
        <v>1390</v>
      </c>
      <c r="P86" s="382" t="s">
        <v>1390</v>
      </c>
      <c r="R86" s="386">
        <v>6</v>
      </c>
      <c r="S86" s="383" t="e">
        <f t="shared" si="160"/>
        <v>#DIV/0!</v>
      </c>
      <c r="T86" s="383" t="e">
        <f t="shared" si="160"/>
        <v>#DIV/0!</v>
      </c>
      <c r="U86" s="383" t="e">
        <f t="shared" si="160"/>
        <v>#DIV/0!</v>
      </c>
      <c r="V86" s="383" t="e">
        <f t="shared" si="160"/>
        <v>#DIV/0!</v>
      </c>
      <c r="W86" s="383" t="e">
        <f t="shared" si="160"/>
        <v>#DIV/0!</v>
      </c>
      <c r="X86" s="383" t="e">
        <f t="shared" si="160"/>
        <v>#DIV/0!</v>
      </c>
      <c r="Y86" s="383" t="e">
        <f t="shared" si="160"/>
        <v>#DIV/0!</v>
      </c>
      <c r="Z86" s="383" t="e">
        <f t="shared" si="160"/>
        <v>#DIV/0!</v>
      </c>
      <c r="AA86" s="383" t="e">
        <f t="shared" si="160"/>
        <v>#DIV/0!</v>
      </c>
      <c r="AB86" s="383" t="e">
        <f t="shared" si="160"/>
        <v>#DIV/0!</v>
      </c>
      <c r="AC86" s="383" t="e">
        <f t="shared" si="160"/>
        <v>#DIV/0!</v>
      </c>
      <c r="AD86" s="383" t="e">
        <f t="shared" si="160"/>
        <v>#DIV/0!</v>
      </c>
      <c r="AE86" s="386">
        <v>1</v>
      </c>
      <c r="AF86" s="383" t="e">
        <f t="shared" ref="AF86:AQ92" si="162">IF(S86="","",IF(AF$18=$AE86,"〇",""))</f>
        <v>#DIV/0!</v>
      </c>
      <c r="AG86" s="383" t="e">
        <f t="shared" si="162"/>
        <v>#DIV/0!</v>
      </c>
      <c r="AH86" s="383" t="e">
        <f t="shared" si="162"/>
        <v>#DIV/0!</v>
      </c>
      <c r="AI86" s="383" t="e">
        <f t="shared" si="162"/>
        <v>#DIV/0!</v>
      </c>
      <c r="AJ86" s="383" t="e">
        <f t="shared" si="162"/>
        <v>#DIV/0!</v>
      </c>
      <c r="AK86" s="383" t="e">
        <f t="shared" si="162"/>
        <v>#DIV/0!</v>
      </c>
      <c r="AL86" s="383" t="e">
        <f t="shared" si="162"/>
        <v>#DIV/0!</v>
      </c>
      <c r="AM86" s="383" t="e">
        <f t="shared" si="162"/>
        <v>#DIV/0!</v>
      </c>
      <c r="AN86" s="383" t="e">
        <f t="shared" si="162"/>
        <v>#DIV/0!</v>
      </c>
      <c r="AO86" s="383" t="e">
        <f t="shared" si="162"/>
        <v>#DIV/0!</v>
      </c>
      <c r="AP86" s="383" t="e">
        <f t="shared" si="162"/>
        <v>#DIV/0!</v>
      </c>
      <c r="AQ86" s="383" t="e">
        <f t="shared" si="162"/>
        <v>#DIV/0!</v>
      </c>
      <c r="AR86" s="386">
        <v>0</v>
      </c>
      <c r="AS86" s="383" t="e">
        <f t="shared" si="158"/>
        <v>#DIV/0!</v>
      </c>
      <c r="AT86" s="383" t="e">
        <f t="shared" si="158"/>
        <v>#DIV/0!</v>
      </c>
      <c r="AU86" s="383" t="e">
        <f t="shared" si="158"/>
        <v>#DIV/0!</v>
      </c>
      <c r="AV86" s="383" t="e">
        <f t="shared" si="158"/>
        <v>#DIV/0!</v>
      </c>
      <c r="AW86" s="383" t="e">
        <f t="shared" si="158"/>
        <v>#DIV/0!</v>
      </c>
      <c r="AX86" s="383" t="e">
        <f t="shared" si="158"/>
        <v>#DIV/0!</v>
      </c>
      <c r="AY86" s="383" t="e">
        <f t="shared" si="158"/>
        <v>#DIV/0!</v>
      </c>
      <c r="AZ86" s="383" t="e">
        <f t="shared" si="158"/>
        <v>#DIV/0!</v>
      </c>
      <c r="BA86" s="383" t="e">
        <f t="shared" si="158"/>
        <v>#DIV/0!</v>
      </c>
      <c r="BB86" s="383" t="e">
        <f t="shared" si="158"/>
        <v>#DIV/0!</v>
      </c>
      <c r="BC86" s="383" t="e">
        <f t="shared" si="158"/>
        <v>#DIV/0!</v>
      </c>
      <c r="BD86" s="383" t="e">
        <f t="shared" si="158"/>
        <v>#DIV/0!</v>
      </c>
      <c r="BE86" s="386" t="s">
        <v>1390</v>
      </c>
      <c r="BF86" s="383" t="e">
        <f t="shared" si="159"/>
        <v>#DIV/0!</v>
      </c>
      <c r="BG86" s="383" t="e">
        <f t="shared" si="159"/>
        <v>#DIV/0!</v>
      </c>
      <c r="BH86" s="383" t="e">
        <f t="shared" si="159"/>
        <v>#DIV/0!</v>
      </c>
      <c r="BI86" s="383" t="e">
        <f t="shared" si="159"/>
        <v>#DIV/0!</v>
      </c>
      <c r="BJ86" s="383" t="e">
        <f t="shared" si="159"/>
        <v>#DIV/0!</v>
      </c>
      <c r="BK86" s="383" t="e">
        <f t="shared" si="159"/>
        <v>#DIV/0!</v>
      </c>
      <c r="BL86" s="383" t="e">
        <f t="shared" si="159"/>
        <v>#DIV/0!</v>
      </c>
      <c r="BM86" s="383" t="e">
        <f t="shared" si="159"/>
        <v>#DIV/0!</v>
      </c>
      <c r="BN86" s="383" t="e">
        <f t="shared" si="159"/>
        <v>#DIV/0!</v>
      </c>
      <c r="BO86" s="383" t="e">
        <f t="shared" si="159"/>
        <v>#DIV/0!</v>
      </c>
      <c r="BP86" s="383" t="e">
        <f t="shared" si="159"/>
        <v>#DIV/0!</v>
      </c>
      <c r="BQ86" s="383" t="e">
        <f t="shared" si="159"/>
        <v>#DIV/0!</v>
      </c>
      <c r="BR86" s="386" t="s">
        <v>1390</v>
      </c>
      <c r="BS86" s="383" t="e">
        <f t="shared" si="156"/>
        <v>#DIV/0!</v>
      </c>
      <c r="BT86" s="383" t="e">
        <f t="shared" si="156"/>
        <v>#DIV/0!</v>
      </c>
      <c r="BU86" s="383" t="e">
        <f t="shared" si="156"/>
        <v>#DIV/0!</v>
      </c>
      <c r="BV86" s="383" t="e">
        <f t="shared" si="156"/>
        <v>#DIV/0!</v>
      </c>
      <c r="BW86" s="383" t="e">
        <f t="shared" si="156"/>
        <v>#DIV/0!</v>
      </c>
      <c r="BX86" s="383" t="e">
        <f t="shared" si="156"/>
        <v>#DIV/0!</v>
      </c>
      <c r="BY86" s="383" t="e">
        <f t="shared" si="156"/>
        <v>#DIV/0!</v>
      </c>
      <c r="BZ86" s="383" t="e">
        <f t="shared" si="156"/>
        <v>#DIV/0!</v>
      </c>
      <c r="CA86" s="383" t="e">
        <f t="shared" si="156"/>
        <v>#DIV/0!</v>
      </c>
      <c r="CB86" s="383" t="e">
        <f t="shared" si="156"/>
        <v>#DIV/0!</v>
      </c>
      <c r="CC86" s="383" t="e">
        <f t="shared" si="156"/>
        <v>#DIV/0!</v>
      </c>
      <c r="CD86" s="383" t="e">
        <f t="shared" si="156"/>
        <v>#DIV/0!</v>
      </c>
      <c r="CE86" s="386" t="s">
        <v>1390</v>
      </c>
      <c r="CF86" s="383" t="e">
        <f t="shared" si="154"/>
        <v>#DIV/0!</v>
      </c>
      <c r="CG86" s="383" t="e">
        <f t="shared" si="154"/>
        <v>#DIV/0!</v>
      </c>
      <c r="CH86" s="383" t="e">
        <f t="shared" si="154"/>
        <v>#DIV/0!</v>
      </c>
      <c r="CI86" s="383" t="e">
        <f t="shared" si="154"/>
        <v>#DIV/0!</v>
      </c>
      <c r="CJ86" s="383" t="e">
        <f t="shared" si="154"/>
        <v>#DIV/0!</v>
      </c>
      <c r="CK86" s="383" t="e">
        <f t="shared" si="154"/>
        <v>#DIV/0!</v>
      </c>
      <c r="CL86" s="383" t="e">
        <f t="shared" si="154"/>
        <v>#DIV/0!</v>
      </c>
      <c r="CM86" s="383" t="e">
        <f t="shared" si="154"/>
        <v>#DIV/0!</v>
      </c>
      <c r="CN86" s="383" t="e">
        <f t="shared" si="154"/>
        <v>#DIV/0!</v>
      </c>
      <c r="CO86" s="383" t="e">
        <f t="shared" si="154"/>
        <v>#DIV/0!</v>
      </c>
      <c r="CP86" s="383" t="e">
        <f t="shared" si="154"/>
        <v>#DIV/0!</v>
      </c>
      <c r="CQ86" s="383" t="e">
        <f t="shared" si="154"/>
        <v>#DIV/0!</v>
      </c>
    </row>
    <row r="87" spans="3:95">
      <c r="C87" s="391">
        <v>1</v>
      </c>
      <c r="D87" s="391" t="s">
        <v>1404</v>
      </c>
      <c r="E87" s="391">
        <v>1</v>
      </c>
      <c r="F87" s="391" t="s">
        <v>1404</v>
      </c>
      <c r="G87" s="391">
        <v>1</v>
      </c>
      <c r="H87" s="391" t="s">
        <v>1404</v>
      </c>
      <c r="I87" s="391">
        <v>1</v>
      </c>
      <c r="J87" s="391" t="s">
        <v>1404</v>
      </c>
      <c r="K87" s="382" t="s">
        <v>1390</v>
      </c>
      <c r="L87" s="382" t="s">
        <v>1390</v>
      </c>
      <c r="M87" s="391">
        <v>1</v>
      </c>
      <c r="N87" s="391" t="s">
        <v>1404</v>
      </c>
      <c r="O87" s="391">
        <v>1</v>
      </c>
      <c r="P87" s="391" t="s">
        <v>1404</v>
      </c>
      <c r="R87" s="386">
        <v>6</v>
      </c>
      <c r="S87" s="383" t="e">
        <f t="shared" si="160"/>
        <v>#DIV/0!</v>
      </c>
      <c r="T87" s="383" t="e">
        <f t="shared" si="160"/>
        <v>#DIV/0!</v>
      </c>
      <c r="U87" s="383" t="e">
        <f t="shared" si="160"/>
        <v>#DIV/0!</v>
      </c>
      <c r="V87" s="383" t="e">
        <f t="shared" si="160"/>
        <v>#DIV/0!</v>
      </c>
      <c r="W87" s="383" t="e">
        <f t="shared" si="160"/>
        <v>#DIV/0!</v>
      </c>
      <c r="X87" s="383" t="e">
        <f t="shared" si="160"/>
        <v>#DIV/0!</v>
      </c>
      <c r="Y87" s="383" t="e">
        <f t="shared" si="160"/>
        <v>#DIV/0!</v>
      </c>
      <c r="Z87" s="383" t="e">
        <f t="shared" si="160"/>
        <v>#DIV/0!</v>
      </c>
      <c r="AA87" s="383" t="e">
        <f t="shared" si="160"/>
        <v>#DIV/0!</v>
      </c>
      <c r="AB87" s="383" t="e">
        <f t="shared" si="160"/>
        <v>#DIV/0!</v>
      </c>
      <c r="AC87" s="383" t="e">
        <f t="shared" si="160"/>
        <v>#DIV/0!</v>
      </c>
      <c r="AD87" s="383" t="e">
        <f t="shared" si="160"/>
        <v>#DIV/0!</v>
      </c>
      <c r="AE87" s="386">
        <v>1</v>
      </c>
      <c r="AF87" s="383" t="e">
        <f t="shared" si="162"/>
        <v>#DIV/0!</v>
      </c>
      <c r="AG87" s="383" t="e">
        <f t="shared" si="162"/>
        <v>#DIV/0!</v>
      </c>
      <c r="AH87" s="383" t="e">
        <f t="shared" si="162"/>
        <v>#DIV/0!</v>
      </c>
      <c r="AI87" s="383" t="e">
        <f t="shared" si="162"/>
        <v>#DIV/0!</v>
      </c>
      <c r="AJ87" s="383" t="e">
        <f t="shared" si="162"/>
        <v>#DIV/0!</v>
      </c>
      <c r="AK87" s="383" t="e">
        <f t="shared" si="162"/>
        <v>#DIV/0!</v>
      </c>
      <c r="AL87" s="383" t="e">
        <f t="shared" si="162"/>
        <v>#DIV/0!</v>
      </c>
      <c r="AM87" s="383" t="e">
        <f t="shared" si="162"/>
        <v>#DIV/0!</v>
      </c>
      <c r="AN87" s="383" t="e">
        <f t="shared" si="162"/>
        <v>#DIV/0!</v>
      </c>
      <c r="AO87" s="383" t="e">
        <f t="shared" si="162"/>
        <v>#DIV/0!</v>
      </c>
      <c r="AP87" s="383" t="e">
        <f t="shared" si="162"/>
        <v>#DIV/0!</v>
      </c>
      <c r="AQ87" s="383" t="e">
        <f t="shared" si="162"/>
        <v>#DIV/0!</v>
      </c>
      <c r="AR87" s="386">
        <v>1</v>
      </c>
      <c r="AS87" s="383" t="e">
        <f t="shared" si="158"/>
        <v>#DIV/0!</v>
      </c>
      <c r="AT87" s="383" t="e">
        <f t="shared" si="158"/>
        <v>#DIV/0!</v>
      </c>
      <c r="AU87" s="383" t="e">
        <f t="shared" si="158"/>
        <v>#DIV/0!</v>
      </c>
      <c r="AV87" s="383" t="e">
        <f t="shared" si="158"/>
        <v>#DIV/0!</v>
      </c>
      <c r="AW87" s="383" t="e">
        <f t="shared" si="158"/>
        <v>#DIV/0!</v>
      </c>
      <c r="AX87" s="383" t="e">
        <f t="shared" si="158"/>
        <v>#DIV/0!</v>
      </c>
      <c r="AY87" s="383" t="e">
        <f t="shared" si="158"/>
        <v>#DIV/0!</v>
      </c>
      <c r="AZ87" s="383" t="e">
        <f t="shared" si="158"/>
        <v>#DIV/0!</v>
      </c>
      <c r="BA87" s="383" t="e">
        <f t="shared" si="158"/>
        <v>#DIV/0!</v>
      </c>
      <c r="BB87" s="383" t="e">
        <f t="shared" si="158"/>
        <v>#DIV/0!</v>
      </c>
      <c r="BC87" s="383" t="e">
        <f t="shared" si="158"/>
        <v>#DIV/0!</v>
      </c>
      <c r="BD87" s="383" t="e">
        <f t="shared" si="158"/>
        <v>#DIV/0!</v>
      </c>
      <c r="BE87" s="386" t="s">
        <v>1390</v>
      </c>
      <c r="BF87" s="383" t="e">
        <f t="shared" si="159"/>
        <v>#DIV/0!</v>
      </c>
      <c r="BG87" s="383" t="e">
        <f t="shared" si="159"/>
        <v>#DIV/0!</v>
      </c>
      <c r="BH87" s="383" t="e">
        <f t="shared" si="159"/>
        <v>#DIV/0!</v>
      </c>
      <c r="BI87" s="383" t="e">
        <f t="shared" si="159"/>
        <v>#DIV/0!</v>
      </c>
      <c r="BJ87" s="383" t="e">
        <f t="shared" si="159"/>
        <v>#DIV/0!</v>
      </c>
      <c r="BK87" s="383" t="e">
        <f t="shared" si="159"/>
        <v>#DIV/0!</v>
      </c>
      <c r="BL87" s="383" t="e">
        <f t="shared" si="159"/>
        <v>#DIV/0!</v>
      </c>
      <c r="BM87" s="383" t="e">
        <f t="shared" si="159"/>
        <v>#DIV/0!</v>
      </c>
      <c r="BN87" s="383" t="e">
        <f t="shared" si="159"/>
        <v>#DIV/0!</v>
      </c>
      <c r="BO87" s="383" t="e">
        <f t="shared" si="159"/>
        <v>#DIV/0!</v>
      </c>
      <c r="BP87" s="383" t="e">
        <f t="shared" si="159"/>
        <v>#DIV/0!</v>
      </c>
      <c r="BQ87" s="383" t="e">
        <f t="shared" si="159"/>
        <v>#DIV/0!</v>
      </c>
      <c r="BR87" s="386" t="s">
        <v>1390</v>
      </c>
      <c r="BS87" s="383" t="e">
        <f t="shared" si="156"/>
        <v>#DIV/0!</v>
      </c>
      <c r="BT87" s="383" t="e">
        <f t="shared" si="156"/>
        <v>#DIV/0!</v>
      </c>
      <c r="BU87" s="383" t="e">
        <f t="shared" si="156"/>
        <v>#DIV/0!</v>
      </c>
      <c r="BV87" s="383" t="e">
        <f t="shared" si="156"/>
        <v>#DIV/0!</v>
      </c>
      <c r="BW87" s="383" t="e">
        <f t="shared" si="156"/>
        <v>#DIV/0!</v>
      </c>
      <c r="BX87" s="383" t="e">
        <f t="shared" si="156"/>
        <v>#DIV/0!</v>
      </c>
      <c r="BY87" s="383" t="e">
        <f t="shared" si="156"/>
        <v>#DIV/0!</v>
      </c>
      <c r="BZ87" s="383" t="e">
        <f t="shared" si="156"/>
        <v>#DIV/0!</v>
      </c>
      <c r="CA87" s="383" t="e">
        <f t="shared" si="156"/>
        <v>#DIV/0!</v>
      </c>
      <c r="CB87" s="383" t="e">
        <f t="shared" si="156"/>
        <v>#DIV/0!</v>
      </c>
      <c r="CC87" s="383" t="e">
        <f t="shared" si="156"/>
        <v>#DIV/0!</v>
      </c>
      <c r="CD87" s="383" t="e">
        <f t="shared" si="156"/>
        <v>#DIV/0!</v>
      </c>
      <c r="CE87" s="386" t="s">
        <v>1390</v>
      </c>
      <c r="CF87" s="383" t="e">
        <f t="shared" si="154"/>
        <v>#DIV/0!</v>
      </c>
      <c r="CG87" s="383" t="e">
        <f t="shared" si="154"/>
        <v>#DIV/0!</v>
      </c>
      <c r="CH87" s="383" t="e">
        <f t="shared" si="154"/>
        <v>#DIV/0!</v>
      </c>
      <c r="CI87" s="383" t="e">
        <f t="shared" si="154"/>
        <v>#DIV/0!</v>
      </c>
      <c r="CJ87" s="383" t="e">
        <f t="shared" si="154"/>
        <v>#DIV/0!</v>
      </c>
      <c r="CK87" s="383" t="e">
        <f t="shared" si="154"/>
        <v>#DIV/0!</v>
      </c>
      <c r="CL87" s="383" t="e">
        <f t="shared" si="154"/>
        <v>#DIV/0!</v>
      </c>
      <c r="CM87" s="383" t="e">
        <f t="shared" si="154"/>
        <v>#DIV/0!</v>
      </c>
      <c r="CN87" s="383" t="e">
        <f t="shared" si="154"/>
        <v>#DIV/0!</v>
      </c>
      <c r="CO87" s="383" t="e">
        <f t="shared" si="154"/>
        <v>#DIV/0!</v>
      </c>
      <c r="CP87" s="383" t="e">
        <f t="shared" si="154"/>
        <v>#DIV/0!</v>
      </c>
      <c r="CQ87" s="383" t="e">
        <f t="shared" si="154"/>
        <v>#DIV/0!</v>
      </c>
    </row>
    <row r="88" spans="3:95">
      <c r="C88" s="391">
        <v>1</v>
      </c>
      <c r="D88" s="391" t="s">
        <v>1404</v>
      </c>
      <c r="E88" s="391">
        <v>1</v>
      </c>
      <c r="F88" s="391" t="s">
        <v>1404</v>
      </c>
      <c r="G88" s="391">
        <v>1</v>
      </c>
      <c r="H88" s="391" t="s">
        <v>1404</v>
      </c>
      <c r="I88" s="391">
        <v>1</v>
      </c>
      <c r="J88" s="391" t="s">
        <v>1404</v>
      </c>
      <c r="K88" s="382" t="s">
        <v>1390</v>
      </c>
      <c r="L88" s="382" t="s">
        <v>1390</v>
      </c>
      <c r="M88" s="391">
        <v>2</v>
      </c>
      <c r="N88" s="391" t="s">
        <v>1404</v>
      </c>
      <c r="O88" s="382" t="s">
        <v>1390</v>
      </c>
      <c r="P88" s="382" t="s">
        <v>1390</v>
      </c>
      <c r="R88" s="386">
        <v>6</v>
      </c>
      <c r="S88" s="383" t="e">
        <f t="shared" si="160"/>
        <v>#DIV/0!</v>
      </c>
      <c r="T88" s="383" t="e">
        <f t="shared" si="160"/>
        <v>#DIV/0!</v>
      </c>
      <c r="U88" s="383" t="e">
        <f t="shared" si="160"/>
        <v>#DIV/0!</v>
      </c>
      <c r="V88" s="383" t="e">
        <f t="shared" si="160"/>
        <v>#DIV/0!</v>
      </c>
      <c r="W88" s="383" t="e">
        <f t="shared" si="160"/>
        <v>#DIV/0!</v>
      </c>
      <c r="X88" s="383" t="e">
        <f t="shared" si="160"/>
        <v>#DIV/0!</v>
      </c>
      <c r="Y88" s="383" t="e">
        <f t="shared" si="160"/>
        <v>#DIV/0!</v>
      </c>
      <c r="Z88" s="383" t="e">
        <f t="shared" si="160"/>
        <v>#DIV/0!</v>
      </c>
      <c r="AA88" s="383" t="e">
        <f t="shared" si="160"/>
        <v>#DIV/0!</v>
      </c>
      <c r="AB88" s="383" t="e">
        <f t="shared" si="160"/>
        <v>#DIV/0!</v>
      </c>
      <c r="AC88" s="383" t="e">
        <f t="shared" si="160"/>
        <v>#DIV/0!</v>
      </c>
      <c r="AD88" s="383" t="e">
        <f t="shared" si="160"/>
        <v>#DIV/0!</v>
      </c>
      <c r="AE88" s="386">
        <v>2</v>
      </c>
      <c r="AF88" s="383" t="e">
        <f t="shared" si="162"/>
        <v>#DIV/0!</v>
      </c>
      <c r="AG88" s="383" t="e">
        <f t="shared" si="162"/>
        <v>#DIV/0!</v>
      </c>
      <c r="AH88" s="383" t="e">
        <f t="shared" si="162"/>
        <v>#DIV/0!</v>
      </c>
      <c r="AI88" s="383" t="e">
        <f t="shared" si="162"/>
        <v>#DIV/0!</v>
      </c>
      <c r="AJ88" s="383" t="e">
        <f t="shared" si="162"/>
        <v>#DIV/0!</v>
      </c>
      <c r="AK88" s="383" t="e">
        <f t="shared" si="162"/>
        <v>#DIV/0!</v>
      </c>
      <c r="AL88" s="383" t="e">
        <f t="shared" si="162"/>
        <v>#DIV/0!</v>
      </c>
      <c r="AM88" s="383" t="e">
        <f t="shared" si="162"/>
        <v>#DIV/0!</v>
      </c>
      <c r="AN88" s="383" t="e">
        <f t="shared" si="162"/>
        <v>#DIV/0!</v>
      </c>
      <c r="AO88" s="383" t="e">
        <f t="shared" si="162"/>
        <v>#DIV/0!</v>
      </c>
      <c r="AP88" s="383" t="e">
        <f t="shared" si="162"/>
        <v>#DIV/0!</v>
      </c>
      <c r="AQ88" s="383" t="e">
        <f t="shared" si="162"/>
        <v>#DIV/0!</v>
      </c>
      <c r="AR88" s="386">
        <v>0</v>
      </c>
      <c r="AS88" s="383" t="e">
        <f t="shared" si="158"/>
        <v>#DIV/0!</v>
      </c>
      <c r="AT88" s="383" t="e">
        <f t="shared" si="158"/>
        <v>#DIV/0!</v>
      </c>
      <c r="AU88" s="383" t="e">
        <f t="shared" si="158"/>
        <v>#DIV/0!</v>
      </c>
      <c r="AV88" s="383" t="e">
        <f t="shared" si="158"/>
        <v>#DIV/0!</v>
      </c>
      <c r="AW88" s="383" t="e">
        <f t="shared" si="158"/>
        <v>#DIV/0!</v>
      </c>
      <c r="AX88" s="383" t="e">
        <f t="shared" si="158"/>
        <v>#DIV/0!</v>
      </c>
      <c r="AY88" s="383" t="e">
        <f t="shared" si="158"/>
        <v>#DIV/0!</v>
      </c>
      <c r="AZ88" s="383" t="e">
        <f t="shared" si="158"/>
        <v>#DIV/0!</v>
      </c>
      <c r="BA88" s="383" t="e">
        <f t="shared" si="158"/>
        <v>#DIV/0!</v>
      </c>
      <c r="BB88" s="383" t="e">
        <f t="shared" si="158"/>
        <v>#DIV/0!</v>
      </c>
      <c r="BC88" s="383" t="e">
        <f t="shared" si="158"/>
        <v>#DIV/0!</v>
      </c>
      <c r="BD88" s="383" t="e">
        <f t="shared" si="158"/>
        <v>#DIV/0!</v>
      </c>
      <c r="BE88" s="386" t="s">
        <v>1390</v>
      </c>
      <c r="BF88" s="383" t="e">
        <f t="shared" si="159"/>
        <v>#DIV/0!</v>
      </c>
      <c r="BG88" s="383" t="e">
        <f t="shared" si="159"/>
        <v>#DIV/0!</v>
      </c>
      <c r="BH88" s="383" t="e">
        <f t="shared" si="159"/>
        <v>#DIV/0!</v>
      </c>
      <c r="BI88" s="383" t="e">
        <f t="shared" si="159"/>
        <v>#DIV/0!</v>
      </c>
      <c r="BJ88" s="383" t="e">
        <f t="shared" si="159"/>
        <v>#DIV/0!</v>
      </c>
      <c r="BK88" s="383" t="e">
        <f t="shared" si="159"/>
        <v>#DIV/0!</v>
      </c>
      <c r="BL88" s="383" t="e">
        <f t="shared" si="159"/>
        <v>#DIV/0!</v>
      </c>
      <c r="BM88" s="383" t="e">
        <f t="shared" si="159"/>
        <v>#DIV/0!</v>
      </c>
      <c r="BN88" s="383" t="e">
        <f t="shared" si="159"/>
        <v>#DIV/0!</v>
      </c>
      <c r="BO88" s="383" t="e">
        <f t="shared" si="159"/>
        <v>#DIV/0!</v>
      </c>
      <c r="BP88" s="383" t="e">
        <f t="shared" si="159"/>
        <v>#DIV/0!</v>
      </c>
      <c r="BQ88" s="383" t="e">
        <f t="shared" si="159"/>
        <v>#DIV/0!</v>
      </c>
      <c r="BR88" s="386" t="s">
        <v>1390</v>
      </c>
      <c r="BS88" s="383" t="e">
        <f t="shared" si="156"/>
        <v>#DIV/0!</v>
      </c>
      <c r="BT88" s="383" t="e">
        <f t="shared" si="156"/>
        <v>#DIV/0!</v>
      </c>
      <c r="BU88" s="383" t="e">
        <f t="shared" si="156"/>
        <v>#DIV/0!</v>
      </c>
      <c r="BV88" s="383" t="e">
        <f t="shared" si="156"/>
        <v>#DIV/0!</v>
      </c>
      <c r="BW88" s="383" t="e">
        <f t="shared" si="156"/>
        <v>#DIV/0!</v>
      </c>
      <c r="BX88" s="383" t="e">
        <f t="shared" si="156"/>
        <v>#DIV/0!</v>
      </c>
      <c r="BY88" s="383" t="e">
        <f t="shared" si="156"/>
        <v>#DIV/0!</v>
      </c>
      <c r="BZ88" s="383" t="e">
        <f t="shared" si="156"/>
        <v>#DIV/0!</v>
      </c>
      <c r="CA88" s="383" t="e">
        <f t="shared" si="156"/>
        <v>#DIV/0!</v>
      </c>
      <c r="CB88" s="383" t="e">
        <f t="shared" si="156"/>
        <v>#DIV/0!</v>
      </c>
      <c r="CC88" s="383" t="e">
        <f t="shared" si="156"/>
        <v>#DIV/0!</v>
      </c>
      <c r="CD88" s="383" t="e">
        <f t="shared" si="156"/>
        <v>#DIV/0!</v>
      </c>
      <c r="CE88" s="386" t="s">
        <v>1390</v>
      </c>
      <c r="CF88" s="383" t="e">
        <f t="shared" si="154"/>
        <v>#DIV/0!</v>
      </c>
      <c r="CG88" s="383" t="e">
        <f t="shared" si="154"/>
        <v>#DIV/0!</v>
      </c>
      <c r="CH88" s="383" t="e">
        <f t="shared" si="154"/>
        <v>#DIV/0!</v>
      </c>
      <c r="CI88" s="383" t="e">
        <f t="shared" si="154"/>
        <v>#DIV/0!</v>
      </c>
      <c r="CJ88" s="383" t="e">
        <f t="shared" si="154"/>
        <v>#DIV/0!</v>
      </c>
      <c r="CK88" s="383" t="e">
        <f t="shared" si="154"/>
        <v>#DIV/0!</v>
      </c>
      <c r="CL88" s="383" t="e">
        <f t="shared" si="154"/>
        <v>#DIV/0!</v>
      </c>
      <c r="CM88" s="383" t="e">
        <f t="shared" si="154"/>
        <v>#DIV/0!</v>
      </c>
      <c r="CN88" s="383" t="e">
        <f t="shared" si="154"/>
        <v>#DIV/0!</v>
      </c>
      <c r="CO88" s="383" t="e">
        <f t="shared" si="154"/>
        <v>#DIV/0!</v>
      </c>
      <c r="CP88" s="383" t="e">
        <f t="shared" si="154"/>
        <v>#DIV/0!</v>
      </c>
      <c r="CQ88" s="383" t="e">
        <f t="shared" si="154"/>
        <v>#DIV/0!</v>
      </c>
    </row>
    <row r="89" spans="3:95">
      <c r="C89" s="391">
        <v>1</v>
      </c>
      <c r="D89" s="391" t="s">
        <v>1404</v>
      </c>
      <c r="E89" s="391">
        <v>1</v>
      </c>
      <c r="F89" s="391" t="s">
        <v>1404</v>
      </c>
      <c r="G89" s="391">
        <v>1</v>
      </c>
      <c r="H89" s="391" t="s">
        <v>1404</v>
      </c>
      <c r="I89" s="382" t="s">
        <v>1390</v>
      </c>
      <c r="J89" s="382" t="s">
        <v>1390</v>
      </c>
      <c r="K89" s="382" t="s">
        <v>1390</v>
      </c>
      <c r="L89" s="382" t="s">
        <v>1390</v>
      </c>
      <c r="M89" s="391">
        <v>2</v>
      </c>
      <c r="N89" s="391" t="s">
        <v>1404</v>
      </c>
      <c r="O89" s="391">
        <v>1</v>
      </c>
      <c r="P89" s="391" t="s">
        <v>1404</v>
      </c>
      <c r="R89" s="386">
        <v>6</v>
      </c>
      <c r="S89" s="383" t="e">
        <f t="shared" si="160"/>
        <v>#DIV/0!</v>
      </c>
      <c r="T89" s="383" t="e">
        <f t="shared" si="160"/>
        <v>#DIV/0!</v>
      </c>
      <c r="U89" s="383" t="e">
        <f t="shared" si="160"/>
        <v>#DIV/0!</v>
      </c>
      <c r="V89" s="383" t="e">
        <f t="shared" si="160"/>
        <v>#DIV/0!</v>
      </c>
      <c r="W89" s="383" t="e">
        <f t="shared" si="160"/>
        <v>#DIV/0!</v>
      </c>
      <c r="X89" s="383" t="e">
        <f t="shared" si="160"/>
        <v>#DIV/0!</v>
      </c>
      <c r="Y89" s="383" t="e">
        <f t="shared" si="160"/>
        <v>#DIV/0!</v>
      </c>
      <c r="Z89" s="383" t="e">
        <f t="shared" si="160"/>
        <v>#DIV/0!</v>
      </c>
      <c r="AA89" s="383" t="e">
        <f t="shared" si="160"/>
        <v>#DIV/0!</v>
      </c>
      <c r="AB89" s="383" t="e">
        <f t="shared" si="160"/>
        <v>#DIV/0!</v>
      </c>
      <c r="AC89" s="383" t="e">
        <f t="shared" si="160"/>
        <v>#DIV/0!</v>
      </c>
      <c r="AD89" s="383" t="e">
        <f t="shared" si="160"/>
        <v>#DIV/0!</v>
      </c>
      <c r="AE89" s="386">
        <v>2</v>
      </c>
      <c r="AF89" s="383" t="e">
        <f t="shared" si="162"/>
        <v>#DIV/0!</v>
      </c>
      <c r="AG89" s="383" t="e">
        <f t="shared" si="162"/>
        <v>#DIV/0!</v>
      </c>
      <c r="AH89" s="383" t="e">
        <f t="shared" si="162"/>
        <v>#DIV/0!</v>
      </c>
      <c r="AI89" s="383" t="e">
        <f t="shared" si="162"/>
        <v>#DIV/0!</v>
      </c>
      <c r="AJ89" s="383" t="e">
        <f t="shared" si="162"/>
        <v>#DIV/0!</v>
      </c>
      <c r="AK89" s="383" t="e">
        <f t="shared" si="162"/>
        <v>#DIV/0!</v>
      </c>
      <c r="AL89" s="383" t="e">
        <f t="shared" si="162"/>
        <v>#DIV/0!</v>
      </c>
      <c r="AM89" s="383" t="e">
        <f t="shared" si="162"/>
        <v>#DIV/0!</v>
      </c>
      <c r="AN89" s="383" t="e">
        <f t="shared" si="162"/>
        <v>#DIV/0!</v>
      </c>
      <c r="AO89" s="383" t="e">
        <f t="shared" si="162"/>
        <v>#DIV/0!</v>
      </c>
      <c r="AP89" s="383" t="e">
        <f t="shared" si="162"/>
        <v>#DIV/0!</v>
      </c>
      <c r="AQ89" s="383" t="e">
        <f t="shared" si="162"/>
        <v>#DIV/0!</v>
      </c>
      <c r="AR89" s="386">
        <v>1</v>
      </c>
      <c r="AS89" s="383" t="e">
        <f t="shared" si="158"/>
        <v>#DIV/0!</v>
      </c>
      <c r="AT89" s="383" t="e">
        <f t="shared" si="158"/>
        <v>#DIV/0!</v>
      </c>
      <c r="AU89" s="383" t="e">
        <f t="shared" si="158"/>
        <v>#DIV/0!</v>
      </c>
      <c r="AV89" s="383" t="e">
        <f t="shared" si="158"/>
        <v>#DIV/0!</v>
      </c>
      <c r="AW89" s="383" t="e">
        <f t="shared" si="158"/>
        <v>#DIV/0!</v>
      </c>
      <c r="AX89" s="383" t="e">
        <f t="shared" si="158"/>
        <v>#DIV/0!</v>
      </c>
      <c r="AY89" s="383" t="e">
        <f t="shared" si="158"/>
        <v>#DIV/0!</v>
      </c>
      <c r="AZ89" s="383" t="e">
        <f t="shared" si="158"/>
        <v>#DIV/0!</v>
      </c>
      <c r="BA89" s="383" t="e">
        <f t="shared" si="158"/>
        <v>#DIV/0!</v>
      </c>
      <c r="BB89" s="383" t="e">
        <f t="shared" si="158"/>
        <v>#DIV/0!</v>
      </c>
      <c r="BC89" s="383" t="e">
        <f t="shared" si="158"/>
        <v>#DIV/0!</v>
      </c>
      <c r="BD89" s="383" t="e">
        <f t="shared" si="158"/>
        <v>#DIV/0!</v>
      </c>
      <c r="BE89" s="386">
        <v>0</v>
      </c>
      <c r="BF89" s="383" t="e">
        <f t="shared" ref="BF89:BQ95" si="163">IF(AS89="","",IF(BF$18=$BE89,"〇",""))</f>
        <v>#DIV/0!</v>
      </c>
      <c r="BG89" s="383" t="e">
        <f t="shared" si="163"/>
        <v>#DIV/0!</v>
      </c>
      <c r="BH89" s="383" t="e">
        <f t="shared" si="163"/>
        <v>#DIV/0!</v>
      </c>
      <c r="BI89" s="383" t="e">
        <f t="shared" si="163"/>
        <v>#DIV/0!</v>
      </c>
      <c r="BJ89" s="383" t="e">
        <f t="shared" si="163"/>
        <v>#DIV/0!</v>
      </c>
      <c r="BK89" s="383" t="e">
        <f t="shared" si="163"/>
        <v>#DIV/0!</v>
      </c>
      <c r="BL89" s="383" t="e">
        <f t="shared" si="163"/>
        <v>#DIV/0!</v>
      </c>
      <c r="BM89" s="383" t="e">
        <f t="shared" si="163"/>
        <v>#DIV/0!</v>
      </c>
      <c r="BN89" s="383" t="e">
        <f t="shared" si="163"/>
        <v>#DIV/0!</v>
      </c>
      <c r="BO89" s="383" t="e">
        <f t="shared" si="163"/>
        <v>#DIV/0!</v>
      </c>
      <c r="BP89" s="383" t="e">
        <f t="shared" si="163"/>
        <v>#DIV/0!</v>
      </c>
      <c r="BQ89" s="383" t="e">
        <f t="shared" si="163"/>
        <v>#DIV/0!</v>
      </c>
      <c r="BR89" s="386">
        <v>0</v>
      </c>
      <c r="BS89" s="383" t="e">
        <f>IF(BF89="","",IF(BS$18=$BR89,"〇",""))</f>
        <v>#DIV/0!</v>
      </c>
      <c r="BT89" s="383" t="e">
        <f t="shared" ref="BT89:CD90" si="164">IF(BG89="","",IF(BT$18=$BR89,"〇",""))</f>
        <v>#DIV/0!</v>
      </c>
      <c r="BU89" s="383" t="e">
        <f t="shared" si="164"/>
        <v>#DIV/0!</v>
      </c>
      <c r="BV89" s="383" t="e">
        <f t="shared" si="164"/>
        <v>#DIV/0!</v>
      </c>
      <c r="BW89" s="383" t="e">
        <f t="shared" si="164"/>
        <v>#DIV/0!</v>
      </c>
      <c r="BX89" s="383" t="e">
        <f t="shared" si="164"/>
        <v>#DIV/0!</v>
      </c>
      <c r="BY89" s="383" t="e">
        <f t="shared" si="164"/>
        <v>#DIV/0!</v>
      </c>
      <c r="BZ89" s="383" t="e">
        <f t="shared" si="164"/>
        <v>#DIV/0!</v>
      </c>
      <c r="CA89" s="383" t="e">
        <f t="shared" si="164"/>
        <v>#DIV/0!</v>
      </c>
      <c r="CB89" s="383" t="e">
        <f t="shared" si="164"/>
        <v>#DIV/0!</v>
      </c>
      <c r="CC89" s="383" t="e">
        <f t="shared" si="164"/>
        <v>#DIV/0!</v>
      </c>
      <c r="CD89" s="383" t="e">
        <f t="shared" si="164"/>
        <v>#DIV/0!</v>
      </c>
      <c r="CE89" s="386">
        <v>0</v>
      </c>
      <c r="CF89" s="383" t="e">
        <f>IF(BS89="","",IF(CF$18=$CE89,"〇",""))</f>
        <v>#DIV/0!</v>
      </c>
      <c r="CG89" s="383" t="e">
        <f t="shared" ref="CG89:CQ89" si="165">IF(BT89="","",IF(CG$18=$CE89,"〇",""))</f>
        <v>#DIV/0!</v>
      </c>
      <c r="CH89" s="383" t="e">
        <f t="shared" si="165"/>
        <v>#DIV/0!</v>
      </c>
      <c r="CI89" s="383" t="e">
        <f t="shared" si="165"/>
        <v>#DIV/0!</v>
      </c>
      <c r="CJ89" s="383" t="e">
        <f t="shared" si="165"/>
        <v>#DIV/0!</v>
      </c>
      <c r="CK89" s="383" t="e">
        <f t="shared" si="165"/>
        <v>#DIV/0!</v>
      </c>
      <c r="CL89" s="383" t="e">
        <f t="shared" si="165"/>
        <v>#DIV/0!</v>
      </c>
      <c r="CM89" s="383" t="e">
        <f t="shared" si="165"/>
        <v>#DIV/0!</v>
      </c>
      <c r="CN89" s="383" t="e">
        <f t="shared" si="165"/>
        <v>#DIV/0!</v>
      </c>
      <c r="CO89" s="383" t="e">
        <f t="shared" si="165"/>
        <v>#DIV/0!</v>
      </c>
      <c r="CP89" s="383" t="e">
        <f t="shared" si="165"/>
        <v>#DIV/0!</v>
      </c>
      <c r="CQ89" s="383" t="e">
        <f t="shared" si="165"/>
        <v>#DIV/0!</v>
      </c>
    </row>
    <row r="90" spans="3:95">
      <c r="C90" s="391">
        <v>1</v>
      </c>
      <c r="D90" s="391" t="s">
        <v>1404</v>
      </c>
      <c r="E90" s="391">
        <v>1</v>
      </c>
      <c r="F90" s="391" t="s">
        <v>1404</v>
      </c>
      <c r="G90" s="391">
        <v>1</v>
      </c>
      <c r="H90" s="391" t="s">
        <v>1404</v>
      </c>
      <c r="I90" s="387">
        <v>1</v>
      </c>
      <c r="J90" s="387" t="s">
        <v>1393</v>
      </c>
      <c r="K90" s="382" t="s">
        <v>1390</v>
      </c>
      <c r="L90" s="382" t="s">
        <v>1390</v>
      </c>
      <c r="M90" s="391">
        <v>2</v>
      </c>
      <c r="N90" s="391" t="s">
        <v>1404</v>
      </c>
      <c r="O90" s="391">
        <v>1</v>
      </c>
      <c r="P90" s="391" t="s">
        <v>1404</v>
      </c>
      <c r="R90" s="386">
        <v>6</v>
      </c>
      <c r="S90" s="383" t="e">
        <f t="shared" si="160"/>
        <v>#DIV/0!</v>
      </c>
      <c r="T90" s="383" t="e">
        <f t="shared" si="160"/>
        <v>#DIV/0!</v>
      </c>
      <c r="U90" s="383" t="e">
        <f t="shared" si="160"/>
        <v>#DIV/0!</v>
      </c>
      <c r="V90" s="383" t="e">
        <f t="shared" si="160"/>
        <v>#DIV/0!</v>
      </c>
      <c r="W90" s="383" t="e">
        <f t="shared" si="160"/>
        <v>#DIV/0!</v>
      </c>
      <c r="X90" s="383" t="e">
        <f t="shared" si="160"/>
        <v>#DIV/0!</v>
      </c>
      <c r="Y90" s="383" t="e">
        <f t="shared" si="160"/>
        <v>#DIV/0!</v>
      </c>
      <c r="Z90" s="383" t="e">
        <f t="shared" si="160"/>
        <v>#DIV/0!</v>
      </c>
      <c r="AA90" s="383" t="e">
        <f t="shared" si="160"/>
        <v>#DIV/0!</v>
      </c>
      <c r="AB90" s="383" t="e">
        <f t="shared" si="160"/>
        <v>#DIV/0!</v>
      </c>
      <c r="AC90" s="383" t="e">
        <f t="shared" si="160"/>
        <v>#DIV/0!</v>
      </c>
      <c r="AD90" s="383" t="e">
        <f t="shared" si="160"/>
        <v>#DIV/0!</v>
      </c>
      <c r="AE90" s="386">
        <v>2</v>
      </c>
      <c r="AF90" s="383" t="e">
        <f t="shared" si="162"/>
        <v>#DIV/0!</v>
      </c>
      <c r="AG90" s="383" t="e">
        <f t="shared" si="162"/>
        <v>#DIV/0!</v>
      </c>
      <c r="AH90" s="383" t="e">
        <f t="shared" si="162"/>
        <v>#DIV/0!</v>
      </c>
      <c r="AI90" s="383" t="e">
        <f t="shared" si="162"/>
        <v>#DIV/0!</v>
      </c>
      <c r="AJ90" s="383" t="e">
        <f t="shared" si="162"/>
        <v>#DIV/0!</v>
      </c>
      <c r="AK90" s="383" t="e">
        <f t="shared" si="162"/>
        <v>#DIV/0!</v>
      </c>
      <c r="AL90" s="383" t="e">
        <f t="shared" si="162"/>
        <v>#DIV/0!</v>
      </c>
      <c r="AM90" s="383" t="e">
        <f t="shared" si="162"/>
        <v>#DIV/0!</v>
      </c>
      <c r="AN90" s="383" t="e">
        <f t="shared" si="162"/>
        <v>#DIV/0!</v>
      </c>
      <c r="AO90" s="383" t="e">
        <f t="shared" si="162"/>
        <v>#DIV/0!</v>
      </c>
      <c r="AP90" s="383" t="e">
        <f t="shared" si="162"/>
        <v>#DIV/0!</v>
      </c>
      <c r="AQ90" s="383" t="e">
        <f t="shared" si="162"/>
        <v>#DIV/0!</v>
      </c>
      <c r="AR90" s="386">
        <v>1</v>
      </c>
      <c r="AS90" s="383" t="e">
        <f t="shared" si="158"/>
        <v>#DIV/0!</v>
      </c>
      <c r="AT90" s="383" t="e">
        <f t="shared" si="158"/>
        <v>#DIV/0!</v>
      </c>
      <c r="AU90" s="383" t="e">
        <f t="shared" si="158"/>
        <v>#DIV/0!</v>
      </c>
      <c r="AV90" s="383" t="e">
        <f t="shared" si="158"/>
        <v>#DIV/0!</v>
      </c>
      <c r="AW90" s="383" t="e">
        <f t="shared" si="158"/>
        <v>#DIV/0!</v>
      </c>
      <c r="AX90" s="383" t="e">
        <f t="shared" si="158"/>
        <v>#DIV/0!</v>
      </c>
      <c r="AY90" s="383" t="e">
        <f t="shared" si="158"/>
        <v>#DIV/0!</v>
      </c>
      <c r="AZ90" s="383" t="e">
        <f t="shared" si="158"/>
        <v>#DIV/0!</v>
      </c>
      <c r="BA90" s="383" t="e">
        <f t="shared" si="158"/>
        <v>#DIV/0!</v>
      </c>
      <c r="BB90" s="383" t="e">
        <f t="shared" si="158"/>
        <v>#DIV/0!</v>
      </c>
      <c r="BC90" s="383" t="e">
        <f t="shared" si="158"/>
        <v>#DIV/0!</v>
      </c>
      <c r="BD90" s="383" t="e">
        <f t="shared" si="158"/>
        <v>#DIV/0!</v>
      </c>
      <c r="BE90" s="386">
        <v>0</v>
      </c>
      <c r="BF90" s="383" t="e">
        <f t="shared" si="163"/>
        <v>#DIV/0!</v>
      </c>
      <c r="BG90" s="383" t="e">
        <f t="shared" si="163"/>
        <v>#DIV/0!</v>
      </c>
      <c r="BH90" s="383" t="e">
        <f t="shared" si="163"/>
        <v>#DIV/0!</v>
      </c>
      <c r="BI90" s="383" t="e">
        <f t="shared" si="163"/>
        <v>#DIV/0!</v>
      </c>
      <c r="BJ90" s="383" t="e">
        <f t="shared" si="163"/>
        <v>#DIV/0!</v>
      </c>
      <c r="BK90" s="383" t="e">
        <f t="shared" si="163"/>
        <v>#DIV/0!</v>
      </c>
      <c r="BL90" s="383" t="e">
        <f t="shared" si="163"/>
        <v>#DIV/0!</v>
      </c>
      <c r="BM90" s="383" t="e">
        <f t="shared" si="163"/>
        <v>#DIV/0!</v>
      </c>
      <c r="BN90" s="383" t="e">
        <f t="shared" si="163"/>
        <v>#DIV/0!</v>
      </c>
      <c r="BO90" s="383" t="e">
        <f t="shared" si="163"/>
        <v>#DIV/0!</v>
      </c>
      <c r="BP90" s="383" t="e">
        <f t="shared" si="163"/>
        <v>#DIV/0!</v>
      </c>
      <c r="BQ90" s="383" t="e">
        <f t="shared" si="163"/>
        <v>#DIV/0!</v>
      </c>
      <c r="BR90" s="386">
        <v>0</v>
      </c>
      <c r="BS90" s="383" t="e">
        <f>IF(BF90="","",IF(BS$18=$BR90,"〇",""))</f>
        <v>#DIV/0!</v>
      </c>
      <c r="BT90" s="383" t="e">
        <f t="shared" si="164"/>
        <v>#DIV/0!</v>
      </c>
      <c r="BU90" s="383" t="e">
        <f t="shared" si="164"/>
        <v>#DIV/0!</v>
      </c>
      <c r="BV90" s="383" t="e">
        <f t="shared" si="164"/>
        <v>#DIV/0!</v>
      </c>
      <c r="BW90" s="383" t="e">
        <f t="shared" si="164"/>
        <v>#DIV/0!</v>
      </c>
      <c r="BX90" s="383" t="e">
        <f t="shared" si="164"/>
        <v>#DIV/0!</v>
      </c>
      <c r="BY90" s="383" t="e">
        <f t="shared" si="164"/>
        <v>#DIV/0!</v>
      </c>
      <c r="BZ90" s="383" t="e">
        <f t="shared" si="164"/>
        <v>#DIV/0!</v>
      </c>
      <c r="CA90" s="383" t="e">
        <f t="shared" si="164"/>
        <v>#DIV/0!</v>
      </c>
      <c r="CB90" s="383" t="e">
        <f t="shared" si="164"/>
        <v>#DIV/0!</v>
      </c>
      <c r="CC90" s="383" t="e">
        <f t="shared" si="164"/>
        <v>#DIV/0!</v>
      </c>
      <c r="CD90" s="383" t="e">
        <f t="shared" si="164"/>
        <v>#DIV/0!</v>
      </c>
      <c r="CE90" s="386" t="s">
        <v>1396</v>
      </c>
      <c r="CF90" s="383" t="e">
        <f>IF(BS90="","",IF(CF$18&gt;=1,"〇",""))</f>
        <v>#DIV/0!</v>
      </c>
      <c r="CG90" s="383" t="e">
        <f t="shared" ref="CG90:CQ90" si="166">IF(BT90="","",IF(CG$18&gt;=1,"〇",""))</f>
        <v>#DIV/0!</v>
      </c>
      <c r="CH90" s="383" t="e">
        <f t="shared" si="166"/>
        <v>#DIV/0!</v>
      </c>
      <c r="CI90" s="383" t="e">
        <f t="shared" si="166"/>
        <v>#DIV/0!</v>
      </c>
      <c r="CJ90" s="383" t="e">
        <f t="shared" si="166"/>
        <v>#DIV/0!</v>
      </c>
      <c r="CK90" s="383" t="e">
        <f t="shared" si="166"/>
        <v>#DIV/0!</v>
      </c>
      <c r="CL90" s="383" t="e">
        <f t="shared" si="166"/>
        <v>#DIV/0!</v>
      </c>
      <c r="CM90" s="383" t="e">
        <f t="shared" si="166"/>
        <v>#DIV/0!</v>
      </c>
      <c r="CN90" s="383" t="e">
        <f t="shared" si="166"/>
        <v>#DIV/0!</v>
      </c>
      <c r="CO90" s="383" t="e">
        <f t="shared" si="166"/>
        <v>#DIV/0!</v>
      </c>
      <c r="CP90" s="383" t="e">
        <f t="shared" si="166"/>
        <v>#DIV/0!</v>
      </c>
      <c r="CQ90" s="383" t="e">
        <f t="shared" si="166"/>
        <v>#DIV/0!</v>
      </c>
    </row>
    <row r="91" spans="3:95">
      <c r="C91" s="391">
        <v>1</v>
      </c>
      <c r="D91" s="391" t="s">
        <v>1404</v>
      </c>
      <c r="E91" s="391">
        <v>1</v>
      </c>
      <c r="F91" s="391" t="s">
        <v>1404</v>
      </c>
      <c r="G91" s="391">
        <v>1</v>
      </c>
      <c r="H91" s="391" t="s">
        <v>1404</v>
      </c>
      <c r="I91" s="389">
        <v>1</v>
      </c>
      <c r="J91" s="389" t="s">
        <v>1404</v>
      </c>
      <c r="K91" s="382" t="s">
        <v>1390</v>
      </c>
      <c r="L91" s="382" t="s">
        <v>1390</v>
      </c>
      <c r="M91" s="391">
        <v>2</v>
      </c>
      <c r="N91" s="391" t="s">
        <v>1404</v>
      </c>
      <c r="O91" s="391">
        <v>1</v>
      </c>
      <c r="P91" s="391" t="s">
        <v>1404</v>
      </c>
      <c r="R91" s="386">
        <v>6</v>
      </c>
      <c r="S91" s="383" t="e">
        <f t="shared" si="160"/>
        <v>#DIV/0!</v>
      </c>
      <c r="T91" s="383" t="e">
        <f t="shared" si="160"/>
        <v>#DIV/0!</v>
      </c>
      <c r="U91" s="383" t="e">
        <f t="shared" si="160"/>
        <v>#DIV/0!</v>
      </c>
      <c r="V91" s="383" t="e">
        <f t="shared" si="160"/>
        <v>#DIV/0!</v>
      </c>
      <c r="W91" s="383" t="e">
        <f t="shared" si="160"/>
        <v>#DIV/0!</v>
      </c>
      <c r="X91" s="383" t="e">
        <f t="shared" si="160"/>
        <v>#DIV/0!</v>
      </c>
      <c r="Y91" s="383" t="e">
        <f t="shared" si="160"/>
        <v>#DIV/0!</v>
      </c>
      <c r="Z91" s="383" t="e">
        <f t="shared" si="160"/>
        <v>#DIV/0!</v>
      </c>
      <c r="AA91" s="383" t="e">
        <f t="shared" si="160"/>
        <v>#DIV/0!</v>
      </c>
      <c r="AB91" s="383" t="e">
        <f t="shared" si="160"/>
        <v>#DIV/0!</v>
      </c>
      <c r="AC91" s="383" t="e">
        <f t="shared" si="160"/>
        <v>#DIV/0!</v>
      </c>
      <c r="AD91" s="383" t="e">
        <f t="shared" si="160"/>
        <v>#DIV/0!</v>
      </c>
      <c r="AE91" s="386">
        <v>2</v>
      </c>
      <c r="AF91" s="383" t="e">
        <f t="shared" si="162"/>
        <v>#DIV/0!</v>
      </c>
      <c r="AG91" s="383" t="e">
        <f t="shared" si="162"/>
        <v>#DIV/0!</v>
      </c>
      <c r="AH91" s="383" t="e">
        <f t="shared" si="162"/>
        <v>#DIV/0!</v>
      </c>
      <c r="AI91" s="383" t="e">
        <f t="shared" si="162"/>
        <v>#DIV/0!</v>
      </c>
      <c r="AJ91" s="383" t="e">
        <f t="shared" si="162"/>
        <v>#DIV/0!</v>
      </c>
      <c r="AK91" s="383" t="e">
        <f t="shared" si="162"/>
        <v>#DIV/0!</v>
      </c>
      <c r="AL91" s="383" t="e">
        <f t="shared" si="162"/>
        <v>#DIV/0!</v>
      </c>
      <c r="AM91" s="383" t="e">
        <f t="shared" si="162"/>
        <v>#DIV/0!</v>
      </c>
      <c r="AN91" s="383" t="e">
        <f t="shared" si="162"/>
        <v>#DIV/0!</v>
      </c>
      <c r="AO91" s="383" t="e">
        <f t="shared" si="162"/>
        <v>#DIV/0!</v>
      </c>
      <c r="AP91" s="383" t="e">
        <f t="shared" si="162"/>
        <v>#DIV/0!</v>
      </c>
      <c r="AQ91" s="383" t="e">
        <f t="shared" si="162"/>
        <v>#DIV/0!</v>
      </c>
      <c r="AR91" s="386">
        <v>1</v>
      </c>
      <c r="AS91" s="383" t="e">
        <f t="shared" si="158"/>
        <v>#DIV/0!</v>
      </c>
      <c r="AT91" s="383" t="e">
        <f t="shared" si="158"/>
        <v>#DIV/0!</v>
      </c>
      <c r="AU91" s="383" t="e">
        <f t="shared" si="158"/>
        <v>#DIV/0!</v>
      </c>
      <c r="AV91" s="383" t="e">
        <f t="shared" si="158"/>
        <v>#DIV/0!</v>
      </c>
      <c r="AW91" s="383" t="e">
        <f t="shared" si="158"/>
        <v>#DIV/0!</v>
      </c>
      <c r="AX91" s="383" t="e">
        <f t="shared" si="158"/>
        <v>#DIV/0!</v>
      </c>
      <c r="AY91" s="383" t="e">
        <f t="shared" si="158"/>
        <v>#DIV/0!</v>
      </c>
      <c r="AZ91" s="383" t="e">
        <f t="shared" si="158"/>
        <v>#DIV/0!</v>
      </c>
      <c r="BA91" s="383" t="e">
        <f t="shared" si="158"/>
        <v>#DIV/0!</v>
      </c>
      <c r="BB91" s="383" t="e">
        <f t="shared" si="158"/>
        <v>#DIV/0!</v>
      </c>
      <c r="BC91" s="383" t="e">
        <f t="shared" si="158"/>
        <v>#DIV/0!</v>
      </c>
      <c r="BD91" s="383" t="e">
        <f t="shared" si="158"/>
        <v>#DIV/0!</v>
      </c>
      <c r="BE91" s="386">
        <v>0</v>
      </c>
      <c r="BF91" s="383" t="e">
        <f t="shared" si="163"/>
        <v>#DIV/0!</v>
      </c>
      <c r="BG91" s="383" t="e">
        <f t="shared" si="163"/>
        <v>#DIV/0!</v>
      </c>
      <c r="BH91" s="383" t="e">
        <f t="shared" si="163"/>
        <v>#DIV/0!</v>
      </c>
      <c r="BI91" s="383" t="e">
        <f t="shared" si="163"/>
        <v>#DIV/0!</v>
      </c>
      <c r="BJ91" s="383" t="e">
        <f t="shared" si="163"/>
        <v>#DIV/0!</v>
      </c>
      <c r="BK91" s="383" t="e">
        <f t="shared" si="163"/>
        <v>#DIV/0!</v>
      </c>
      <c r="BL91" s="383" t="e">
        <f t="shared" si="163"/>
        <v>#DIV/0!</v>
      </c>
      <c r="BM91" s="383" t="e">
        <f t="shared" si="163"/>
        <v>#DIV/0!</v>
      </c>
      <c r="BN91" s="383" t="e">
        <f t="shared" si="163"/>
        <v>#DIV/0!</v>
      </c>
      <c r="BO91" s="383" t="e">
        <f t="shared" si="163"/>
        <v>#DIV/0!</v>
      </c>
      <c r="BP91" s="383" t="e">
        <f t="shared" si="163"/>
        <v>#DIV/0!</v>
      </c>
      <c r="BQ91" s="383" t="e">
        <f t="shared" si="163"/>
        <v>#DIV/0!</v>
      </c>
      <c r="BR91" s="386" t="s">
        <v>1396</v>
      </c>
      <c r="BS91" s="383" t="e">
        <f>IF(BF91="","",IF(BS$18&gt;=1,"〇",""))</f>
        <v>#DIV/0!</v>
      </c>
      <c r="BT91" s="383" t="e">
        <f t="shared" ref="BT91:CD91" si="167">IF(BG91="","",IF(BT$18&gt;=1,"〇",""))</f>
        <v>#DIV/0!</v>
      </c>
      <c r="BU91" s="383" t="e">
        <f t="shared" si="167"/>
        <v>#DIV/0!</v>
      </c>
      <c r="BV91" s="383" t="e">
        <f t="shared" si="167"/>
        <v>#DIV/0!</v>
      </c>
      <c r="BW91" s="383" t="e">
        <f t="shared" si="167"/>
        <v>#DIV/0!</v>
      </c>
      <c r="BX91" s="383" t="e">
        <f t="shared" si="167"/>
        <v>#DIV/0!</v>
      </c>
      <c r="BY91" s="383" t="e">
        <f t="shared" si="167"/>
        <v>#DIV/0!</v>
      </c>
      <c r="BZ91" s="383" t="e">
        <f t="shared" si="167"/>
        <v>#DIV/0!</v>
      </c>
      <c r="CA91" s="383" t="e">
        <f t="shared" si="167"/>
        <v>#DIV/0!</v>
      </c>
      <c r="CB91" s="383" t="e">
        <f t="shared" si="167"/>
        <v>#DIV/0!</v>
      </c>
      <c r="CC91" s="383" t="e">
        <f t="shared" si="167"/>
        <v>#DIV/0!</v>
      </c>
      <c r="CD91" s="383" t="e">
        <f t="shared" si="167"/>
        <v>#DIV/0!</v>
      </c>
      <c r="CE91" s="386" t="s">
        <v>1390</v>
      </c>
      <c r="CF91" s="383" t="e">
        <f t="shared" ref="CF91:CQ92" si="168">IF(BS91="","","〇")</f>
        <v>#DIV/0!</v>
      </c>
      <c r="CG91" s="383" t="e">
        <f t="shared" si="168"/>
        <v>#DIV/0!</v>
      </c>
      <c r="CH91" s="383" t="e">
        <f t="shared" si="168"/>
        <v>#DIV/0!</v>
      </c>
      <c r="CI91" s="383" t="e">
        <f t="shared" si="168"/>
        <v>#DIV/0!</v>
      </c>
      <c r="CJ91" s="383" t="e">
        <f t="shared" si="168"/>
        <v>#DIV/0!</v>
      </c>
      <c r="CK91" s="383" t="e">
        <f t="shared" si="168"/>
        <v>#DIV/0!</v>
      </c>
      <c r="CL91" s="383" t="e">
        <f t="shared" si="168"/>
        <v>#DIV/0!</v>
      </c>
      <c r="CM91" s="383" t="e">
        <f t="shared" si="168"/>
        <v>#DIV/0!</v>
      </c>
      <c r="CN91" s="383" t="e">
        <f t="shared" si="168"/>
        <v>#DIV/0!</v>
      </c>
      <c r="CO91" s="383" t="e">
        <f t="shared" si="168"/>
        <v>#DIV/0!</v>
      </c>
      <c r="CP91" s="383" t="e">
        <f t="shared" si="168"/>
        <v>#DIV/0!</v>
      </c>
      <c r="CQ91" s="383" t="e">
        <f t="shared" si="168"/>
        <v>#DIV/0!</v>
      </c>
    </row>
    <row r="92" spans="3:95">
      <c r="C92" s="391">
        <v>1</v>
      </c>
      <c r="D92" s="391" t="s">
        <v>1404</v>
      </c>
      <c r="E92" s="391">
        <v>1</v>
      </c>
      <c r="F92" s="391" t="s">
        <v>1404</v>
      </c>
      <c r="G92" s="391">
        <v>1</v>
      </c>
      <c r="H92" s="391" t="s">
        <v>1404</v>
      </c>
      <c r="I92" s="390">
        <v>1</v>
      </c>
      <c r="J92" s="390" t="s">
        <v>1405</v>
      </c>
      <c r="K92" s="382" t="s">
        <v>1390</v>
      </c>
      <c r="L92" s="382" t="s">
        <v>1390</v>
      </c>
      <c r="M92" s="391">
        <v>2</v>
      </c>
      <c r="N92" s="391" t="s">
        <v>1404</v>
      </c>
      <c r="O92" s="391">
        <v>1</v>
      </c>
      <c r="P92" s="391" t="s">
        <v>1404</v>
      </c>
      <c r="R92" s="386">
        <v>6</v>
      </c>
      <c r="S92" s="383" t="e">
        <f t="shared" si="160"/>
        <v>#DIV/0!</v>
      </c>
      <c r="T92" s="383" t="e">
        <f t="shared" si="160"/>
        <v>#DIV/0!</v>
      </c>
      <c r="U92" s="383" t="e">
        <f t="shared" si="160"/>
        <v>#DIV/0!</v>
      </c>
      <c r="V92" s="383" t="e">
        <f t="shared" si="160"/>
        <v>#DIV/0!</v>
      </c>
      <c r="W92" s="383" t="e">
        <f t="shared" si="160"/>
        <v>#DIV/0!</v>
      </c>
      <c r="X92" s="383" t="e">
        <f t="shared" si="160"/>
        <v>#DIV/0!</v>
      </c>
      <c r="Y92" s="383" t="e">
        <f t="shared" si="160"/>
        <v>#DIV/0!</v>
      </c>
      <c r="Z92" s="383" t="e">
        <f t="shared" si="160"/>
        <v>#DIV/0!</v>
      </c>
      <c r="AA92" s="383" t="e">
        <f t="shared" si="160"/>
        <v>#DIV/0!</v>
      </c>
      <c r="AB92" s="383" t="e">
        <f t="shared" si="160"/>
        <v>#DIV/0!</v>
      </c>
      <c r="AC92" s="383" t="e">
        <f t="shared" si="160"/>
        <v>#DIV/0!</v>
      </c>
      <c r="AD92" s="383" t="e">
        <f t="shared" si="160"/>
        <v>#DIV/0!</v>
      </c>
      <c r="AE92" s="386">
        <v>2</v>
      </c>
      <c r="AF92" s="383" t="e">
        <f t="shared" si="162"/>
        <v>#DIV/0!</v>
      </c>
      <c r="AG92" s="383" t="e">
        <f t="shared" si="162"/>
        <v>#DIV/0!</v>
      </c>
      <c r="AH92" s="383" t="e">
        <f t="shared" si="162"/>
        <v>#DIV/0!</v>
      </c>
      <c r="AI92" s="383" t="e">
        <f t="shared" si="162"/>
        <v>#DIV/0!</v>
      </c>
      <c r="AJ92" s="383" t="e">
        <f t="shared" si="162"/>
        <v>#DIV/0!</v>
      </c>
      <c r="AK92" s="383" t="e">
        <f t="shared" si="162"/>
        <v>#DIV/0!</v>
      </c>
      <c r="AL92" s="383" t="e">
        <f t="shared" si="162"/>
        <v>#DIV/0!</v>
      </c>
      <c r="AM92" s="383" t="e">
        <f t="shared" si="162"/>
        <v>#DIV/0!</v>
      </c>
      <c r="AN92" s="383" t="e">
        <f t="shared" si="162"/>
        <v>#DIV/0!</v>
      </c>
      <c r="AO92" s="383" t="e">
        <f t="shared" si="162"/>
        <v>#DIV/0!</v>
      </c>
      <c r="AP92" s="383" t="e">
        <f t="shared" si="162"/>
        <v>#DIV/0!</v>
      </c>
      <c r="AQ92" s="383" t="e">
        <f t="shared" si="162"/>
        <v>#DIV/0!</v>
      </c>
      <c r="AR92" s="386">
        <v>1</v>
      </c>
      <c r="AS92" s="383" t="e">
        <f t="shared" si="158"/>
        <v>#DIV/0!</v>
      </c>
      <c r="AT92" s="383" t="e">
        <f t="shared" si="158"/>
        <v>#DIV/0!</v>
      </c>
      <c r="AU92" s="383" t="e">
        <f t="shared" si="158"/>
        <v>#DIV/0!</v>
      </c>
      <c r="AV92" s="383" t="e">
        <f t="shared" si="158"/>
        <v>#DIV/0!</v>
      </c>
      <c r="AW92" s="383" t="e">
        <f t="shared" si="158"/>
        <v>#DIV/0!</v>
      </c>
      <c r="AX92" s="383" t="e">
        <f t="shared" si="158"/>
        <v>#DIV/0!</v>
      </c>
      <c r="AY92" s="383" t="e">
        <f t="shared" si="158"/>
        <v>#DIV/0!</v>
      </c>
      <c r="AZ92" s="383" t="e">
        <f t="shared" si="158"/>
        <v>#DIV/0!</v>
      </c>
      <c r="BA92" s="383" t="e">
        <f t="shared" si="158"/>
        <v>#DIV/0!</v>
      </c>
      <c r="BB92" s="383" t="e">
        <f t="shared" si="158"/>
        <v>#DIV/0!</v>
      </c>
      <c r="BC92" s="383" t="e">
        <f t="shared" si="158"/>
        <v>#DIV/0!</v>
      </c>
      <c r="BD92" s="383" t="e">
        <f t="shared" si="158"/>
        <v>#DIV/0!</v>
      </c>
      <c r="BE92" s="386" t="s">
        <v>1396</v>
      </c>
      <c r="BF92" s="383" t="e">
        <f>IF(AS92="","",IF(BF$18&gt;=1,"〇",""))</f>
        <v>#DIV/0!</v>
      </c>
      <c r="BG92" s="383" t="e">
        <f t="shared" ref="BG92:BQ92" si="169">IF(AT92="","",IF(BG$18&gt;=1,"〇",""))</f>
        <v>#DIV/0!</v>
      </c>
      <c r="BH92" s="383" t="e">
        <f t="shared" si="169"/>
        <v>#DIV/0!</v>
      </c>
      <c r="BI92" s="383" t="e">
        <f t="shared" si="169"/>
        <v>#DIV/0!</v>
      </c>
      <c r="BJ92" s="383" t="e">
        <f t="shared" si="169"/>
        <v>#DIV/0!</v>
      </c>
      <c r="BK92" s="383" t="e">
        <f t="shared" si="169"/>
        <v>#DIV/0!</v>
      </c>
      <c r="BL92" s="383" t="e">
        <f t="shared" si="169"/>
        <v>#DIV/0!</v>
      </c>
      <c r="BM92" s="383" t="e">
        <f t="shared" si="169"/>
        <v>#DIV/0!</v>
      </c>
      <c r="BN92" s="383" t="e">
        <f t="shared" si="169"/>
        <v>#DIV/0!</v>
      </c>
      <c r="BO92" s="383" t="e">
        <f t="shared" si="169"/>
        <v>#DIV/0!</v>
      </c>
      <c r="BP92" s="383" t="e">
        <f t="shared" si="169"/>
        <v>#DIV/0!</v>
      </c>
      <c r="BQ92" s="383" t="e">
        <f t="shared" si="169"/>
        <v>#DIV/0!</v>
      </c>
      <c r="BR92" s="386" t="s">
        <v>1390</v>
      </c>
      <c r="BS92" s="383" t="e">
        <f>IF(BF92="","","〇")</f>
        <v>#DIV/0!</v>
      </c>
      <c r="BT92" s="383" t="e">
        <f t="shared" ref="BT92:CD92" si="170">IF(BG92="","","〇")</f>
        <v>#DIV/0!</v>
      </c>
      <c r="BU92" s="383" t="e">
        <f t="shared" si="170"/>
        <v>#DIV/0!</v>
      </c>
      <c r="BV92" s="383" t="e">
        <f t="shared" si="170"/>
        <v>#DIV/0!</v>
      </c>
      <c r="BW92" s="383" t="e">
        <f t="shared" si="170"/>
        <v>#DIV/0!</v>
      </c>
      <c r="BX92" s="383" t="e">
        <f t="shared" si="170"/>
        <v>#DIV/0!</v>
      </c>
      <c r="BY92" s="383" t="e">
        <f t="shared" si="170"/>
        <v>#DIV/0!</v>
      </c>
      <c r="BZ92" s="383" t="e">
        <f t="shared" si="170"/>
        <v>#DIV/0!</v>
      </c>
      <c r="CA92" s="383" t="e">
        <f t="shared" si="170"/>
        <v>#DIV/0!</v>
      </c>
      <c r="CB92" s="383" t="e">
        <f t="shared" si="170"/>
        <v>#DIV/0!</v>
      </c>
      <c r="CC92" s="383" t="e">
        <f t="shared" si="170"/>
        <v>#DIV/0!</v>
      </c>
      <c r="CD92" s="383" t="e">
        <f t="shared" si="170"/>
        <v>#DIV/0!</v>
      </c>
      <c r="CE92" s="386" t="s">
        <v>1390</v>
      </c>
      <c r="CF92" s="383" t="e">
        <f t="shared" si="168"/>
        <v>#DIV/0!</v>
      </c>
      <c r="CG92" s="383" t="e">
        <f t="shared" si="168"/>
        <v>#DIV/0!</v>
      </c>
      <c r="CH92" s="383" t="e">
        <f t="shared" si="168"/>
        <v>#DIV/0!</v>
      </c>
      <c r="CI92" s="383" t="e">
        <f t="shared" si="168"/>
        <v>#DIV/0!</v>
      </c>
      <c r="CJ92" s="383" t="e">
        <f t="shared" si="168"/>
        <v>#DIV/0!</v>
      </c>
      <c r="CK92" s="383" t="e">
        <f t="shared" si="168"/>
        <v>#DIV/0!</v>
      </c>
      <c r="CL92" s="383" t="e">
        <f t="shared" si="168"/>
        <v>#DIV/0!</v>
      </c>
      <c r="CM92" s="383" t="e">
        <f t="shared" si="168"/>
        <v>#DIV/0!</v>
      </c>
      <c r="CN92" s="383" t="e">
        <f t="shared" si="168"/>
        <v>#DIV/0!</v>
      </c>
      <c r="CO92" s="383" t="e">
        <f t="shared" si="168"/>
        <v>#DIV/0!</v>
      </c>
      <c r="CP92" s="383" t="e">
        <f t="shared" si="168"/>
        <v>#DIV/0!</v>
      </c>
      <c r="CQ92" s="383" t="e">
        <f t="shared" si="168"/>
        <v>#DIV/0!</v>
      </c>
    </row>
    <row r="93" spans="3:95">
      <c r="C93" s="391">
        <v>1</v>
      </c>
      <c r="D93" s="391" t="s">
        <v>1404</v>
      </c>
      <c r="E93" s="391">
        <v>1</v>
      </c>
      <c r="F93" s="391" t="s">
        <v>1404</v>
      </c>
      <c r="G93" s="391">
        <v>1</v>
      </c>
      <c r="H93" s="391" t="s">
        <v>1404</v>
      </c>
      <c r="I93" s="382" t="s">
        <v>1390</v>
      </c>
      <c r="J93" s="382" t="s">
        <v>1390</v>
      </c>
      <c r="K93" s="382" t="s">
        <v>1390</v>
      </c>
      <c r="L93" s="382" t="s">
        <v>1390</v>
      </c>
      <c r="M93" s="391">
        <v>3</v>
      </c>
      <c r="N93" s="391" t="s">
        <v>1404</v>
      </c>
      <c r="O93" s="382" t="s">
        <v>1390</v>
      </c>
      <c r="P93" s="382" t="s">
        <v>1390</v>
      </c>
      <c r="R93" s="386">
        <v>6</v>
      </c>
      <c r="S93" s="383" t="e">
        <f t="shared" si="160"/>
        <v>#DIV/0!</v>
      </c>
      <c r="T93" s="383" t="e">
        <f t="shared" si="160"/>
        <v>#DIV/0!</v>
      </c>
      <c r="U93" s="383" t="e">
        <f t="shared" si="160"/>
        <v>#DIV/0!</v>
      </c>
      <c r="V93" s="383" t="e">
        <f t="shared" si="160"/>
        <v>#DIV/0!</v>
      </c>
      <c r="W93" s="383" t="e">
        <f t="shared" si="160"/>
        <v>#DIV/0!</v>
      </c>
      <c r="X93" s="383" t="e">
        <f t="shared" si="160"/>
        <v>#DIV/0!</v>
      </c>
      <c r="Y93" s="383" t="e">
        <f t="shared" si="160"/>
        <v>#DIV/0!</v>
      </c>
      <c r="Z93" s="383" t="e">
        <f t="shared" si="160"/>
        <v>#DIV/0!</v>
      </c>
      <c r="AA93" s="383" t="e">
        <f t="shared" si="160"/>
        <v>#DIV/0!</v>
      </c>
      <c r="AB93" s="383" t="e">
        <f t="shared" si="160"/>
        <v>#DIV/0!</v>
      </c>
      <c r="AC93" s="383" t="e">
        <f t="shared" si="160"/>
        <v>#DIV/0!</v>
      </c>
      <c r="AD93" s="383" t="e">
        <f t="shared" si="160"/>
        <v>#DIV/0!</v>
      </c>
      <c r="AE93" s="386" t="s">
        <v>1397</v>
      </c>
      <c r="AF93" s="383" t="e">
        <f>IF(S93="","",IF(AF$18&gt;=3,"〇",""))</f>
        <v>#DIV/0!</v>
      </c>
      <c r="AG93" s="383" t="e">
        <f t="shared" ref="AG93:AQ96" si="171">IF(T93="","",IF(AG$18&gt;=3,"〇",""))</f>
        <v>#DIV/0!</v>
      </c>
      <c r="AH93" s="383" t="e">
        <f t="shared" si="171"/>
        <v>#DIV/0!</v>
      </c>
      <c r="AI93" s="383" t="e">
        <f t="shared" si="171"/>
        <v>#DIV/0!</v>
      </c>
      <c r="AJ93" s="383" t="e">
        <f t="shared" si="171"/>
        <v>#DIV/0!</v>
      </c>
      <c r="AK93" s="383" t="e">
        <f t="shared" si="171"/>
        <v>#DIV/0!</v>
      </c>
      <c r="AL93" s="383" t="e">
        <f t="shared" si="171"/>
        <v>#DIV/0!</v>
      </c>
      <c r="AM93" s="383" t="e">
        <f t="shared" si="171"/>
        <v>#DIV/0!</v>
      </c>
      <c r="AN93" s="383" t="e">
        <f t="shared" si="171"/>
        <v>#DIV/0!</v>
      </c>
      <c r="AO93" s="383" t="e">
        <f t="shared" si="171"/>
        <v>#DIV/0!</v>
      </c>
      <c r="AP93" s="383" t="e">
        <f t="shared" si="171"/>
        <v>#DIV/0!</v>
      </c>
      <c r="AQ93" s="383" t="e">
        <f t="shared" si="171"/>
        <v>#DIV/0!</v>
      </c>
      <c r="AR93" s="386" t="s">
        <v>1390</v>
      </c>
      <c r="AS93" s="383" t="e">
        <f t="shared" ref="AS93:BD96" si="172">IF(AF93="","","〇")</f>
        <v>#DIV/0!</v>
      </c>
      <c r="AT93" s="383" t="e">
        <f t="shared" si="172"/>
        <v>#DIV/0!</v>
      </c>
      <c r="AU93" s="383" t="e">
        <f t="shared" si="172"/>
        <v>#DIV/0!</v>
      </c>
      <c r="AV93" s="383" t="e">
        <f t="shared" si="172"/>
        <v>#DIV/0!</v>
      </c>
      <c r="AW93" s="383" t="e">
        <f t="shared" si="172"/>
        <v>#DIV/0!</v>
      </c>
      <c r="AX93" s="383" t="e">
        <f t="shared" si="172"/>
        <v>#DIV/0!</v>
      </c>
      <c r="AY93" s="383" t="e">
        <f t="shared" si="172"/>
        <v>#DIV/0!</v>
      </c>
      <c r="AZ93" s="383" t="e">
        <f t="shared" si="172"/>
        <v>#DIV/0!</v>
      </c>
      <c r="BA93" s="383" t="e">
        <f t="shared" si="172"/>
        <v>#DIV/0!</v>
      </c>
      <c r="BB93" s="383" t="e">
        <f t="shared" si="172"/>
        <v>#DIV/0!</v>
      </c>
      <c r="BC93" s="383" t="e">
        <f t="shared" si="172"/>
        <v>#DIV/0!</v>
      </c>
      <c r="BD93" s="383" t="e">
        <f t="shared" si="172"/>
        <v>#DIV/0!</v>
      </c>
      <c r="BE93" s="386">
        <v>0</v>
      </c>
      <c r="BF93" s="383" t="e">
        <f t="shared" si="163"/>
        <v>#DIV/0!</v>
      </c>
      <c r="BG93" s="383" t="e">
        <f t="shared" si="163"/>
        <v>#DIV/0!</v>
      </c>
      <c r="BH93" s="383" t="e">
        <f t="shared" si="163"/>
        <v>#DIV/0!</v>
      </c>
      <c r="BI93" s="383" t="e">
        <f t="shared" si="163"/>
        <v>#DIV/0!</v>
      </c>
      <c r="BJ93" s="383" t="e">
        <f t="shared" si="163"/>
        <v>#DIV/0!</v>
      </c>
      <c r="BK93" s="383" t="e">
        <f t="shared" si="163"/>
        <v>#DIV/0!</v>
      </c>
      <c r="BL93" s="383" t="e">
        <f t="shared" si="163"/>
        <v>#DIV/0!</v>
      </c>
      <c r="BM93" s="383" t="e">
        <f t="shared" si="163"/>
        <v>#DIV/0!</v>
      </c>
      <c r="BN93" s="383" t="e">
        <f t="shared" si="163"/>
        <v>#DIV/0!</v>
      </c>
      <c r="BO93" s="383" t="e">
        <f t="shared" si="163"/>
        <v>#DIV/0!</v>
      </c>
      <c r="BP93" s="383" t="e">
        <f t="shared" si="163"/>
        <v>#DIV/0!</v>
      </c>
      <c r="BQ93" s="383" t="e">
        <f t="shared" si="163"/>
        <v>#DIV/0!</v>
      </c>
      <c r="BR93" s="386">
        <v>0</v>
      </c>
      <c r="BS93" s="383" t="e">
        <f>IF(BF93="","",IF(BS$18=$BR93,"〇",""))</f>
        <v>#DIV/0!</v>
      </c>
      <c r="BT93" s="383" t="e">
        <f t="shared" ref="BT93:CD94" si="173">IF(BG93="","",IF(BT$18=$BR93,"〇",""))</f>
        <v>#DIV/0!</v>
      </c>
      <c r="BU93" s="383" t="e">
        <f t="shared" si="173"/>
        <v>#DIV/0!</v>
      </c>
      <c r="BV93" s="383" t="e">
        <f t="shared" si="173"/>
        <v>#DIV/0!</v>
      </c>
      <c r="BW93" s="383" t="e">
        <f t="shared" si="173"/>
        <v>#DIV/0!</v>
      </c>
      <c r="BX93" s="383" t="e">
        <f t="shared" si="173"/>
        <v>#DIV/0!</v>
      </c>
      <c r="BY93" s="383" t="e">
        <f t="shared" si="173"/>
        <v>#DIV/0!</v>
      </c>
      <c r="BZ93" s="383" t="e">
        <f t="shared" si="173"/>
        <v>#DIV/0!</v>
      </c>
      <c r="CA93" s="383" t="e">
        <f t="shared" si="173"/>
        <v>#DIV/0!</v>
      </c>
      <c r="CB93" s="383" t="e">
        <f t="shared" si="173"/>
        <v>#DIV/0!</v>
      </c>
      <c r="CC93" s="383" t="e">
        <f t="shared" si="173"/>
        <v>#DIV/0!</v>
      </c>
      <c r="CD93" s="383" t="e">
        <f t="shared" si="173"/>
        <v>#DIV/0!</v>
      </c>
      <c r="CE93" s="386">
        <v>0</v>
      </c>
      <c r="CF93" s="383" t="e">
        <f>IF(BS93="","",IF(CF$18=$CE93,"〇",""))</f>
        <v>#DIV/0!</v>
      </c>
      <c r="CG93" s="383" t="e">
        <f t="shared" ref="CG93:CQ93" si="174">IF(BT93="","",IF(CG$18=$CE93,"〇",""))</f>
        <v>#DIV/0!</v>
      </c>
      <c r="CH93" s="383" t="e">
        <f t="shared" si="174"/>
        <v>#DIV/0!</v>
      </c>
      <c r="CI93" s="383" t="e">
        <f t="shared" si="174"/>
        <v>#DIV/0!</v>
      </c>
      <c r="CJ93" s="383" t="e">
        <f t="shared" si="174"/>
        <v>#DIV/0!</v>
      </c>
      <c r="CK93" s="383" t="e">
        <f t="shared" si="174"/>
        <v>#DIV/0!</v>
      </c>
      <c r="CL93" s="383" t="e">
        <f t="shared" si="174"/>
        <v>#DIV/0!</v>
      </c>
      <c r="CM93" s="383" t="e">
        <f t="shared" si="174"/>
        <v>#DIV/0!</v>
      </c>
      <c r="CN93" s="383" t="e">
        <f t="shared" si="174"/>
        <v>#DIV/0!</v>
      </c>
      <c r="CO93" s="383" t="e">
        <f t="shared" si="174"/>
        <v>#DIV/0!</v>
      </c>
      <c r="CP93" s="383" t="e">
        <f t="shared" si="174"/>
        <v>#DIV/0!</v>
      </c>
      <c r="CQ93" s="383" t="e">
        <f t="shared" si="174"/>
        <v>#DIV/0!</v>
      </c>
    </row>
    <row r="94" spans="3:95">
      <c r="C94" s="391">
        <v>1</v>
      </c>
      <c r="D94" s="391" t="s">
        <v>1404</v>
      </c>
      <c r="E94" s="391">
        <v>1</v>
      </c>
      <c r="F94" s="391" t="s">
        <v>1404</v>
      </c>
      <c r="G94" s="391">
        <v>1</v>
      </c>
      <c r="H94" s="391" t="s">
        <v>1404</v>
      </c>
      <c r="I94" s="387">
        <v>1</v>
      </c>
      <c r="J94" s="387" t="s">
        <v>1393</v>
      </c>
      <c r="K94" s="382" t="s">
        <v>1390</v>
      </c>
      <c r="L94" s="382" t="s">
        <v>1390</v>
      </c>
      <c r="M94" s="391">
        <v>3</v>
      </c>
      <c r="N94" s="391" t="s">
        <v>1404</v>
      </c>
      <c r="O94" s="382" t="s">
        <v>1390</v>
      </c>
      <c r="P94" s="382" t="s">
        <v>1390</v>
      </c>
      <c r="R94" s="386">
        <v>6</v>
      </c>
      <c r="S94" s="383" t="e">
        <f t="shared" si="160"/>
        <v>#DIV/0!</v>
      </c>
      <c r="T94" s="383" t="e">
        <f t="shared" si="160"/>
        <v>#DIV/0!</v>
      </c>
      <c r="U94" s="383" t="e">
        <f t="shared" si="160"/>
        <v>#DIV/0!</v>
      </c>
      <c r="V94" s="383" t="e">
        <f t="shared" si="160"/>
        <v>#DIV/0!</v>
      </c>
      <c r="W94" s="383" t="e">
        <f t="shared" si="160"/>
        <v>#DIV/0!</v>
      </c>
      <c r="X94" s="383" t="e">
        <f t="shared" si="160"/>
        <v>#DIV/0!</v>
      </c>
      <c r="Y94" s="383" t="e">
        <f t="shared" si="160"/>
        <v>#DIV/0!</v>
      </c>
      <c r="Z94" s="383" t="e">
        <f t="shared" si="160"/>
        <v>#DIV/0!</v>
      </c>
      <c r="AA94" s="383" t="e">
        <f t="shared" si="160"/>
        <v>#DIV/0!</v>
      </c>
      <c r="AB94" s="383" t="e">
        <f t="shared" si="160"/>
        <v>#DIV/0!</v>
      </c>
      <c r="AC94" s="383" t="e">
        <f t="shared" si="160"/>
        <v>#DIV/0!</v>
      </c>
      <c r="AD94" s="383" t="e">
        <f t="shared" si="160"/>
        <v>#DIV/0!</v>
      </c>
      <c r="AE94" s="386" t="s">
        <v>1397</v>
      </c>
      <c r="AF94" s="383" t="e">
        <f t="shared" ref="AF94:AF96" si="175">IF(S94="","",IF(AF$18&gt;=3,"〇",""))</f>
        <v>#DIV/0!</v>
      </c>
      <c r="AG94" s="383" t="e">
        <f t="shared" si="171"/>
        <v>#DIV/0!</v>
      </c>
      <c r="AH94" s="383" t="e">
        <f t="shared" si="171"/>
        <v>#DIV/0!</v>
      </c>
      <c r="AI94" s="383" t="e">
        <f t="shared" si="171"/>
        <v>#DIV/0!</v>
      </c>
      <c r="AJ94" s="383" t="e">
        <f t="shared" si="171"/>
        <v>#DIV/0!</v>
      </c>
      <c r="AK94" s="383" t="e">
        <f t="shared" si="171"/>
        <v>#DIV/0!</v>
      </c>
      <c r="AL94" s="383" t="e">
        <f t="shared" si="171"/>
        <v>#DIV/0!</v>
      </c>
      <c r="AM94" s="383" t="e">
        <f t="shared" si="171"/>
        <v>#DIV/0!</v>
      </c>
      <c r="AN94" s="383" t="e">
        <f t="shared" si="171"/>
        <v>#DIV/0!</v>
      </c>
      <c r="AO94" s="383" t="e">
        <f t="shared" si="171"/>
        <v>#DIV/0!</v>
      </c>
      <c r="AP94" s="383" t="e">
        <f t="shared" si="171"/>
        <v>#DIV/0!</v>
      </c>
      <c r="AQ94" s="383" t="e">
        <f t="shared" si="171"/>
        <v>#DIV/0!</v>
      </c>
      <c r="AR94" s="386" t="s">
        <v>1390</v>
      </c>
      <c r="AS94" s="383" t="e">
        <f t="shared" si="172"/>
        <v>#DIV/0!</v>
      </c>
      <c r="AT94" s="383" t="e">
        <f t="shared" si="172"/>
        <v>#DIV/0!</v>
      </c>
      <c r="AU94" s="383" t="e">
        <f t="shared" si="172"/>
        <v>#DIV/0!</v>
      </c>
      <c r="AV94" s="383" t="e">
        <f t="shared" si="172"/>
        <v>#DIV/0!</v>
      </c>
      <c r="AW94" s="383" t="e">
        <f t="shared" si="172"/>
        <v>#DIV/0!</v>
      </c>
      <c r="AX94" s="383" t="e">
        <f t="shared" si="172"/>
        <v>#DIV/0!</v>
      </c>
      <c r="AY94" s="383" t="e">
        <f t="shared" si="172"/>
        <v>#DIV/0!</v>
      </c>
      <c r="AZ94" s="383" t="e">
        <f t="shared" si="172"/>
        <v>#DIV/0!</v>
      </c>
      <c r="BA94" s="383" t="e">
        <f t="shared" si="172"/>
        <v>#DIV/0!</v>
      </c>
      <c r="BB94" s="383" t="e">
        <f t="shared" si="172"/>
        <v>#DIV/0!</v>
      </c>
      <c r="BC94" s="383" t="e">
        <f t="shared" si="172"/>
        <v>#DIV/0!</v>
      </c>
      <c r="BD94" s="383" t="e">
        <f t="shared" si="172"/>
        <v>#DIV/0!</v>
      </c>
      <c r="BE94" s="386">
        <v>0</v>
      </c>
      <c r="BF94" s="383" t="e">
        <f t="shared" si="163"/>
        <v>#DIV/0!</v>
      </c>
      <c r="BG94" s="383" t="e">
        <f t="shared" si="163"/>
        <v>#DIV/0!</v>
      </c>
      <c r="BH94" s="383" t="e">
        <f t="shared" si="163"/>
        <v>#DIV/0!</v>
      </c>
      <c r="BI94" s="383" t="e">
        <f t="shared" si="163"/>
        <v>#DIV/0!</v>
      </c>
      <c r="BJ94" s="383" t="e">
        <f t="shared" si="163"/>
        <v>#DIV/0!</v>
      </c>
      <c r="BK94" s="383" t="e">
        <f t="shared" si="163"/>
        <v>#DIV/0!</v>
      </c>
      <c r="BL94" s="383" t="e">
        <f t="shared" si="163"/>
        <v>#DIV/0!</v>
      </c>
      <c r="BM94" s="383" t="e">
        <f t="shared" si="163"/>
        <v>#DIV/0!</v>
      </c>
      <c r="BN94" s="383" t="e">
        <f t="shared" si="163"/>
        <v>#DIV/0!</v>
      </c>
      <c r="BO94" s="383" t="e">
        <f t="shared" si="163"/>
        <v>#DIV/0!</v>
      </c>
      <c r="BP94" s="383" t="e">
        <f t="shared" si="163"/>
        <v>#DIV/0!</v>
      </c>
      <c r="BQ94" s="383" t="e">
        <f t="shared" si="163"/>
        <v>#DIV/0!</v>
      </c>
      <c r="BR94" s="386">
        <v>0</v>
      </c>
      <c r="BS94" s="383" t="e">
        <f>IF(BF94="","",IF(BS$18=$BR94,"〇",""))</f>
        <v>#DIV/0!</v>
      </c>
      <c r="BT94" s="383" t="e">
        <f t="shared" si="173"/>
        <v>#DIV/0!</v>
      </c>
      <c r="BU94" s="383" t="e">
        <f t="shared" si="173"/>
        <v>#DIV/0!</v>
      </c>
      <c r="BV94" s="383" t="e">
        <f t="shared" si="173"/>
        <v>#DIV/0!</v>
      </c>
      <c r="BW94" s="383" t="e">
        <f t="shared" si="173"/>
        <v>#DIV/0!</v>
      </c>
      <c r="BX94" s="383" t="e">
        <f t="shared" si="173"/>
        <v>#DIV/0!</v>
      </c>
      <c r="BY94" s="383" t="e">
        <f t="shared" si="173"/>
        <v>#DIV/0!</v>
      </c>
      <c r="BZ94" s="383" t="e">
        <f t="shared" si="173"/>
        <v>#DIV/0!</v>
      </c>
      <c r="CA94" s="383" t="e">
        <f t="shared" si="173"/>
        <v>#DIV/0!</v>
      </c>
      <c r="CB94" s="383" t="e">
        <f t="shared" si="173"/>
        <v>#DIV/0!</v>
      </c>
      <c r="CC94" s="383" t="e">
        <f t="shared" si="173"/>
        <v>#DIV/0!</v>
      </c>
      <c r="CD94" s="383" t="e">
        <f t="shared" si="173"/>
        <v>#DIV/0!</v>
      </c>
      <c r="CE94" s="386" t="s">
        <v>1396</v>
      </c>
      <c r="CF94" s="383" t="e">
        <f>IF(BS94="","",IF(CF$18&gt;=1,"〇",""))</f>
        <v>#DIV/0!</v>
      </c>
      <c r="CG94" s="383" t="e">
        <f t="shared" ref="CG94:CQ94" si="176">IF(BT94="","",IF(CG$18&gt;=1,"〇",""))</f>
        <v>#DIV/0!</v>
      </c>
      <c r="CH94" s="383" t="e">
        <f t="shared" si="176"/>
        <v>#DIV/0!</v>
      </c>
      <c r="CI94" s="383" t="e">
        <f t="shared" si="176"/>
        <v>#DIV/0!</v>
      </c>
      <c r="CJ94" s="383" t="e">
        <f t="shared" si="176"/>
        <v>#DIV/0!</v>
      </c>
      <c r="CK94" s="383" t="e">
        <f t="shared" si="176"/>
        <v>#DIV/0!</v>
      </c>
      <c r="CL94" s="383" t="e">
        <f t="shared" si="176"/>
        <v>#DIV/0!</v>
      </c>
      <c r="CM94" s="383" t="e">
        <f t="shared" si="176"/>
        <v>#DIV/0!</v>
      </c>
      <c r="CN94" s="383" t="e">
        <f t="shared" si="176"/>
        <v>#DIV/0!</v>
      </c>
      <c r="CO94" s="383" t="e">
        <f t="shared" si="176"/>
        <v>#DIV/0!</v>
      </c>
      <c r="CP94" s="383" t="e">
        <f t="shared" si="176"/>
        <v>#DIV/0!</v>
      </c>
      <c r="CQ94" s="383" t="e">
        <f t="shared" si="176"/>
        <v>#DIV/0!</v>
      </c>
    </row>
    <row r="95" spans="3:95">
      <c r="C95" s="391">
        <v>1</v>
      </c>
      <c r="D95" s="391" t="s">
        <v>1404</v>
      </c>
      <c r="E95" s="391">
        <v>1</v>
      </c>
      <c r="F95" s="391" t="s">
        <v>1404</v>
      </c>
      <c r="G95" s="391">
        <v>1</v>
      </c>
      <c r="H95" s="391" t="s">
        <v>1404</v>
      </c>
      <c r="I95" s="389">
        <v>1</v>
      </c>
      <c r="J95" s="389" t="s">
        <v>1404</v>
      </c>
      <c r="K95" s="382" t="s">
        <v>1390</v>
      </c>
      <c r="L95" s="382" t="s">
        <v>1390</v>
      </c>
      <c r="M95" s="391">
        <v>3</v>
      </c>
      <c r="N95" s="391" t="s">
        <v>1404</v>
      </c>
      <c r="O95" s="382" t="s">
        <v>1390</v>
      </c>
      <c r="P95" s="382" t="s">
        <v>1390</v>
      </c>
      <c r="R95" s="386">
        <v>6</v>
      </c>
      <c r="S95" s="383" t="e">
        <f t="shared" si="160"/>
        <v>#DIV/0!</v>
      </c>
      <c r="T95" s="383" t="e">
        <f t="shared" si="160"/>
        <v>#DIV/0!</v>
      </c>
      <c r="U95" s="383" t="e">
        <f t="shared" si="160"/>
        <v>#DIV/0!</v>
      </c>
      <c r="V95" s="383" t="e">
        <f t="shared" si="160"/>
        <v>#DIV/0!</v>
      </c>
      <c r="W95" s="383" t="e">
        <f t="shared" si="160"/>
        <v>#DIV/0!</v>
      </c>
      <c r="X95" s="383" t="e">
        <f t="shared" si="160"/>
        <v>#DIV/0!</v>
      </c>
      <c r="Y95" s="383" t="e">
        <f t="shared" si="160"/>
        <v>#DIV/0!</v>
      </c>
      <c r="Z95" s="383" t="e">
        <f t="shared" si="160"/>
        <v>#DIV/0!</v>
      </c>
      <c r="AA95" s="383" t="e">
        <f t="shared" si="160"/>
        <v>#DIV/0!</v>
      </c>
      <c r="AB95" s="383" t="e">
        <f t="shared" si="160"/>
        <v>#DIV/0!</v>
      </c>
      <c r="AC95" s="383" t="e">
        <f t="shared" si="160"/>
        <v>#DIV/0!</v>
      </c>
      <c r="AD95" s="383" t="e">
        <f t="shared" si="160"/>
        <v>#DIV/0!</v>
      </c>
      <c r="AE95" s="386" t="s">
        <v>1397</v>
      </c>
      <c r="AF95" s="383" t="e">
        <f t="shared" si="175"/>
        <v>#DIV/0!</v>
      </c>
      <c r="AG95" s="383" t="e">
        <f t="shared" si="171"/>
        <v>#DIV/0!</v>
      </c>
      <c r="AH95" s="383" t="e">
        <f t="shared" si="171"/>
        <v>#DIV/0!</v>
      </c>
      <c r="AI95" s="383" t="e">
        <f t="shared" si="171"/>
        <v>#DIV/0!</v>
      </c>
      <c r="AJ95" s="383" t="e">
        <f t="shared" si="171"/>
        <v>#DIV/0!</v>
      </c>
      <c r="AK95" s="383" t="e">
        <f t="shared" si="171"/>
        <v>#DIV/0!</v>
      </c>
      <c r="AL95" s="383" t="e">
        <f t="shared" si="171"/>
        <v>#DIV/0!</v>
      </c>
      <c r="AM95" s="383" t="e">
        <f t="shared" si="171"/>
        <v>#DIV/0!</v>
      </c>
      <c r="AN95" s="383" t="e">
        <f t="shared" si="171"/>
        <v>#DIV/0!</v>
      </c>
      <c r="AO95" s="383" t="e">
        <f t="shared" si="171"/>
        <v>#DIV/0!</v>
      </c>
      <c r="AP95" s="383" t="e">
        <f t="shared" si="171"/>
        <v>#DIV/0!</v>
      </c>
      <c r="AQ95" s="383" t="e">
        <f t="shared" si="171"/>
        <v>#DIV/0!</v>
      </c>
      <c r="AR95" s="386" t="s">
        <v>1390</v>
      </c>
      <c r="AS95" s="383" t="e">
        <f t="shared" si="172"/>
        <v>#DIV/0!</v>
      </c>
      <c r="AT95" s="383" t="e">
        <f t="shared" si="172"/>
        <v>#DIV/0!</v>
      </c>
      <c r="AU95" s="383" t="e">
        <f t="shared" si="172"/>
        <v>#DIV/0!</v>
      </c>
      <c r="AV95" s="383" t="e">
        <f t="shared" si="172"/>
        <v>#DIV/0!</v>
      </c>
      <c r="AW95" s="383" t="e">
        <f t="shared" si="172"/>
        <v>#DIV/0!</v>
      </c>
      <c r="AX95" s="383" t="e">
        <f t="shared" si="172"/>
        <v>#DIV/0!</v>
      </c>
      <c r="AY95" s="383" t="e">
        <f t="shared" si="172"/>
        <v>#DIV/0!</v>
      </c>
      <c r="AZ95" s="383" t="e">
        <f t="shared" si="172"/>
        <v>#DIV/0!</v>
      </c>
      <c r="BA95" s="383" t="e">
        <f t="shared" si="172"/>
        <v>#DIV/0!</v>
      </c>
      <c r="BB95" s="383" t="e">
        <f t="shared" si="172"/>
        <v>#DIV/0!</v>
      </c>
      <c r="BC95" s="383" t="e">
        <f t="shared" si="172"/>
        <v>#DIV/0!</v>
      </c>
      <c r="BD95" s="383" t="e">
        <f t="shared" si="172"/>
        <v>#DIV/0!</v>
      </c>
      <c r="BE95" s="386">
        <v>0</v>
      </c>
      <c r="BF95" s="383" t="e">
        <f t="shared" si="163"/>
        <v>#DIV/0!</v>
      </c>
      <c r="BG95" s="383" t="e">
        <f t="shared" si="163"/>
        <v>#DIV/0!</v>
      </c>
      <c r="BH95" s="383" t="e">
        <f t="shared" si="163"/>
        <v>#DIV/0!</v>
      </c>
      <c r="BI95" s="383" t="e">
        <f t="shared" si="163"/>
        <v>#DIV/0!</v>
      </c>
      <c r="BJ95" s="383" t="e">
        <f t="shared" si="163"/>
        <v>#DIV/0!</v>
      </c>
      <c r="BK95" s="383" t="e">
        <f t="shared" si="163"/>
        <v>#DIV/0!</v>
      </c>
      <c r="BL95" s="383" t="e">
        <f t="shared" si="163"/>
        <v>#DIV/0!</v>
      </c>
      <c r="BM95" s="383" t="e">
        <f t="shared" si="163"/>
        <v>#DIV/0!</v>
      </c>
      <c r="BN95" s="383" t="e">
        <f t="shared" si="163"/>
        <v>#DIV/0!</v>
      </c>
      <c r="BO95" s="383" t="e">
        <f t="shared" si="163"/>
        <v>#DIV/0!</v>
      </c>
      <c r="BP95" s="383" t="e">
        <f t="shared" si="163"/>
        <v>#DIV/0!</v>
      </c>
      <c r="BQ95" s="383" t="e">
        <f t="shared" si="163"/>
        <v>#DIV/0!</v>
      </c>
      <c r="BR95" s="386" t="s">
        <v>1396</v>
      </c>
      <c r="BS95" s="383" t="e">
        <f>IF(BF95="","",IF(BS$18&gt;=1,"〇",""))</f>
        <v>#DIV/0!</v>
      </c>
      <c r="BT95" s="383" t="e">
        <f t="shared" ref="BT95:CD95" si="177">IF(BG95="","",IF(BT$18&gt;=1,"〇",""))</f>
        <v>#DIV/0!</v>
      </c>
      <c r="BU95" s="383" t="e">
        <f t="shared" si="177"/>
        <v>#DIV/0!</v>
      </c>
      <c r="BV95" s="383" t="e">
        <f t="shared" si="177"/>
        <v>#DIV/0!</v>
      </c>
      <c r="BW95" s="383" t="e">
        <f t="shared" si="177"/>
        <v>#DIV/0!</v>
      </c>
      <c r="BX95" s="383" t="e">
        <f t="shared" si="177"/>
        <v>#DIV/0!</v>
      </c>
      <c r="BY95" s="383" t="e">
        <f t="shared" si="177"/>
        <v>#DIV/0!</v>
      </c>
      <c r="BZ95" s="383" t="e">
        <f t="shared" si="177"/>
        <v>#DIV/0!</v>
      </c>
      <c r="CA95" s="383" t="e">
        <f t="shared" si="177"/>
        <v>#DIV/0!</v>
      </c>
      <c r="CB95" s="383" t="e">
        <f t="shared" si="177"/>
        <v>#DIV/0!</v>
      </c>
      <c r="CC95" s="383" t="e">
        <f t="shared" si="177"/>
        <v>#DIV/0!</v>
      </c>
      <c r="CD95" s="383" t="e">
        <f t="shared" si="177"/>
        <v>#DIV/0!</v>
      </c>
      <c r="CE95" s="386" t="s">
        <v>1390</v>
      </c>
      <c r="CF95" s="383" t="e">
        <f t="shared" ref="CF95:CQ103" si="178">IF(BS95="","","〇")</f>
        <v>#DIV/0!</v>
      </c>
      <c r="CG95" s="383" t="e">
        <f t="shared" si="178"/>
        <v>#DIV/0!</v>
      </c>
      <c r="CH95" s="383" t="e">
        <f t="shared" si="178"/>
        <v>#DIV/0!</v>
      </c>
      <c r="CI95" s="383" t="e">
        <f t="shared" si="178"/>
        <v>#DIV/0!</v>
      </c>
      <c r="CJ95" s="383" t="e">
        <f t="shared" si="178"/>
        <v>#DIV/0!</v>
      </c>
      <c r="CK95" s="383" t="e">
        <f t="shared" si="178"/>
        <v>#DIV/0!</v>
      </c>
      <c r="CL95" s="383" t="e">
        <f t="shared" si="178"/>
        <v>#DIV/0!</v>
      </c>
      <c r="CM95" s="383" t="e">
        <f t="shared" si="178"/>
        <v>#DIV/0!</v>
      </c>
      <c r="CN95" s="383" t="e">
        <f t="shared" si="178"/>
        <v>#DIV/0!</v>
      </c>
      <c r="CO95" s="383" t="e">
        <f t="shared" si="178"/>
        <v>#DIV/0!</v>
      </c>
      <c r="CP95" s="383" t="e">
        <f t="shared" si="178"/>
        <v>#DIV/0!</v>
      </c>
      <c r="CQ95" s="383" t="e">
        <f t="shared" si="178"/>
        <v>#DIV/0!</v>
      </c>
    </row>
    <row r="96" spans="3:95">
      <c r="C96" s="391">
        <v>1</v>
      </c>
      <c r="D96" s="391" t="s">
        <v>1404</v>
      </c>
      <c r="E96" s="391">
        <v>1</v>
      </c>
      <c r="F96" s="391" t="s">
        <v>1404</v>
      </c>
      <c r="G96" s="391">
        <v>1</v>
      </c>
      <c r="H96" s="391" t="s">
        <v>1404</v>
      </c>
      <c r="I96" s="390">
        <v>1</v>
      </c>
      <c r="J96" s="390" t="s">
        <v>1405</v>
      </c>
      <c r="K96" s="382" t="s">
        <v>1390</v>
      </c>
      <c r="L96" s="382" t="s">
        <v>1390</v>
      </c>
      <c r="M96" s="391">
        <v>3</v>
      </c>
      <c r="N96" s="391" t="s">
        <v>1404</v>
      </c>
      <c r="O96" s="382" t="s">
        <v>1390</v>
      </c>
      <c r="P96" s="382" t="s">
        <v>1390</v>
      </c>
      <c r="R96" s="386">
        <v>6</v>
      </c>
      <c r="S96" s="383" t="e">
        <f t="shared" si="160"/>
        <v>#DIV/0!</v>
      </c>
      <c r="T96" s="383" t="e">
        <f t="shared" si="160"/>
        <v>#DIV/0!</v>
      </c>
      <c r="U96" s="383" t="e">
        <f t="shared" si="160"/>
        <v>#DIV/0!</v>
      </c>
      <c r="V96" s="383" t="e">
        <f t="shared" si="160"/>
        <v>#DIV/0!</v>
      </c>
      <c r="W96" s="383" t="e">
        <f t="shared" si="160"/>
        <v>#DIV/0!</v>
      </c>
      <c r="X96" s="383" t="e">
        <f t="shared" si="160"/>
        <v>#DIV/0!</v>
      </c>
      <c r="Y96" s="383" t="e">
        <f t="shared" si="160"/>
        <v>#DIV/0!</v>
      </c>
      <c r="Z96" s="383" t="e">
        <f t="shared" si="160"/>
        <v>#DIV/0!</v>
      </c>
      <c r="AA96" s="383" t="e">
        <f t="shared" si="160"/>
        <v>#DIV/0!</v>
      </c>
      <c r="AB96" s="383" t="e">
        <f t="shared" si="160"/>
        <v>#DIV/0!</v>
      </c>
      <c r="AC96" s="383" t="e">
        <f t="shared" si="160"/>
        <v>#DIV/0!</v>
      </c>
      <c r="AD96" s="383" t="e">
        <f t="shared" si="160"/>
        <v>#DIV/0!</v>
      </c>
      <c r="AE96" s="386" t="s">
        <v>1397</v>
      </c>
      <c r="AF96" s="383" t="e">
        <f t="shared" si="175"/>
        <v>#DIV/0!</v>
      </c>
      <c r="AG96" s="383" t="e">
        <f t="shared" si="171"/>
        <v>#DIV/0!</v>
      </c>
      <c r="AH96" s="383" t="e">
        <f t="shared" si="171"/>
        <v>#DIV/0!</v>
      </c>
      <c r="AI96" s="383" t="e">
        <f t="shared" si="171"/>
        <v>#DIV/0!</v>
      </c>
      <c r="AJ96" s="383" t="e">
        <f t="shared" si="171"/>
        <v>#DIV/0!</v>
      </c>
      <c r="AK96" s="383" t="e">
        <f t="shared" si="171"/>
        <v>#DIV/0!</v>
      </c>
      <c r="AL96" s="383" t="e">
        <f t="shared" si="171"/>
        <v>#DIV/0!</v>
      </c>
      <c r="AM96" s="383" t="e">
        <f t="shared" si="171"/>
        <v>#DIV/0!</v>
      </c>
      <c r="AN96" s="383" t="e">
        <f t="shared" si="171"/>
        <v>#DIV/0!</v>
      </c>
      <c r="AO96" s="383" t="e">
        <f t="shared" si="171"/>
        <v>#DIV/0!</v>
      </c>
      <c r="AP96" s="383" t="e">
        <f t="shared" si="171"/>
        <v>#DIV/0!</v>
      </c>
      <c r="AQ96" s="383" t="e">
        <f t="shared" si="171"/>
        <v>#DIV/0!</v>
      </c>
      <c r="AR96" s="386" t="s">
        <v>1390</v>
      </c>
      <c r="AS96" s="383" t="e">
        <f t="shared" si="172"/>
        <v>#DIV/0!</v>
      </c>
      <c r="AT96" s="383" t="e">
        <f t="shared" si="172"/>
        <v>#DIV/0!</v>
      </c>
      <c r="AU96" s="383" t="e">
        <f t="shared" si="172"/>
        <v>#DIV/0!</v>
      </c>
      <c r="AV96" s="383" t="e">
        <f t="shared" si="172"/>
        <v>#DIV/0!</v>
      </c>
      <c r="AW96" s="383" t="e">
        <f t="shared" si="172"/>
        <v>#DIV/0!</v>
      </c>
      <c r="AX96" s="383" t="e">
        <f t="shared" si="172"/>
        <v>#DIV/0!</v>
      </c>
      <c r="AY96" s="383" t="e">
        <f t="shared" si="172"/>
        <v>#DIV/0!</v>
      </c>
      <c r="AZ96" s="383" t="e">
        <f t="shared" si="172"/>
        <v>#DIV/0!</v>
      </c>
      <c r="BA96" s="383" t="e">
        <f t="shared" si="172"/>
        <v>#DIV/0!</v>
      </c>
      <c r="BB96" s="383" t="e">
        <f t="shared" si="172"/>
        <v>#DIV/0!</v>
      </c>
      <c r="BC96" s="383" t="e">
        <f t="shared" si="172"/>
        <v>#DIV/0!</v>
      </c>
      <c r="BD96" s="383" t="e">
        <f t="shared" si="172"/>
        <v>#DIV/0!</v>
      </c>
      <c r="BE96" s="386" t="s">
        <v>1396</v>
      </c>
      <c r="BF96" s="383" t="e">
        <f>IF(AS96="","",IF(BF$18&gt;=1,"〇",""))</f>
        <v>#DIV/0!</v>
      </c>
      <c r="BG96" s="383" t="e">
        <f t="shared" ref="BG96:BQ96" si="179">IF(AT96="","",IF(BG$18&gt;=1,"〇",""))</f>
        <v>#DIV/0!</v>
      </c>
      <c r="BH96" s="383" t="e">
        <f t="shared" si="179"/>
        <v>#DIV/0!</v>
      </c>
      <c r="BI96" s="383" t="e">
        <f t="shared" si="179"/>
        <v>#DIV/0!</v>
      </c>
      <c r="BJ96" s="383" t="e">
        <f t="shared" si="179"/>
        <v>#DIV/0!</v>
      </c>
      <c r="BK96" s="383" t="e">
        <f t="shared" si="179"/>
        <v>#DIV/0!</v>
      </c>
      <c r="BL96" s="383" t="e">
        <f t="shared" si="179"/>
        <v>#DIV/0!</v>
      </c>
      <c r="BM96" s="383" t="e">
        <f t="shared" si="179"/>
        <v>#DIV/0!</v>
      </c>
      <c r="BN96" s="383" t="e">
        <f t="shared" si="179"/>
        <v>#DIV/0!</v>
      </c>
      <c r="BO96" s="383" t="e">
        <f t="shared" si="179"/>
        <v>#DIV/0!</v>
      </c>
      <c r="BP96" s="383" t="e">
        <f t="shared" si="179"/>
        <v>#DIV/0!</v>
      </c>
      <c r="BQ96" s="383" t="e">
        <f t="shared" si="179"/>
        <v>#DIV/0!</v>
      </c>
      <c r="BR96" s="386" t="s">
        <v>1390</v>
      </c>
      <c r="BS96" s="383" t="e">
        <f t="shared" ref="BS96:CD103" si="180">IF(BF96="","","〇")</f>
        <v>#DIV/0!</v>
      </c>
      <c r="BT96" s="383" t="e">
        <f t="shared" si="180"/>
        <v>#DIV/0!</v>
      </c>
      <c r="BU96" s="383" t="e">
        <f t="shared" si="180"/>
        <v>#DIV/0!</v>
      </c>
      <c r="BV96" s="383" t="e">
        <f t="shared" si="180"/>
        <v>#DIV/0!</v>
      </c>
      <c r="BW96" s="383" t="e">
        <f t="shared" si="180"/>
        <v>#DIV/0!</v>
      </c>
      <c r="BX96" s="383" t="e">
        <f t="shared" si="180"/>
        <v>#DIV/0!</v>
      </c>
      <c r="BY96" s="383" t="e">
        <f t="shared" si="180"/>
        <v>#DIV/0!</v>
      </c>
      <c r="BZ96" s="383" t="e">
        <f t="shared" si="180"/>
        <v>#DIV/0!</v>
      </c>
      <c r="CA96" s="383" t="e">
        <f t="shared" si="180"/>
        <v>#DIV/0!</v>
      </c>
      <c r="CB96" s="383" t="e">
        <f t="shared" si="180"/>
        <v>#DIV/0!</v>
      </c>
      <c r="CC96" s="383" t="e">
        <f t="shared" si="180"/>
        <v>#DIV/0!</v>
      </c>
      <c r="CD96" s="383" t="e">
        <f t="shared" si="180"/>
        <v>#DIV/0!</v>
      </c>
      <c r="CE96" s="386" t="s">
        <v>1390</v>
      </c>
      <c r="CF96" s="383" t="e">
        <f t="shared" si="178"/>
        <v>#DIV/0!</v>
      </c>
      <c r="CG96" s="383" t="e">
        <f t="shared" si="178"/>
        <v>#DIV/0!</v>
      </c>
      <c r="CH96" s="383" t="e">
        <f t="shared" si="178"/>
        <v>#DIV/0!</v>
      </c>
      <c r="CI96" s="383" t="e">
        <f t="shared" si="178"/>
        <v>#DIV/0!</v>
      </c>
      <c r="CJ96" s="383" t="e">
        <f t="shared" si="178"/>
        <v>#DIV/0!</v>
      </c>
      <c r="CK96" s="383" t="e">
        <f t="shared" si="178"/>
        <v>#DIV/0!</v>
      </c>
      <c r="CL96" s="383" t="e">
        <f t="shared" si="178"/>
        <v>#DIV/0!</v>
      </c>
      <c r="CM96" s="383" t="e">
        <f t="shared" si="178"/>
        <v>#DIV/0!</v>
      </c>
      <c r="CN96" s="383" t="e">
        <f t="shared" si="178"/>
        <v>#DIV/0!</v>
      </c>
      <c r="CO96" s="383" t="e">
        <f t="shared" si="178"/>
        <v>#DIV/0!</v>
      </c>
      <c r="CP96" s="383" t="e">
        <f t="shared" si="178"/>
        <v>#DIV/0!</v>
      </c>
      <c r="CQ96" s="383" t="e">
        <f t="shared" si="178"/>
        <v>#DIV/0!</v>
      </c>
    </row>
    <row r="97" spans="3:95">
      <c r="C97" s="391">
        <v>1</v>
      </c>
      <c r="D97" s="391" t="s">
        <v>1404</v>
      </c>
      <c r="E97" s="391">
        <v>1</v>
      </c>
      <c r="F97" s="391" t="s">
        <v>1404</v>
      </c>
      <c r="G97" s="391">
        <v>1</v>
      </c>
      <c r="H97" s="391" t="s">
        <v>1404</v>
      </c>
      <c r="I97" s="391">
        <v>1</v>
      </c>
      <c r="J97" s="391" t="s">
        <v>1404</v>
      </c>
      <c r="K97" s="382" t="s">
        <v>1390</v>
      </c>
      <c r="L97" s="382" t="s">
        <v>1390</v>
      </c>
      <c r="M97" s="382" t="s">
        <v>1390</v>
      </c>
      <c r="N97" s="382" t="s">
        <v>1390</v>
      </c>
      <c r="O97" s="382" t="s">
        <v>1390</v>
      </c>
      <c r="P97" s="382" t="s">
        <v>1390</v>
      </c>
      <c r="R97" s="386">
        <v>7</v>
      </c>
      <c r="S97" s="383" t="e">
        <f>IF(AND(S$18&gt;=7,S$18&lt;8),"〇","")</f>
        <v>#DIV/0!</v>
      </c>
      <c r="T97" s="383" t="e">
        <f t="shared" ref="T97:AD97" si="181">IF(AND(T$18&gt;=7,T$18&lt;8),"〇","")</f>
        <v>#DIV/0!</v>
      </c>
      <c r="U97" s="383" t="e">
        <f t="shared" si="181"/>
        <v>#DIV/0!</v>
      </c>
      <c r="V97" s="383" t="e">
        <f t="shared" si="181"/>
        <v>#DIV/0!</v>
      </c>
      <c r="W97" s="383" t="e">
        <f t="shared" si="181"/>
        <v>#DIV/0!</v>
      </c>
      <c r="X97" s="383" t="e">
        <f t="shared" si="181"/>
        <v>#DIV/0!</v>
      </c>
      <c r="Y97" s="383" t="e">
        <f t="shared" si="181"/>
        <v>#DIV/0!</v>
      </c>
      <c r="Z97" s="383" t="e">
        <f t="shared" si="181"/>
        <v>#DIV/0!</v>
      </c>
      <c r="AA97" s="383" t="e">
        <f t="shared" si="181"/>
        <v>#DIV/0!</v>
      </c>
      <c r="AB97" s="383" t="e">
        <f t="shared" si="181"/>
        <v>#DIV/0!</v>
      </c>
      <c r="AC97" s="383" t="e">
        <f t="shared" si="181"/>
        <v>#DIV/0!</v>
      </c>
      <c r="AD97" s="383" t="e">
        <f t="shared" si="181"/>
        <v>#DIV/0!</v>
      </c>
      <c r="AE97" s="386">
        <v>0</v>
      </c>
      <c r="AF97" s="383" t="e">
        <f t="shared" si="161"/>
        <v>#DIV/0!</v>
      </c>
      <c r="AG97" s="383" t="e">
        <f t="shared" si="161"/>
        <v>#DIV/0!</v>
      </c>
      <c r="AH97" s="383" t="e">
        <f t="shared" si="161"/>
        <v>#DIV/0!</v>
      </c>
      <c r="AI97" s="383" t="e">
        <f t="shared" si="161"/>
        <v>#DIV/0!</v>
      </c>
      <c r="AJ97" s="383" t="e">
        <f t="shared" si="161"/>
        <v>#DIV/0!</v>
      </c>
      <c r="AK97" s="383" t="e">
        <f t="shared" si="161"/>
        <v>#DIV/0!</v>
      </c>
      <c r="AL97" s="383" t="e">
        <f t="shared" si="161"/>
        <v>#DIV/0!</v>
      </c>
      <c r="AM97" s="383" t="e">
        <f t="shared" si="161"/>
        <v>#DIV/0!</v>
      </c>
      <c r="AN97" s="383" t="e">
        <f t="shared" si="161"/>
        <v>#DIV/0!</v>
      </c>
      <c r="AO97" s="383" t="e">
        <f t="shared" si="161"/>
        <v>#DIV/0!</v>
      </c>
      <c r="AP97" s="383" t="e">
        <f t="shared" si="161"/>
        <v>#DIV/0!</v>
      </c>
      <c r="AQ97" s="383" t="e">
        <f t="shared" si="161"/>
        <v>#DIV/0!</v>
      </c>
      <c r="AR97" s="386">
        <v>0</v>
      </c>
      <c r="AS97" s="383" t="e">
        <f t="shared" ref="AS97:BD122" si="182">IF(AF97="","",IF(AS$18=$AR97,"〇",""))</f>
        <v>#DIV/0!</v>
      </c>
      <c r="AT97" s="383" t="e">
        <f t="shared" si="182"/>
        <v>#DIV/0!</v>
      </c>
      <c r="AU97" s="383" t="e">
        <f t="shared" si="182"/>
        <v>#DIV/0!</v>
      </c>
      <c r="AV97" s="383" t="e">
        <f t="shared" si="182"/>
        <v>#DIV/0!</v>
      </c>
      <c r="AW97" s="383" t="e">
        <f t="shared" si="182"/>
        <v>#DIV/0!</v>
      </c>
      <c r="AX97" s="383" t="e">
        <f t="shared" si="182"/>
        <v>#DIV/0!</v>
      </c>
      <c r="AY97" s="383" t="e">
        <f t="shared" si="182"/>
        <v>#DIV/0!</v>
      </c>
      <c r="AZ97" s="383" t="e">
        <f t="shared" si="182"/>
        <v>#DIV/0!</v>
      </c>
      <c r="BA97" s="383" t="e">
        <f t="shared" si="182"/>
        <v>#DIV/0!</v>
      </c>
      <c r="BB97" s="383" t="e">
        <f t="shared" si="182"/>
        <v>#DIV/0!</v>
      </c>
      <c r="BC97" s="383" t="e">
        <f t="shared" si="182"/>
        <v>#DIV/0!</v>
      </c>
      <c r="BD97" s="383" t="e">
        <f t="shared" si="182"/>
        <v>#DIV/0!</v>
      </c>
      <c r="BE97" s="386" t="s">
        <v>1390</v>
      </c>
      <c r="BF97" s="383" t="e">
        <f t="shared" ref="BF97:BQ103" si="183">IF(AS97="","","〇")</f>
        <v>#DIV/0!</v>
      </c>
      <c r="BG97" s="383" t="e">
        <f t="shared" si="183"/>
        <v>#DIV/0!</v>
      </c>
      <c r="BH97" s="383" t="e">
        <f t="shared" si="183"/>
        <v>#DIV/0!</v>
      </c>
      <c r="BI97" s="383" t="e">
        <f t="shared" si="183"/>
        <v>#DIV/0!</v>
      </c>
      <c r="BJ97" s="383" t="e">
        <f t="shared" si="183"/>
        <v>#DIV/0!</v>
      </c>
      <c r="BK97" s="383" t="e">
        <f t="shared" si="183"/>
        <v>#DIV/0!</v>
      </c>
      <c r="BL97" s="383" t="e">
        <f t="shared" si="183"/>
        <v>#DIV/0!</v>
      </c>
      <c r="BM97" s="383" t="e">
        <f t="shared" si="183"/>
        <v>#DIV/0!</v>
      </c>
      <c r="BN97" s="383" t="e">
        <f t="shared" si="183"/>
        <v>#DIV/0!</v>
      </c>
      <c r="BO97" s="383" t="e">
        <f t="shared" si="183"/>
        <v>#DIV/0!</v>
      </c>
      <c r="BP97" s="383" t="e">
        <f t="shared" si="183"/>
        <v>#DIV/0!</v>
      </c>
      <c r="BQ97" s="383" t="e">
        <f t="shared" si="183"/>
        <v>#DIV/0!</v>
      </c>
      <c r="BR97" s="386" t="s">
        <v>1390</v>
      </c>
      <c r="BS97" s="383" t="e">
        <f t="shared" si="180"/>
        <v>#DIV/0!</v>
      </c>
      <c r="BT97" s="383" t="e">
        <f t="shared" si="180"/>
        <v>#DIV/0!</v>
      </c>
      <c r="BU97" s="383" t="e">
        <f t="shared" si="180"/>
        <v>#DIV/0!</v>
      </c>
      <c r="BV97" s="383" t="e">
        <f t="shared" si="180"/>
        <v>#DIV/0!</v>
      </c>
      <c r="BW97" s="383" t="e">
        <f t="shared" si="180"/>
        <v>#DIV/0!</v>
      </c>
      <c r="BX97" s="383" t="e">
        <f t="shared" si="180"/>
        <v>#DIV/0!</v>
      </c>
      <c r="BY97" s="383" t="e">
        <f t="shared" si="180"/>
        <v>#DIV/0!</v>
      </c>
      <c r="BZ97" s="383" t="e">
        <f t="shared" si="180"/>
        <v>#DIV/0!</v>
      </c>
      <c r="CA97" s="383" t="e">
        <f t="shared" si="180"/>
        <v>#DIV/0!</v>
      </c>
      <c r="CB97" s="383" t="e">
        <f t="shared" si="180"/>
        <v>#DIV/0!</v>
      </c>
      <c r="CC97" s="383" t="e">
        <f t="shared" si="180"/>
        <v>#DIV/0!</v>
      </c>
      <c r="CD97" s="383" t="e">
        <f t="shared" si="180"/>
        <v>#DIV/0!</v>
      </c>
      <c r="CE97" s="386" t="s">
        <v>1390</v>
      </c>
      <c r="CF97" s="383" t="e">
        <f t="shared" si="178"/>
        <v>#DIV/0!</v>
      </c>
      <c r="CG97" s="383" t="e">
        <f t="shared" si="178"/>
        <v>#DIV/0!</v>
      </c>
      <c r="CH97" s="383" t="e">
        <f t="shared" si="178"/>
        <v>#DIV/0!</v>
      </c>
      <c r="CI97" s="383" t="e">
        <f t="shared" si="178"/>
        <v>#DIV/0!</v>
      </c>
      <c r="CJ97" s="383" t="e">
        <f t="shared" si="178"/>
        <v>#DIV/0!</v>
      </c>
      <c r="CK97" s="383" t="e">
        <f t="shared" si="178"/>
        <v>#DIV/0!</v>
      </c>
      <c r="CL97" s="383" t="e">
        <f t="shared" si="178"/>
        <v>#DIV/0!</v>
      </c>
      <c r="CM97" s="383" t="e">
        <f t="shared" si="178"/>
        <v>#DIV/0!</v>
      </c>
      <c r="CN97" s="383" t="e">
        <f t="shared" si="178"/>
        <v>#DIV/0!</v>
      </c>
      <c r="CO97" s="383" t="e">
        <f t="shared" si="178"/>
        <v>#DIV/0!</v>
      </c>
      <c r="CP97" s="383" t="e">
        <f t="shared" si="178"/>
        <v>#DIV/0!</v>
      </c>
      <c r="CQ97" s="383" t="e">
        <f t="shared" si="178"/>
        <v>#DIV/0!</v>
      </c>
    </row>
    <row r="98" spans="3:95">
      <c r="C98" s="391">
        <v>1</v>
      </c>
      <c r="D98" s="391" t="s">
        <v>1404</v>
      </c>
      <c r="E98" s="391">
        <v>1</v>
      </c>
      <c r="F98" s="391" t="s">
        <v>1404</v>
      </c>
      <c r="G98" s="391">
        <v>1</v>
      </c>
      <c r="H98" s="391" t="s">
        <v>1404</v>
      </c>
      <c r="I98" s="391">
        <v>1</v>
      </c>
      <c r="J98" s="391" t="s">
        <v>1404</v>
      </c>
      <c r="K98" s="382" t="s">
        <v>1390</v>
      </c>
      <c r="L98" s="382" t="s">
        <v>1390</v>
      </c>
      <c r="M98" s="382" t="s">
        <v>1390</v>
      </c>
      <c r="N98" s="382" t="s">
        <v>1390</v>
      </c>
      <c r="O98" s="391">
        <v>1</v>
      </c>
      <c r="P98" s="391" t="s">
        <v>1404</v>
      </c>
      <c r="R98" s="386">
        <v>7</v>
      </c>
      <c r="S98" s="383" t="e">
        <f t="shared" ref="S98:AD111" si="184">IF(AND(S$18&gt;=7,S$18&lt;8),"〇","")</f>
        <v>#DIV/0!</v>
      </c>
      <c r="T98" s="383" t="e">
        <f t="shared" si="184"/>
        <v>#DIV/0!</v>
      </c>
      <c r="U98" s="383" t="e">
        <f t="shared" si="184"/>
        <v>#DIV/0!</v>
      </c>
      <c r="V98" s="383" t="e">
        <f t="shared" si="184"/>
        <v>#DIV/0!</v>
      </c>
      <c r="W98" s="383" t="e">
        <f t="shared" si="184"/>
        <v>#DIV/0!</v>
      </c>
      <c r="X98" s="383" t="e">
        <f t="shared" si="184"/>
        <v>#DIV/0!</v>
      </c>
      <c r="Y98" s="383" t="e">
        <f t="shared" si="184"/>
        <v>#DIV/0!</v>
      </c>
      <c r="Z98" s="383" t="e">
        <f t="shared" si="184"/>
        <v>#DIV/0!</v>
      </c>
      <c r="AA98" s="383" t="e">
        <f t="shared" si="184"/>
        <v>#DIV/0!</v>
      </c>
      <c r="AB98" s="383" t="e">
        <f t="shared" si="184"/>
        <v>#DIV/0!</v>
      </c>
      <c r="AC98" s="383" t="e">
        <f t="shared" si="184"/>
        <v>#DIV/0!</v>
      </c>
      <c r="AD98" s="383" t="e">
        <f t="shared" si="184"/>
        <v>#DIV/0!</v>
      </c>
      <c r="AE98" s="386">
        <v>0</v>
      </c>
      <c r="AF98" s="383" t="e">
        <f t="shared" si="161"/>
        <v>#DIV/0!</v>
      </c>
      <c r="AG98" s="383" t="e">
        <f t="shared" si="161"/>
        <v>#DIV/0!</v>
      </c>
      <c r="AH98" s="383" t="e">
        <f t="shared" si="161"/>
        <v>#DIV/0!</v>
      </c>
      <c r="AI98" s="383" t="e">
        <f t="shared" si="161"/>
        <v>#DIV/0!</v>
      </c>
      <c r="AJ98" s="383" t="e">
        <f t="shared" si="161"/>
        <v>#DIV/0!</v>
      </c>
      <c r="AK98" s="383" t="e">
        <f t="shared" si="161"/>
        <v>#DIV/0!</v>
      </c>
      <c r="AL98" s="383" t="e">
        <f t="shared" si="161"/>
        <v>#DIV/0!</v>
      </c>
      <c r="AM98" s="383" t="e">
        <f t="shared" si="161"/>
        <v>#DIV/0!</v>
      </c>
      <c r="AN98" s="383" t="e">
        <f t="shared" si="161"/>
        <v>#DIV/0!</v>
      </c>
      <c r="AO98" s="383" t="e">
        <f t="shared" si="161"/>
        <v>#DIV/0!</v>
      </c>
      <c r="AP98" s="383" t="e">
        <f t="shared" si="161"/>
        <v>#DIV/0!</v>
      </c>
      <c r="AQ98" s="383" t="e">
        <f t="shared" si="161"/>
        <v>#DIV/0!</v>
      </c>
      <c r="AR98" s="386">
        <v>1</v>
      </c>
      <c r="AS98" s="383" t="e">
        <f t="shared" si="182"/>
        <v>#DIV/0!</v>
      </c>
      <c r="AT98" s="383" t="e">
        <f t="shared" si="182"/>
        <v>#DIV/0!</v>
      </c>
      <c r="AU98" s="383" t="e">
        <f t="shared" si="182"/>
        <v>#DIV/0!</v>
      </c>
      <c r="AV98" s="383" t="e">
        <f t="shared" si="182"/>
        <v>#DIV/0!</v>
      </c>
      <c r="AW98" s="383" t="e">
        <f t="shared" si="182"/>
        <v>#DIV/0!</v>
      </c>
      <c r="AX98" s="383" t="e">
        <f t="shared" si="182"/>
        <v>#DIV/0!</v>
      </c>
      <c r="AY98" s="383" t="e">
        <f t="shared" si="182"/>
        <v>#DIV/0!</v>
      </c>
      <c r="AZ98" s="383" t="e">
        <f t="shared" si="182"/>
        <v>#DIV/0!</v>
      </c>
      <c r="BA98" s="383" t="e">
        <f t="shared" si="182"/>
        <v>#DIV/0!</v>
      </c>
      <c r="BB98" s="383" t="e">
        <f t="shared" si="182"/>
        <v>#DIV/0!</v>
      </c>
      <c r="BC98" s="383" t="e">
        <f t="shared" si="182"/>
        <v>#DIV/0!</v>
      </c>
      <c r="BD98" s="383" t="e">
        <f t="shared" si="182"/>
        <v>#DIV/0!</v>
      </c>
      <c r="BE98" s="386" t="s">
        <v>1390</v>
      </c>
      <c r="BF98" s="383" t="e">
        <f t="shared" si="183"/>
        <v>#DIV/0!</v>
      </c>
      <c r="BG98" s="383" t="e">
        <f t="shared" si="183"/>
        <v>#DIV/0!</v>
      </c>
      <c r="BH98" s="383" t="e">
        <f t="shared" si="183"/>
        <v>#DIV/0!</v>
      </c>
      <c r="BI98" s="383" t="e">
        <f t="shared" si="183"/>
        <v>#DIV/0!</v>
      </c>
      <c r="BJ98" s="383" t="e">
        <f t="shared" si="183"/>
        <v>#DIV/0!</v>
      </c>
      <c r="BK98" s="383" t="e">
        <f t="shared" si="183"/>
        <v>#DIV/0!</v>
      </c>
      <c r="BL98" s="383" t="e">
        <f t="shared" si="183"/>
        <v>#DIV/0!</v>
      </c>
      <c r="BM98" s="383" t="e">
        <f t="shared" si="183"/>
        <v>#DIV/0!</v>
      </c>
      <c r="BN98" s="383" t="e">
        <f t="shared" si="183"/>
        <v>#DIV/0!</v>
      </c>
      <c r="BO98" s="383" t="e">
        <f t="shared" si="183"/>
        <v>#DIV/0!</v>
      </c>
      <c r="BP98" s="383" t="e">
        <f t="shared" si="183"/>
        <v>#DIV/0!</v>
      </c>
      <c r="BQ98" s="383" t="e">
        <f t="shared" si="183"/>
        <v>#DIV/0!</v>
      </c>
      <c r="BR98" s="386" t="s">
        <v>1390</v>
      </c>
      <c r="BS98" s="383" t="e">
        <f t="shared" si="180"/>
        <v>#DIV/0!</v>
      </c>
      <c r="BT98" s="383" t="e">
        <f t="shared" si="180"/>
        <v>#DIV/0!</v>
      </c>
      <c r="BU98" s="383" t="e">
        <f t="shared" si="180"/>
        <v>#DIV/0!</v>
      </c>
      <c r="BV98" s="383" t="e">
        <f t="shared" si="180"/>
        <v>#DIV/0!</v>
      </c>
      <c r="BW98" s="383" t="e">
        <f t="shared" si="180"/>
        <v>#DIV/0!</v>
      </c>
      <c r="BX98" s="383" t="e">
        <f t="shared" si="180"/>
        <v>#DIV/0!</v>
      </c>
      <c r="BY98" s="383" t="e">
        <f t="shared" si="180"/>
        <v>#DIV/0!</v>
      </c>
      <c r="BZ98" s="383" t="e">
        <f t="shared" si="180"/>
        <v>#DIV/0!</v>
      </c>
      <c r="CA98" s="383" t="e">
        <f t="shared" si="180"/>
        <v>#DIV/0!</v>
      </c>
      <c r="CB98" s="383" t="e">
        <f t="shared" si="180"/>
        <v>#DIV/0!</v>
      </c>
      <c r="CC98" s="383" t="e">
        <f t="shared" si="180"/>
        <v>#DIV/0!</v>
      </c>
      <c r="CD98" s="383" t="e">
        <f t="shared" si="180"/>
        <v>#DIV/0!</v>
      </c>
      <c r="CE98" s="386" t="s">
        <v>1390</v>
      </c>
      <c r="CF98" s="383" t="e">
        <f t="shared" si="178"/>
        <v>#DIV/0!</v>
      </c>
      <c r="CG98" s="383" t="e">
        <f t="shared" si="178"/>
        <v>#DIV/0!</v>
      </c>
      <c r="CH98" s="383" t="e">
        <f t="shared" si="178"/>
        <v>#DIV/0!</v>
      </c>
      <c r="CI98" s="383" t="e">
        <f t="shared" si="178"/>
        <v>#DIV/0!</v>
      </c>
      <c r="CJ98" s="383" t="e">
        <f t="shared" si="178"/>
        <v>#DIV/0!</v>
      </c>
      <c r="CK98" s="383" t="e">
        <f t="shared" si="178"/>
        <v>#DIV/0!</v>
      </c>
      <c r="CL98" s="383" t="e">
        <f t="shared" si="178"/>
        <v>#DIV/0!</v>
      </c>
      <c r="CM98" s="383" t="e">
        <f t="shared" si="178"/>
        <v>#DIV/0!</v>
      </c>
      <c r="CN98" s="383" t="e">
        <f t="shared" si="178"/>
        <v>#DIV/0!</v>
      </c>
      <c r="CO98" s="383" t="e">
        <f t="shared" si="178"/>
        <v>#DIV/0!</v>
      </c>
      <c r="CP98" s="383" t="e">
        <f t="shared" si="178"/>
        <v>#DIV/0!</v>
      </c>
      <c r="CQ98" s="383" t="e">
        <f t="shared" si="178"/>
        <v>#DIV/0!</v>
      </c>
    </row>
    <row r="99" spans="3:95">
      <c r="C99" s="391">
        <v>1</v>
      </c>
      <c r="D99" s="391" t="s">
        <v>1404</v>
      </c>
      <c r="E99" s="391">
        <v>1</v>
      </c>
      <c r="F99" s="391" t="s">
        <v>1404</v>
      </c>
      <c r="G99" s="391">
        <v>1</v>
      </c>
      <c r="H99" s="391" t="s">
        <v>1404</v>
      </c>
      <c r="I99" s="391">
        <v>1</v>
      </c>
      <c r="J99" s="391" t="s">
        <v>1404</v>
      </c>
      <c r="K99" s="382" t="s">
        <v>1390</v>
      </c>
      <c r="L99" s="382" t="s">
        <v>1390</v>
      </c>
      <c r="M99" s="391">
        <v>1</v>
      </c>
      <c r="N99" s="391" t="s">
        <v>1404</v>
      </c>
      <c r="O99" s="382" t="s">
        <v>1390</v>
      </c>
      <c r="P99" s="382" t="s">
        <v>1390</v>
      </c>
      <c r="R99" s="386">
        <v>7</v>
      </c>
      <c r="S99" s="383" t="e">
        <f t="shared" si="184"/>
        <v>#DIV/0!</v>
      </c>
      <c r="T99" s="383" t="e">
        <f t="shared" si="184"/>
        <v>#DIV/0!</v>
      </c>
      <c r="U99" s="383" t="e">
        <f t="shared" si="184"/>
        <v>#DIV/0!</v>
      </c>
      <c r="V99" s="383" t="e">
        <f t="shared" si="184"/>
        <v>#DIV/0!</v>
      </c>
      <c r="W99" s="383" t="e">
        <f t="shared" si="184"/>
        <v>#DIV/0!</v>
      </c>
      <c r="X99" s="383" t="e">
        <f t="shared" si="184"/>
        <v>#DIV/0!</v>
      </c>
      <c r="Y99" s="383" t="e">
        <f t="shared" si="184"/>
        <v>#DIV/0!</v>
      </c>
      <c r="Z99" s="383" t="e">
        <f t="shared" si="184"/>
        <v>#DIV/0!</v>
      </c>
      <c r="AA99" s="383" t="e">
        <f t="shared" si="184"/>
        <v>#DIV/0!</v>
      </c>
      <c r="AB99" s="383" t="e">
        <f t="shared" si="184"/>
        <v>#DIV/0!</v>
      </c>
      <c r="AC99" s="383" t="e">
        <f t="shared" si="184"/>
        <v>#DIV/0!</v>
      </c>
      <c r="AD99" s="383" t="e">
        <f t="shared" si="184"/>
        <v>#DIV/0!</v>
      </c>
      <c r="AE99" s="386">
        <v>1</v>
      </c>
      <c r="AF99" s="383" t="e">
        <f t="shared" ref="AF99:AQ107" si="185">IF(S99="","",IF(AF$18=$AE99,"〇",""))</f>
        <v>#DIV/0!</v>
      </c>
      <c r="AG99" s="383" t="e">
        <f t="shared" si="185"/>
        <v>#DIV/0!</v>
      </c>
      <c r="AH99" s="383" t="e">
        <f t="shared" si="185"/>
        <v>#DIV/0!</v>
      </c>
      <c r="AI99" s="383" t="e">
        <f t="shared" si="185"/>
        <v>#DIV/0!</v>
      </c>
      <c r="AJ99" s="383" t="e">
        <f t="shared" si="185"/>
        <v>#DIV/0!</v>
      </c>
      <c r="AK99" s="383" t="e">
        <f t="shared" si="185"/>
        <v>#DIV/0!</v>
      </c>
      <c r="AL99" s="383" t="e">
        <f t="shared" si="185"/>
        <v>#DIV/0!</v>
      </c>
      <c r="AM99" s="383" t="e">
        <f t="shared" si="185"/>
        <v>#DIV/0!</v>
      </c>
      <c r="AN99" s="383" t="e">
        <f t="shared" si="185"/>
        <v>#DIV/0!</v>
      </c>
      <c r="AO99" s="383" t="e">
        <f t="shared" si="185"/>
        <v>#DIV/0!</v>
      </c>
      <c r="AP99" s="383" t="e">
        <f t="shared" si="185"/>
        <v>#DIV/0!</v>
      </c>
      <c r="AQ99" s="383" t="e">
        <f t="shared" si="185"/>
        <v>#DIV/0!</v>
      </c>
      <c r="AR99" s="386">
        <v>0</v>
      </c>
      <c r="AS99" s="383" t="e">
        <f t="shared" si="182"/>
        <v>#DIV/0!</v>
      </c>
      <c r="AT99" s="383" t="e">
        <f t="shared" si="182"/>
        <v>#DIV/0!</v>
      </c>
      <c r="AU99" s="383" t="e">
        <f t="shared" si="182"/>
        <v>#DIV/0!</v>
      </c>
      <c r="AV99" s="383" t="e">
        <f t="shared" si="182"/>
        <v>#DIV/0!</v>
      </c>
      <c r="AW99" s="383" t="e">
        <f t="shared" si="182"/>
        <v>#DIV/0!</v>
      </c>
      <c r="AX99" s="383" t="e">
        <f t="shared" si="182"/>
        <v>#DIV/0!</v>
      </c>
      <c r="AY99" s="383" t="e">
        <f t="shared" si="182"/>
        <v>#DIV/0!</v>
      </c>
      <c r="AZ99" s="383" t="e">
        <f t="shared" si="182"/>
        <v>#DIV/0!</v>
      </c>
      <c r="BA99" s="383" t="e">
        <f t="shared" si="182"/>
        <v>#DIV/0!</v>
      </c>
      <c r="BB99" s="383" t="e">
        <f t="shared" si="182"/>
        <v>#DIV/0!</v>
      </c>
      <c r="BC99" s="383" t="e">
        <f t="shared" si="182"/>
        <v>#DIV/0!</v>
      </c>
      <c r="BD99" s="383" t="e">
        <f t="shared" si="182"/>
        <v>#DIV/0!</v>
      </c>
      <c r="BE99" s="386" t="s">
        <v>1390</v>
      </c>
      <c r="BF99" s="383" t="e">
        <f t="shared" si="183"/>
        <v>#DIV/0!</v>
      </c>
      <c r="BG99" s="383" t="e">
        <f t="shared" si="183"/>
        <v>#DIV/0!</v>
      </c>
      <c r="BH99" s="383" t="e">
        <f t="shared" si="183"/>
        <v>#DIV/0!</v>
      </c>
      <c r="BI99" s="383" t="e">
        <f t="shared" si="183"/>
        <v>#DIV/0!</v>
      </c>
      <c r="BJ99" s="383" t="e">
        <f t="shared" si="183"/>
        <v>#DIV/0!</v>
      </c>
      <c r="BK99" s="383" t="e">
        <f t="shared" si="183"/>
        <v>#DIV/0!</v>
      </c>
      <c r="BL99" s="383" t="e">
        <f t="shared" si="183"/>
        <v>#DIV/0!</v>
      </c>
      <c r="BM99" s="383" t="e">
        <f t="shared" si="183"/>
        <v>#DIV/0!</v>
      </c>
      <c r="BN99" s="383" t="e">
        <f t="shared" si="183"/>
        <v>#DIV/0!</v>
      </c>
      <c r="BO99" s="383" t="e">
        <f t="shared" si="183"/>
        <v>#DIV/0!</v>
      </c>
      <c r="BP99" s="383" t="e">
        <f t="shared" si="183"/>
        <v>#DIV/0!</v>
      </c>
      <c r="BQ99" s="383" t="e">
        <f t="shared" si="183"/>
        <v>#DIV/0!</v>
      </c>
      <c r="BR99" s="386" t="s">
        <v>1390</v>
      </c>
      <c r="BS99" s="383" t="e">
        <f t="shared" si="180"/>
        <v>#DIV/0!</v>
      </c>
      <c r="BT99" s="383" t="e">
        <f t="shared" si="180"/>
        <v>#DIV/0!</v>
      </c>
      <c r="BU99" s="383" t="e">
        <f t="shared" si="180"/>
        <v>#DIV/0!</v>
      </c>
      <c r="BV99" s="383" t="e">
        <f t="shared" si="180"/>
        <v>#DIV/0!</v>
      </c>
      <c r="BW99" s="383" t="e">
        <f t="shared" si="180"/>
        <v>#DIV/0!</v>
      </c>
      <c r="BX99" s="383" t="e">
        <f t="shared" si="180"/>
        <v>#DIV/0!</v>
      </c>
      <c r="BY99" s="383" t="e">
        <f t="shared" si="180"/>
        <v>#DIV/0!</v>
      </c>
      <c r="BZ99" s="383" t="e">
        <f t="shared" si="180"/>
        <v>#DIV/0!</v>
      </c>
      <c r="CA99" s="383" t="e">
        <f t="shared" si="180"/>
        <v>#DIV/0!</v>
      </c>
      <c r="CB99" s="383" t="e">
        <f t="shared" si="180"/>
        <v>#DIV/0!</v>
      </c>
      <c r="CC99" s="383" t="e">
        <f t="shared" si="180"/>
        <v>#DIV/0!</v>
      </c>
      <c r="CD99" s="383" t="e">
        <f t="shared" si="180"/>
        <v>#DIV/0!</v>
      </c>
      <c r="CE99" s="386" t="s">
        <v>1390</v>
      </c>
      <c r="CF99" s="383" t="e">
        <f t="shared" si="178"/>
        <v>#DIV/0!</v>
      </c>
      <c r="CG99" s="383" t="e">
        <f t="shared" si="178"/>
        <v>#DIV/0!</v>
      </c>
      <c r="CH99" s="383" t="e">
        <f t="shared" si="178"/>
        <v>#DIV/0!</v>
      </c>
      <c r="CI99" s="383" t="e">
        <f t="shared" si="178"/>
        <v>#DIV/0!</v>
      </c>
      <c r="CJ99" s="383" t="e">
        <f t="shared" si="178"/>
        <v>#DIV/0!</v>
      </c>
      <c r="CK99" s="383" t="e">
        <f t="shared" si="178"/>
        <v>#DIV/0!</v>
      </c>
      <c r="CL99" s="383" t="e">
        <f t="shared" si="178"/>
        <v>#DIV/0!</v>
      </c>
      <c r="CM99" s="383" t="e">
        <f t="shared" si="178"/>
        <v>#DIV/0!</v>
      </c>
      <c r="CN99" s="383" t="e">
        <f t="shared" si="178"/>
        <v>#DIV/0!</v>
      </c>
      <c r="CO99" s="383" t="e">
        <f t="shared" si="178"/>
        <v>#DIV/0!</v>
      </c>
      <c r="CP99" s="383" t="e">
        <f t="shared" si="178"/>
        <v>#DIV/0!</v>
      </c>
      <c r="CQ99" s="383" t="e">
        <f t="shared" si="178"/>
        <v>#DIV/0!</v>
      </c>
    </row>
    <row r="100" spans="3:95">
      <c r="C100" s="391">
        <v>1</v>
      </c>
      <c r="D100" s="391" t="s">
        <v>1404</v>
      </c>
      <c r="E100" s="391">
        <v>1</v>
      </c>
      <c r="F100" s="391" t="s">
        <v>1404</v>
      </c>
      <c r="G100" s="391">
        <v>1</v>
      </c>
      <c r="H100" s="391" t="s">
        <v>1404</v>
      </c>
      <c r="I100" s="391">
        <v>1</v>
      </c>
      <c r="J100" s="391" t="s">
        <v>1404</v>
      </c>
      <c r="K100" s="382" t="s">
        <v>1390</v>
      </c>
      <c r="L100" s="382" t="s">
        <v>1390</v>
      </c>
      <c r="M100" s="391">
        <v>1</v>
      </c>
      <c r="N100" s="391" t="s">
        <v>1404</v>
      </c>
      <c r="O100" s="391">
        <v>1</v>
      </c>
      <c r="P100" s="391" t="s">
        <v>1404</v>
      </c>
      <c r="R100" s="386">
        <v>7</v>
      </c>
      <c r="S100" s="383" t="e">
        <f t="shared" si="184"/>
        <v>#DIV/0!</v>
      </c>
      <c r="T100" s="383" t="e">
        <f t="shared" si="184"/>
        <v>#DIV/0!</v>
      </c>
      <c r="U100" s="383" t="e">
        <f t="shared" si="184"/>
        <v>#DIV/0!</v>
      </c>
      <c r="V100" s="383" t="e">
        <f t="shared" si="184"/>
        <v>#DIV/0!</v>
      </c>
      <c r="W100" s="383" t="e">
        <f t="shared" si="184"/>
        <v>#DIV/0!</v>
      </c>
      <c r="X100" s="383" t="e">
        <f t="shared" si="184"/>
        <v>#DIV/0!</v>
      </c>
      <c r="Y100" s="383" t="e">
        <f t="shared" si="184"/>
        <v>#DIV/0!</v>
      </c>
      <c r="Z100" s="383" t="e">
        <f t="shared" si="184"/>
        <v>#DIV/0!</v>
      </c>
      <c r="AA100" s="383" t="e">
        <f t="shared" si="184"/>
        <v>#DIV/0!</v>
      </c>
      <c r="AB100" s="383" t="e">
        <f t="shared" si="184"/>
        <v>#DIV/0!</v>
      </c>
      <c r="AC100" s="383" t="e">
        <f t="shared" si="184"/>
        <v>#DIV/0!</v>
      </c>
      <c r="AD100" s="383" t="e">
        <f t="shared" si="184"/>
        <v>#DIV/0!</v>
      </c>
      <c r="AE100" s="386">
        <v>1</v>
      </c>
      <c r="AF100" s="383" t="e">
        <f t="shared" si="185"/>
        <v>#DIV/0!</v>
      </c>
      <c r="AG100" s="383" t="e">
        <f t="shared" si="185"/>
        <v>#DIV/0!</v>
      </c>
      <c r="AH100" s="383" t="e">
        <f t="shared" si="185"/>
        <v>#DIV/0!</v>
      </c>
      <c r="AI100" s="383" t="e">
        <f t="shared" si="185"/>
        <v>#DIV/0!</v>
      </c>
      <c r="AJ100" s="383" t="e">
        <f t="shared" si="185"/>
        <v>#DIV/0!</v>
      </c>
      <c r="AK100" s="383" t="e">
        <f t="shared" si="185"/>
        <v>#DIV/0!</v>
      </c>
      <c r="AL100" s="383" t="e">
        <f t="shared" si="185"/>
        <v>#DIV/0!</v>
      </c>
      <c r="AM100" s="383" t="e">
        <f t="shared" si="185"/>
        <v>#DIV/0!</v>
      </c>
      <c r="AN100" s="383" t="e">
        <f t="shared" si="185"/>
        <v>#DIV/0!</v>
      </c>
      <c r="AO100" s="383" t="e">
        <f t="shared" si="185"/>
        <v>#DIV/0!</v>
      </c>
      <c r="AP100" s="383" t="e">
        <f t="shared" si="185"/>
        <v>#DIV/0!</v>
      </c>
      <c r="AQ100" s="383" t="e">
        <f t="shared" si="185"/>
        <v>#DIV/0!</v>
      </c>
      <c r="AR100" s="386">
        <v>1</v>
      </c>
      <c r="AS100" s="383" t="e">
        <f t="shared" si="182"/>
        <v>#DIV/0!</v>
      </c>
      <c r="AT100" s="383" t="e">
        <f t="shared" si="182"/>
        <v>#DIV/0!</v>
      </c>
      <c r="AU100" s="383" t="e">
        <f t="shared" si="182"/>
        <v>#DIV/0!</v>
      </c>
      <c r="AV100" s="383" t="e">
        <f t="shared" si="182"/>
        <v>#DIV/0!</v>
      </c>
      <c r="AW100" s="383" t="e">
        <f t="shared" si="182"/>
        <v>#DIV/0!</v>
      </c>
      <c r="AX100" s="383" t="e">
        <f t="shared" si="182"/>
        <v>#DIV/0!</v>
      </c>
      <c r="AY100" s="383" t="e">
        <f t="shared" si="182"/>
        <v>#DIV/0!</v>
      </c>
      <c r="AZ100" s="383" t="e">
        <f t="shared" si="182"/>
        <v>#DIV/0!</v>
      </c>
      <c r="BA100" s="383" t="e">
        <f t="shared" si="182"/>
        <v>#DIV/0!</v>
      </c>
      <c r="BB100" s="383" t="e">
        <f t="shared" si="182"/>
        <v>#DIV/0!</v>
      </c>
      <c r="BC100" s="383" t="e">
        <f t="shared" si="182"/>
        <v>#DIV/0!</v>
      </c>
      <c r="BD100" s="383" t="e">
        <f t="shared" si="182"/>
        <v>#DIV/0!</v>
      </c>
      <c r="BE100" s="386" t="s">
        <v>1390</v>
      </c>
      <c r="BF100" s="383" t="e">
        <f t="shared" si="183"/>
        <v>#DIV/0!</v>
      </c>
      <c r="BG100" s="383" t="e">
        <f t="shared" si="183"/>
        <v>#DIV/0!</v>
      </c>
      <c r="BH100" s="383" t="e">
        <f t="shared" si="183"/>
        <v>#DIV/0!</v>
      </c>
      <c r="BI100" s="383" t="e">
        <f t="shared" si="183"/>
        <v>#DIV/0!</v>
      </c>
      <c r="BJ100" s="383" t="e">
        <f t="shared" si="183"/>
        <v>#DIV/0!</v>
      </c>
      <c r="BK100" s="383" t="e">
        <f t="shared" si="183"/>
        <v>#DIV/0!</v>
      </c>
      <c r="BL100" s="383" t="e">
        <f t="shared" si="183"/>
        <v>#DIV/0!</v>
      </c>
      <c r="BM100" s="383" t="e">
        <f t="shared" si="183"/>
        <v>#DIV/0!</v>
      </c>
      <c r="BN100" s="383" t="e">
        <f t="shared" si="183"/>
        <v>#DIV/0!</v>
      </c>
      <c r="BO100" s="383" t="e">
        <f t="shared" si="183"/>
        <v>#DIV/0!</v>
      </c>
      <c r="BP100" s="383" t="e">
        <f t="shared" si="183"/>
        <v>#DIV/0!</v>
      </c>
      <c r="BQ100" s="383" t="e">
        <f t="shared" si="183"/>
        <v>#DIV/0!</v>
      </c>
      <c r="BR100" s="386" t="s">
        <v>1390</v>
      </c>
      <c r="BS100" s="383" t="e">
        <f t="shared" si="180"/>
        <v>#DIV/0!</v>
      </c>
      <c r="BT100" s="383" t="e">
        <f t="shared" si="180"/>
        <v>#DIV/0!</v>
      </c>
      <c r="BU100" s="383" t="e">
        <f t="shared" si="180"/>
        <v>#DIV/0!</v>
      </c>
      <c r="BV100" s="383" t="e">
        <f t="shared" si="180"/>
        <v>#DIV/0!</v>
      </c>
      <c r="BW100" s="383" t="e">
        <f t="shared" si="180"/>
        <v>#DIV/0!</v>
      </c>
      <c r="BX100" s="383" t="e">
        <f t="shared" si="180"/>
        <v>#DIV/0!</v>
      </c>
      <c r="BY100" s="383" t="e">
        <f t="shared" si="180"/>
        <v>#DIV/0!</v>
      </c>
      <c r="BZ100" s="383" t="e">
        <f t="shared" si="180"/>
        <v>#DIV/0!</v>
      </c>
      <c r="CA100" s="383" t="e">
        <f t="shared" si="180"/>
        <v>#DIV/0!</v>
      </c>
      <c r="CB100" s="383" t="e">
        <f t="shared" si="180"/>
        <v>#DIV/0!</v>
      </c>
      <c r="CC100" s="383" t="e">
        <f t="shared" si="180"/>
        <v>#DIV/0!</v>
      </c>
      <c r="CD100" s="383" t="e">
        <f t="shared" si="180"/>
        <v>#DIV/0!</v>
      </c>
      <c r="CE100" s="386" t="s">
        <v>1390</v>
      </c>
      <c r="CF100" s="383" t="e">
        <f t="shared" si="178"/>
        <v>#DIV/0!</v>
      </c>
      <c r="CG100" s="383" t="e">
        <f t="shared" si="178"/>
        <v>#DIV/0!</v>
      </c>
      <c r="CH100" s="383" t="e">
        <f t="shared" si="178"/>
        <v>#DIV/0!</v>
      </c>
      <c r="CI100" s="383" t="e">
        <f t="shared" si="178"/>
        <v>#DIV/0!</v>
      </c>
      <c r="CJ100" s="383" t="e">
        <f t="shared" si="178"/>
        <v>#DIV/0!</v>
      </c>
      <c r="CK100" s="383" t="e">
        <f t="shared" si="178"/>
        <v>#DIV/0!</v>
      </c>
      <c r="CL100" s="383" t="e">
        <f t="shared" si="178"/>
        <v>#DIV/0!</v>
      </c>
      <c r="CM100" s="383" t="e">
        <f t="shared" si="178"/>
        <v>#DIV/0!</v>
      </c>
      <c r="CN100" s="383" t="e">
        <f t="shared" si="178"/>
        <v>#DIV/0!</v>
      </c>
      <c r="CO100" s="383" t="e">
        <f t="shared" si="178"/>
        <v>#DIV/0!</v>
      </c>
      <c r="CP100" s="383" t="e">
        <f t="shared" si="178"/>
        <v>#DIV/0!</v>
      </c>
      <c r="CQ100" s="383" t="e">
        <f t="shared" si="178"/>
        <v>#DIV/0!</v>
      </c>
    </row>
    <row r="101" spans="3:95">
      <c r="C101" s="391">
        <v>1</v>
      </c>
      <c r="D101" s="391" t="s">
        <v>1404</v>
      </c>
      <c r="E101" s="391">
        <v>1</v>
      </c>
      <c r="F101" s="391" t="s">
        <v>1404</v>
      </c>
      <c r="G101" s="391">
        <v>1</v>
      </c>
      <c r="H101" s="391" t="s">
        <v>1404</v>
      </c>
      <c r="I101" s="391">
        <v>1</v>
      </c>
      <c r="J101" s="391" t="s">
        <v>1404</v>
      </c>
      <c r="K101" s="382" t="s">
        <v>1390</v>
      </c>
      <c r="L101" s="382" t="s">
        <v>1390</v>
      </c>
      <c r="M101" s="391">
        <v>2</v>
      </c>
      <c r="N101" s="391" t="s">
        <v>1404</v>
      </c>
      <c r="O101" s="382" t="s">
        <v>1390</v>
      </c>
      <c r="P101" s="382" t="s">
        <v>1390</v>
      </c>
      <c r="R101" s="386">
        <v>7</v>
      </c>
      <c r="S101" s="383" t="e">
        <f t="shared" si="184"/>
        <v>#DIV/0!</v>
      </c>
      <c r="T101" s="383" t="e">
        <f t="shared" si="184"/>
        <v>#DIV/0!</v>
      </c>
      <c r="U101" s="383" t="e">
        <f t="shared" si="184"/>
        <v>#DIV/0!</v>
      </c>
      <c r="V101" s="383" t="e">
        <f t="shared" si="184"/>
        <v>#DIV/0!</v>
      </c>
      <c r="W101" s="383" t="e">
        <f t="shared" si="184"/>
        <v>#DIV/0!</v>
      </c>
      <c r="X101" s="383" t="e">
        <f t="shared" si="184"/>
        <v>#DIV/0!</v>
      </c>
      <c r="Y101" s="383" t="e">
        <f t="shared" si="184"/>
        <v>#DIV/0!</v>
      </c>
      <c r="Z101" s="383" t="e">
        <f t="shared" si="184"/>
        <v>#DIV/0!</v>
      </c>
      <c r="AA101" s="383" t="e">
        <f t="shared" si="184"/>
        <v>#DIV/0!</v>
      </c>
      <c r="AB101" s="383" t="e">
        <f t="shared" si="184"/>
        <v>#DIV/0!</v>
      </c>
      <c r="AC101" s="383" t="e">
        <f t="shared" si="184"/>
        <v>#DIV/0!</v>
      </c>
      <c r="AD101" s="383" t="e">
        <f t="shared" si="184"/>
        <v>#DIV/0!</v>
      </c>
      <c r="AE101" s="386">
        <v>2</v>
      </c>
      <c r="AF101" s="383" t="e">
        <f t="shared" si="185"/>
        <v>#DIV/0!</v>
      </c>
      <c r="AG101" s="383" t="e">
        <f t="shared" si="185"/>
        <v>#DIV/0!</v>
      </c>
      <c r="AH101" s="383" t="e">
        <f t="shared" si="185"/>
        <v>#DIV/0!</v>
      </c>
      <c r="AI101" s="383" t="e">
        <f t="shared" si="185"/>
        <v>#DIV/0!</v>
      </c>
      <c r="AJ101" s="383" t="e">
        <f t="shared" si="185"/>
        <v>#DIV/0!</v>
      </c>
      <c r="AK101" s="383" t="e">
        <f t="shared" si="185"/>
        <v>#DIV/0!</v>
      </c>
      <c r="AL101" s="383" t="e">
        <f t="shared" si="185"/>
        <v>#DIV/0!</v>
      </c>
      <c r="AM101" s="383" t="e">
        <f t="shared" si="185"/>
        <v>#DIV/0!</v>
      </c>
      <c r="AN101" s="383" t="e">
        <f t="shared" si="185"/>
        <v>#DIV/0!</v>
      </c>
      <c r="AO101" s="383" t="e">
        <f t="shared" si="185"/>
        <v>#DIV/0!</v>
      </c>
      <c r="AP101" s="383" t="e">
        <f t="shared" si="185"/>
        <v>#DIV/0!</v>
      </c>
      <c r="AQ101" s="383" t="e">
        <f t="shared" si="185"/>
        <v>#DIV/0!</v>
      </c>
      <c r="AR101" s="386">
        <v>0</v>
      </c>
      <c r="AS101" s="383" t="e">
        <f t="shared" si="182"/>
        <v>#DIV/0!</v>
      </c>
      <c r="AT101" s="383" t="e">
        <f t="shared" si="182"/>
        <v>#DIV/0!</v>
      </c>
      <c r="AU101" s="383" t="e">
        <f t="shared" si="182"/>
        <v>#DIV/0!</v>
      </c>
      <c r="AV101" s="383" t="e">
        <f t="shared" si="182"/>
        <v>#DIV/0!</v>
      </c>
      <c r="AW101" s="383" t="e">
        <f t="shared" si="182"/>
        <v>#DIV/0!</v>
      </c>
      <c r="AX101" s="383" t="e">
        <f t="shared" si="182"/>
        <v>#DIV/0!</v>
      </c>
      <c r="AY101" s="383" t="e">
        <f t="shared" si="182"/>
        <v>#DIV/0!</v>
      </c>
      <c r="AZ101" s="383" t="e">
        <f t="shared" si="182"/>
        <v>#DIV/0!</v>
      </c>
      <c r="BA101" s="383" t="e">
        <f t="shared" si="182"/>
        <v>#DIV/0!</v>
      </c>
      <c r="BB101" s="383" t="e">
        <f t="shared" si="182"/>
        <v>#DIV/0!</v>
      </c>
      <c r="BC101" s="383" t="e">
        <f t="shared" si="182"/>
        <v>#DIV/0!</v>
      </c>
      <c r="BD101" s="383" t="e">
        <f t="shared" si="182"/>
        <v>#DIV/0!</v>
      </c>
      <c r="BE101" s="386" t="s">
        <v>1390</v>
      </c>
      <c r="BF101" s="383" t="e">
        <f t="shared" si="183"/>
        <v>#DIV/0!</v>
      </c>
      <c r="BG101" s="383" t="e">
        <f t="shared" si="183"/>
        <v>#DIV/0!</v>
      </c>
      <c r="BH101" s="383" t="e">
        <f t="shared" si="183"/>
        <v>#DIV/0!</v>
      </c>
      <c r="BI101" s="383" t="e">
        <f t="shared" si="183"/>
        <v>#DIV/0!</v>
      </c>
      <c r="BJ101" s="383" t="e">
        <f t="shared" si="183"/>
        <v>#DIV/0!</v>
      </c>
      <c r="BK101" s="383" t="e">
        <f t="shared" si="183"/>
        <v>#DIV/0!</v>
      </c>
      <c r="BL101" s="383" t="e">
        <f t="shared" si="183"/>
        <v>#DIV/0!</v>
      </c>
      <c r="BM101" s="383" t="e">
        <f t="shared" si="183"/>
        <v>#DIV/0!</v>
      </c>
      <c r="BN101" s="383" t="e">
        <f t="shared" si="183"/>
        <v>#DIV/0!</v>
      </c>
      <c r="BO101" s="383" t="e">
        <f t="shared" si="183"/>
        <v>#DIV/0!</v>
      </c>
      <c r="BP101" s="383" t="e">
        <f t="shared" si="183"/>
        <v>#DIV/0!</v>
      </c>
      <c r="BQ101" s="383" t="e">
        <f t="shared" si="183"/>
        <v>#DIV/0!</v>
      </c>
      <c r="BR101" s="386" t="s">
        <v>255</v>
      </c>
      <c r="BS101" s="383" t="e">
        <f t="shared" si="180"/>
        <v>#DIV/0!</v>
      </c>
      <c r="BT101" s="383" t="e">
        <f t="shared" si="180"/>
        <v>#DIV/0!</v>
      </c>
      <c r="BU101" s="383" t="e">
        <f t="shared" si="180"/>
        <v>#DIV/0!</v>
      </c>
      <c r="BV101" s="383" t="e">
        <f t="shared" si="180"/>
        <v>#DIV/0!</v>
      </c>
      <c r="BW101" s="383" t="e">
        <f t="shared" si="180"/>
        <v>#DIV/0!</v>
      </c>
      <c r="BX101" s="383" t="e">
        <f t="shared" si="180"/>
        <v>#DIV/0!</v>
      </c>
      <c r="BY101" s="383" t="e">
        <f t="shared" si="180"/>
        <v>#DIV/0!</v>
      </c>
      <c r="BZ101" s="383" t="e">
        <f t="shared" si="180"/>
        <v>#DIV/0!</v>
      </c>
      <c r="CA101" s="383" t="e">
        <f t="shared" si="180"/>
        <v>#DIV/0!</v>
      </c>
      <c r="CB101" s="383" t="e">
        <f t="shared" si="180"/>
        <v>#DIV/0!</v>
      </c>
      <c r="CC101" s="383" t="e">
        <f t="shared" si="180"/>
        <v>#DIV/0!</v>
      </c>
      <c r="CD101" s="383" t="e">
        <f t="shared" si="180"/>
        <v>#DIV/0!</v>
      </c>
      <c r="CE101" s="386" t="s">
        <v>255</v>
      </c>
      <c r="CF101" s="383" t="e">
        <f t="shared" si="178"/>
        <v>#DIV/0!</v>
      </c>
      <c r="CG101" s="383" t="e">
        <f t="shared" si="178"/>
        <v>#DIV/0!</v>
      </c>
      <c r="CH101" s="383" t="e">
        <f t="shared" si="178"/>
        <v>#DIV/0!</v>
      </c>
      <c r="CI101" s="383" t="e">
        <f t="shared" si="178"/>
        <v>#DIV/0!</v>
      </c>
      <c r="CJ101" s="383" t="e">
        <f t="shared" si="178"/>
        <v>#DIV/0!</v>
      </c>
      <c r="CK101" s="383" t="e">
        <f t="shared" si="178"/>
        <v>#DIV/0!</v>
      </c>
      <c r="CL101" s="383" t="e">
        <f t="shared" si="178"/>
        <v>#DIV/0!</v>
      </c>
      <c r="CM101" s="383" t="e">
        <f t="shared" si="178"/>
        <v>#DIV/0!</v>
      </c>
      <c r="CN101" s="383" t="e">
        <f t="shared" si="178"/>
        <v>#DIV/0!</v>
      </c>
      <c r="CO101" s="383" t="e">
        <f t="shared" si="178"/>
        <v>#DIV/0!</v>
      </c>
      <c r="CP101" s="383" t="e">
        <f t="shared" si="178"/>
        <v>#DIV/0!</v>
      </c>
      <c r="CQ101" s="383" t="e">
        <f t="shared" si="178"/>
        <v>#DIV/0!</v>
      </c>
    </row>
    <row r="102" spans="3:95">
      <c r="C102" s="391">
        <v>1</v>
      </c>
      <c r="D102" s="391" t="s">
        <v>1404</v>
      </c>
      <c r="E102" s="391">
        <v>1</v>
      </c>
      <c r="F102" s="391" t="s">
        <v>1404</v>
      </c>
      <c r="G102" s="391">
        <v>1</v>
      </c>
      <c r="H102" s="391" t="s">
        <v>1404</v>
      </c>
      <c r="I102" s="391">
        <v>1</v>
      </c>
      <c r="J102" s="391" t="s">
        <v>1404</v>
      </c>
      <c r="K102" s="382" t="s">
        <v>1390</v>
      </c>
      <c r="L102" s="382" t="s">
        <v>1390</v>
      </c>
      <c r="M102" s="391">
        <v>2</v>
      </c>
      <c r="N102" s="391" t="s">
        <v>1404</v>
      </c>
      <c r="O102" s="391">
        <v>1</v>
      </c>
      <c r="P102" s="391" t="s">
        <v>1404</v>
      </c>
      <c r="R102" s="386">
        <v>7</v>
      </c>
      <c r="S102" s="383" t="e">
        <f t="shared" si="184"/>
        <v>#DIV/0!</v>
      </c>
      <c r="T102" s="383" t="e">
        <f t="shared" si="184"/>
        <v>#DIV/0!</v>
      </c>
      <c r="U102" s="383" t="e">
        <f t="shared" si="184"/>
        <v>#DIV/0!</v>
      </c>
      <c r="V102" s="383" t="e">
        <f t="shared" si="184"/>
        <v>#DIV/0!</v>
      </c>
      <c r="W102" s="383" t="e">
        <f t="shared" si="184"/>
        <v>#DIV/0!</v>
      </c>
      <c r="X102" s="383" t="e">
        <f t="shared" si="184"/>
        <v>#DIV/0!</v>
      </c>
      <c r="Y102" s="383" t="e">
        <f t="shared" si="184"/>
        <v>#DIV/0!</v>
      </c>
      <c r="Z102" s="383" t="e">
        <f t="shared" si="184"/>
        <v>#DIV/0!</v>
      </c>
      <c r="AA102" s="383" t="e">
        <f t="shared" si="184"/>
        <v>#DIV/0!</v>
      </c>
      <c r="AB102" s="383" t="e">
        <f t="shared" si="184"/>
        <v>#DIV/0!</v>
      </c>
      <c r="AC102" s="383" t="e">
        <f t="shared" si="184"/>
        <v>#DIV/0!</v>
      </c>
      <c r="AD102" s="383" t="e">
        <f t="shared" si="184"/>
        <v>#DIV/0!</v>
      </c>
      <c r="AE102" s="386">
        <v>2</v>
      </c>
      <c r="AF102" s="383" t="e">
        <f t="shared" si="185"/>
        <v>#DIV/0!</v>
      </c>
      <c r="AG102" s="383" t="e">
        <f t="shared" si="185"/>
        <v>#DIV/0!</v>
      </c>
      <c r="AH102" s="383" t="e">
        <f t="shared" si="185"/>
        <v>#DIV/0!</v>
      </c>
      <c r="AI102" s="383" t="e">
        <f t="shared" si="185"/>
        <v>#DIV/0!</v>
      </c>
      <c r="AJ102" s="383" t="e">
        <f t="shared" si="185"/>
        <v>#DIV/0!</v>
      </c>
      <c r="AK102" s="383" t="e">
        <f t="shared" si="185"/>
        <v>#DIV/0!</v>
      </c>
      <c r="AL102" s="383" t="e">
        <f t="shared" si="185"/>
        <v>#DIV/0!</v>
      </c>
      <c r="AM102" s="383" t="e">
        <f t="shared" si="185"/>
        <v>#DIV/0!</v>
      </c>
      <c r="AN102" s="383" t="e">
        <f t="shared" si="185"/>
        <v>#DIV/0!</v>
      </c>
      <c r="AO102" s="383" t="e">
        <f t="shared" si="185"/>
        <v>#DIV/0!</v>
      </c>
      <c r="AP102" s="383" t="e">
        <f t="shared" si="185"/>
        <v>#DIV/0!</v>
      </c>
      <c r="AQ102" s="383" t="e">
        <f t="shared" si="185"/>
        <v>#DIV/0!</v>
      </c>
      <c r="AR102" s="386">
        <v>1</v>
      </c>
      <c r="AS102" s="383" t="e">
        <f t="shared" si="182"/>
        <v>#DIV/0!</v>
      </c>
      <c r="AT102" s="383" t="e">
        <f t="shared" si="182"/>
        <v>#DIV/0!</v>
      </c>
      <c r="AU102" s="383" t="e">
        <f t="shared" si="182"/>
        <v>#DIV/0!</v>
      </c>
      <c r="AV102" s="383" t="e">
        <f t="shared" si="182"/>
        <v>#DIV/0!</v>
      </c>
      <c r="AW102" s="383" t="e">
        <f t="shared" si="182"/>
        <v>#DIV/0!</v>
      </c>
      <c r="AX102" s="383" t="e">
        <f t="shared" si="182"/>
        <v>#DIV/0!</v>
      </c>
      <c r="AY102" s="383" t="e">
        <f t="shared" si="182"/>
        <v>#DIV/0!</v>
      </c>
      <c r="AZ102" s="383" t="e">
        <f t="shared" si="182"/>
        <v>#DIV/0!</v>
      </c>
      <c r="BA102" s="383" t="e">
        <f t="shared" si="182"/>
        <v>#DIV/0!</v>
      </c>
      <c r="BB102" s="383" t="e">
        <f t="shared" si="182"/>
        <v>#DIV/0!</v>
      </c>
      <c r="BC102" s="383" t="e">
        <f t="shared" si="182"/>
        <v>#DIV/0!</v>
      </c>
      <c r="BD102" s="383" t="e">
        <f t="shared" si="182"/>
        <v>#DIV/0!</v>
      </c>
      <c r="BE102" s="386" t="s">
        <v>1390</v>
      </c>
      <c r="BF102" s="383" t="e">
        <f t="shared" si="183"/>
        <v>#DIV/0!</v>
      </c>
      <c r="BG102" s="383" t="e">
        <f t="shared" si="183"/>
        <v>#DIV/0!</v>
      </c>
      <c r="BH102" s="383" t="e">
        <f t="shared" si="183"/>
        <v>#DIV/0!</v>
      </c>
      <c r="BI102" s="383" t="e">
        <f t="shared" si="183"/>
        <v>#DIV/0!</v>
      </c>
      <c r="BJ102" s="383" t="e">
        <f t="shared" si="183"/>
        <v>#DIV/0!</v>
      </c>
      <c r="BK102" s="383" t="e">
        <f t="shared" si="183"/>
        <v>#DIV/0!</v>
      </c>
      <c r="BL102" s="383" t="e">
        <f t="shared" si="183"/>
        <v>#DIV/0!</v>
      </c>
      <c r="BM102" s="383" t="e">
        <f t="shared" si="183"/>
        <v>#DIV/0!</v>
      </c>
      <c r="BN102" s="383" t="e">
        <f t="shared" si="183"/>
        <v>#DIV/0!</v>
      </c>
      <c r="BO102" s="383" t="e">
        <f t="shared" si="183"/>
        <v>#DIV/0!</v>
      </c>
      <c r="BP102" s="383" t="e">
        <f t="shared" si="183"/>
        <v>#DIV/0!</v>
      </c>
      <c r="BQ102" s="383" t="e">
        <f t="shared" si="183"/>
        <v>#DIV/0!</v>
      </c>
      <c r="BR102" s="386" t="s">
        <v>1390</v>
      </c>
      <c r="BS102" s="383" t="e">
        <f>IF(BF102="","","〇")</f>
        <v>#DIV/0!</v>
      </c>
      <c r="BT102" s="383" t="e">
        <f t="shared" si="180"/>
        <v>#DIV/0!</v>
      </c>
      <c r="BU102" s="383" t="e">
        <f t="shared" si="180"/>
        <v>#DIV/0!</v>
      </c>
      <c r="BV102" s="383" t="e">
        <f t="shared" si="180"/>
        <v>#DIV/0!</v>
      </c>
      <c r="BW102" s="383" t="e">
        <f t="shared" si="180"/>
        <v>#DIV/0!</v>
      </c>
      <c r="BX102" s="383" t="e">
        <f t="shared" si="180"/>
        <v>#DIV/0!</v>
      </c>
      <c r="BY102" s="383" t="e">
        <f t="shared" si="180"/>
        <v>#DIV/0!</v>
      </c>
      <c r="BZ102" s="383" t="e">
        <f t="shared" si="180"/>
        <v>#DIV/0!</v>
      </c>
      <c r="CA102" s="383" t="e">
        <f t="shared" si="180"/>
        <v>#DIV/0!</v>
      </c>
      <c r="CB102" s="383" t="e">
        <f t="shared" si="180"/>
        <v>#DIV/0!</v>
      </c>
      <c r="CC102" s="383" t="e">
        <f t="shared" si="180"/>
        <v>#DIV/0!</v>
      </c>
      <c r="CD102" s="383" t="e">
        <f t="shared" si="180"/>
        <v>#DIV/0!</v>
      </c>
      <c r="CE102" s="386" t="s">
        <v>1390</v>
      </c>
      <c r="CF102" s="383" t="e">
        <f t="shared" si="178"/>
        <v>#DIV/0!</v>
      </c>
      <c r="CG102" s="383" t="e">
        <f t="shared" si="178"/>
        <v>#DIV/0!</v>
      </c>
      <c r="CH102" s="383" t="e">
        <f t="shared" si="178"/>
        <v>#DIV/0!</v>
      </c>
      <c r="CI102" s="383" t="e">
        <f t="shared" si="178"/>
        <v>#DIV/0!</v>
      </c>
      <c r="CJ102" s="383" t="e">
        <f t="shared" si="178"/>
        <v>#DIV/0!</v>
      </c>
      <c r="CK102" s="383" t="e">
        <f t="shared" si="178"/>
        <v>#DIV/0!</v>
      </c>
      <c r="CL102" s="383" t="e">
        <f t="shared" si="178"/>
        <v>#DIV/0!</v>
      </c>
      <c r="CM102" s="383" t="e">
        <f t="shared" si="178"/>
        <v>#DIV/0!</v>
      </c>
      <c r="CN102" s="383" t="e">
        <f t="shared" si="178"/>
        <v>#DIV/0!</v>
      </c>
      <c r="CO102" s="383" t="e">
        <f t="shared" si="178"/>
        <v>#DIV/0!</v>
      </c>
      <c r="CP102" s="383" t="e">
        <f t="shared" si="178"/>
        <v>#DIV/0!</v>
      </c>
      <c r="CQ102" s="383" t="e">
        <f t="shared" si="178"/>
        <v>#DIV/0!</v>
      </c>
    </row>
    <row r="103" spans="3:95">
      <c r="C103" s="391">
        <v>1</v>
      </c>
      <c r="D103" s="391" t="s">
        <v>1404</v>
      </c>
      <c r="E103" s="391">
        <v>1</v>
      </c>
      <c r="F103" s="391" t="s">
        <v>1404</v>
      </c>
      <c r="G103" s="391">
        <v>1</v>
      </c>
      <c r="H103" s="391" t="s">
        <v>1404</v>
      </c>
      <c r="I103" s="391">
        <v>1</v>
      </c>
      <c r="J103" s="391" t="s">
        <v>1404</v>
      </c>
      <c r="K103" s="382" t="s">
        <v>1390</v>
      </c>
      <c r="L103" s="382" t="s">
        <v>1390</v>
      </c>
      <c r="M103" s="391">
        <v>3</v>
      </c>
      <c r="N103" s="391" t="s">
        <v>1404</v>
      </c>
      <c r="O103" s="382" t="s">
        <v>1390</v>
      </c>
      <c r="P103" s="382" t="s">
        <v>1390</v>
      </c>
      <c r="R103" s="386">
        <v>7</v>
      </c>
      <c r="S103" s="383" t="e">
        <f t="shared" si="184"/>
        <v>#DIV/0!</v>
      </c>
      <c r="T103" s="383" t="e">
        <f t="shared" si="184"/>
        <v>#DIV/0!</v>
      </c>
      <c r="U103" s="383" t="e">
        <f t="shared" si="184"/>
        <v>#DIV/0!</v>
      </c>
      <c r="V103" s="383" t="e">
        <f t="shared" si="184"/>
        <v>#DIV/0!</v>
      </c>
      <c r="W103" s="383" t="e">
        <f t="shared" si="184"/>
        <v>#DIV/0!</v>
      </c>
      <c r="X103" s="383" t="e">
        <f t="shared" si="184"/>
        <v>#DIV/0!</v>
      </c>
      <c r="Y103" s="383" t="e">
        <f t="shared" si="184"/>
        <v>#DIV/0!</v>
      </c>
      <c r="Z103" s="383" t="e">
        <f t="shared" si="184"/>
        <v>#DIV/0!</v>
      </c>
      <c r="AA103" s="383" t="e">
        <f t="shared" si="184"/>
        <v>#DIV/0!</v>
      </c>
      <c r="AB103" s="383" t="e">
        <f t="shared" si="184"/>
        <v>#DIV/0!</v>
      </c>
      <c r="AC103" s="383" t="e">
        <f t="shared" si="184"/>
        <v>#DIV/0!</v>
      </c>
      <c r="AD103" s="383" t="e">
        <f t="shared" si="184"/>
        <v>#DIV/0!</v>
      </c>
      <c r="AE103" s="386">
        <v>3</v>
      </c>
      <c r="AF103" s="383" t="e">
        <f t="shared" si="185"/>
        <v>#DIV/0!</v>
      </c>
      <c r="AG103" s="383" t="e">
        <f t="shared" si="185"/>
        <v>#DIV/0!</v>
      </c>
      <c r="AH103" s="383" t="e">
        <f t="shared" si="185"/>
        <v>#DIV/0!</v>
      </c>
      <c r="AI103" s="383" t="e">
        <f t="shared" si="185"/>
        <v>#DIV/0!</v>
      </c>
      <c r="AJ103" s="383" t="e">
        <f t="shared" si="185"/>
        <v>#DIV/0!</v>
      </c>
      <c r="AK103" s="383" t="e">
        <f t="shared" si="185"/>
        <v>#DIV/0!</v>
      </c>
      <c r="AL103" s="383" t="e">
        <f t="shared" si="185"/>
        <v>#DIV/0!</v>
      </c>
      <c r="AM103" s="383" t="e">
        <f t="shared" si="185"/>
        <v>#DIV/0!</v>
      </c>
      <c r="AN103" s="383" t="e">
        <f t="shared" si="185"/>
        <v>#DIV/0!</v>
      </c>
      <c r="AO103" s="383" t="e">
        <f t="shared" si="185"/>
        <v>#DIV/0!</v>
      </c>
      <c r="AP103" s="383" t="e">
        <f t="shared" si="185"/>
        <v>#DIV/0!</v>
      </c>
      <c r="AQ103" s="383" t="e">
        <f t="shared" si="185"/>
        <v>#DIV/0!</v>
      </c>
      <c r="AR103" s="386">
        <v>0</v>
      </c>
      <c r="AS103" s="383" t="e">
        <f t="shared" si="182"/>
        <v>#DIV/0!</v>
      </c>
      <c r="AT103" s="383" t="e">
        <f t="shared" si="182"/>
        <v>#DIV/0!</v>
      </c>
      <c r="AU103" s="383" t="e">
        <f t="shared" si="182"/>
        <v>#DIV/0!</v>
      </c>
      <c r="AV103" s="383" t="e">
        <f t="shared" si="182"/>
        <v>#DIV/0!</v>
      </c>
      <c r="AW103" s="383" t="e">
        <f t="shared" si="182"/>
        <v>#DIV/0!</v>
      </c>
      <c r="AX103" s="383" t="e">
        <f t="shared" si="182"/>
        <v>#DIV/0!</v>
      </c>
      <c r="AY103" s="383" t="e">
        <f t="shared" si="182"/>
        <v>#DIV/0!</v>
      </c>
      <c r="AZ103" s="383" t="e">
        <f t="shared" si="182"/>
        <v>#DIV/0!</v>
      </c>
      <c r="BA103" s="383" t="e">
        <f t="shared" si="182"/>
        <v>#DIV/0!</v>
      </c>
      <c r="BB103" s="383" t="e">
        <f t="shared" si="182"/>
        <v>#DIV/0!</v>
      </c>
      <c r="BC103" s="383" t="e">
        <f t="shared" si="182"/>
        <v>#DIV/0!</v>
      </c>
      <c r="BD103" s="383" t="e">
        <f t="shared" si="182"/>
        <v>#DIV/0!</v>
      </c>
      <c r="BE103" s="386" t="s">
        <v>1390</v>
      </c>
      <c r="BF103" s="383" t="e">
        <f t="shared" si="183"/>
        <v>#DIV/0!</v>
      </c>
      <c r="BG103" s="383" t="e">
        <f t="shared" si="183"/>
        <v>#DIV/0!</v>
      </c>
      <c r="BH103" s="383" t="e">
        <f t="shared" si="183"/>
        <v>#DIV/0!</v>
      </c>
      <c r="BI103" s="383" t="e">
        <f t="shared" si="183"/>
        <v>#DIV/0!</v>
      </c>
      <c r="BJ103" s="383" t="e">
        <f t="shared" si="183"/>
        <v>#DIV/0!</v>
      </c>
      <c r="BK103" s="383" t="e">
        <f t="shared" si="183"/>
        <v>#DIV/0!</v>
      </c>
      <c r="BL103" s="383" t="e">
        <f t="shared" si="183"/>
        <v>#DIV/0!</v>
      </c>
      <c r="BM103" s="383" t="e">
        <f t="shared" si="183"/>
        <v>#DIV/0!</v>
      </c>
      <c r="BN103" s="383" t="e">
        <f t="shared" si="183"/>
        <v>#DIV/0!</v>
      </c>
      <c r="BO103" s="383" t="e">
        <f t="shared" si="183"/>
        <v>#DIV/0!</v>
      </c>
      <c r="BP103" s="383" t="e">
        <f t="shared" si="183"/>
        <v>#DIV/0!</v>
      </c>
      <c r="BQ103" s="383" t="e">
        <f t="shared" si="183"/>
        <v>#DIV/0!</v>
      </c>
      <c r="BR103" s="386" t="s">
        <v>1390</v>
      </c>
      <c r="BS103" s="383" t="e">
        <f>IF(BF103="","","〇")</f>
        <v>#DIV/0!</v>
      </c>
      <c r="BT103" s="383" t="e">
        <f t="shared" si="180"/>
        <v>#DIV/0!</v>
      </c>
      <c r="BU103" s="383" t="e">
        <f t="shared" si="180"/>
        <v>#DIV/0!</v>
      </c>
      <c r="BV103" s="383" t="e">
        <f t="shared" si="180"/>
        <v>#DIV/0!</v>
      </c>
      <c r="BW103" s="383" t="e">
        <f t="shared" si="180"/>
        <v>#DIV/0!</v>
      </c>
      <c r="BX103" s="383" t="e">
        <f t="shared" si="180"/>
        <v>#DIV/0!</v>
      </c>
      <c r="BY103" s="383" t="e">
        <f t="shared" si="180"/>
        <v>#DIV/0!</v>
      </c>
      <c r="BZ103" s="383" t="e">
        <f t="shared" si="180"/>
        <v>#DIV/0!</v>
      </c>
      <c r="CA103" s="383" t="e">
        <f t="shared" si="180"/>
        <v>#DIV/0!</v>
      </c>
      <c r="CB103" s="383" t="e">
        <f t="shared" si="180"/>
        <v>#DIV/0!</v>
      </c>
      <c r="CC103" s="383" t="e">
        <f t="shared" si="180"/>
        <v>#DIV/0!</v>
      </c>
      <c r="CD103" s="383" t="e">
        <f t="shared" si="180"/>
        <v>#DIV/0!</v>
      </c>
      <c r="CE103" s="386" t="s">
        <v>1390</v>
      </c>
      <c r="CF103" s="383" t="e">
        <f t="shared" si="178"/>
        <v>#DIV/0!</v>
      </c>
      <c r="CG103" s="383" t="e">
        <f t="shared" si="178"/>
        <v>#DIV/0!</v>
      </c>
      <c r="CH103" s="383" t="e">
        <f t="shared" si="178"/>
        <v>#DIV/0!</v>
      </c>
      <c r="CI103" s="383" t="e">
        <f t="shared" si="178"/>
        <v>#DIV/0!</v>
      </c>
      <c r="CJ103" s="383" t="e">
        <f t="shared" si="178"/>
        <v>#DIV/0!</v>
      </c>
      <c r="CK103" s="383" t="e">
        <f t="shared" si="178"/>
        <v>#DIV/0!</v>
      </c>
      <c r="CL103" s="383" t="e">
        <f t="shared" si="178"/>
        <v>#DIV/0!</v>
      </c>
      <c r="CM103" s="383" t="e">
        <f t="shared" si="178"/>
        <v>#DIV/0!</v>
      </c>
      <c r="CN103" s="383" t="e">
        <f t="shared" si="178"/>
        <v>#DIV/0!</v>
      </c>
      <c r="CO103" s="383" t="e">
        <f t="shared" si="178"/>
        <v>#DIV/0!</v>
      </c>
      <c r="CP103" s="383" t="e">
        <f t="shared" si="178"/>
        <v>#DIV/0!</v>
      </c>
      <c r="CQ103" s="383" t="e">
        <f t="shared" si="178"/>
        <v>#DIV/0!</v>
      </c>
    </row>
    <row r="104" spans="3:95">
      <c r="C104" s="391">
        <v>1</v>
      </c>
      <c r="D104" s="391" t="s">
        <v>1404</v>
      </c>
      <c r="E104" s="391">
        <v>1</v>
      </c>
      <c r="F104" s="391" t="s">
        <v>1404</v>
      </c>
      <c r="G104" s="391">
        <v>1</v>
      </c>
      <c r="H104" s="391" t="s">
        <v>1404</v>
      </c>
      <c r="I104" s="382" t="s">
        <v>1390</v>
      </c>
      <c r="J104" s="382" t="s">
        <v>1390</v>
      </c>
      <c r="K104" s="382" t="s">
        <v>1390</v>
      </c>
      <c r="L104" s="382" t="s">
        <v>1390</v>
      </c>
      <c r="M104" s="391">
        <v>3</v>
      </c>
      <c r="N104" s="391" t="s">
        <v>1404</v>
      </c>
      <c r="O104" s="391">
        <v>1</v>
      </c>
      <c r="P104" s="391" t="s">
        <v>1404</v>
      </c>
      <c r="R104" s="386">
        <v>7</v>
      </c>
      <c r="S104" s="383" t="e">
        <f t="shared" si="184"/>
        <v>#DIV/0!</v>
      </c>
      <c r="T104" s="383" t="e">
        <f t="shared" si="184"/>
        <v>#DIV/0!</v>
      </c>
      <c r="U104" s="383" t="e">
        <f t="shared" si="184"/>
        <v>#DIV/0!</v>
      </c>
      <c r="V104" s="383" t="e">
        <f t="shared" si="184"/>
        <v>#DIV/0!</v>
      </c>
      <c r="W104" s="383" t="e">
        <f t="shared" si="184"/>
        <v>#DIV/0!</v>
      </c>
      <c r="X104" s="383" t="e">
        <f t="shared" si="184"/>
        <v>#DIV/0!</v>
      </c>
      <c r="Y104" s="383" t="e">
        <f t="shared" si="184"/>
        <v>#DIV/0!</v>
      </c>
      <c r="Z104" s="383" t="e">
        <f t="shared" si="184"/>
        <v>#DIV/0!</v>
      </c>
      <c r="AA104" s="383" t="e">
        <f t="shared" si="184"/>
        <v>#DIV/0!</v>
      </c>
      <c r="AB104" s="383" t="e">
        <f t="shared" si="184"/>
        <v>#DIV/0!</v>
      </c>
      <c r="AC104" s="383" t="e">
        <f t="shared" si="184"/>
        <v>#DIV/0!</v>
      </c>
      <c r="AD104" s="383" t="e">
        <f t="shared" si="184"/>
        <v>#DIV/0!</v>
      </c>
      <c r="AE104" s="386">
        <v>3</v>
      </c>
      <c r="AF104" s="383" t="e">
        <f t="shared" si="185"/>
        <v>#DIV/0!</v>
      </c>
      <c r="AG104" s="383" t="e">
        <f t="shared" si="185"/>
        <v>#DIV/0!</v>
      </c>
      <c r="AH104" s="383" t="e">
        <f t="shared" si="185"/>
        <v>#DIV/0!</v>
      </c>
      <c r="AI104" s="383" t="e">
        <f t="shared" si="185"/>
        <v>#DIV/0!</v>
      </c>
      <c r="AJ104" s="383" t="e">
        <f t="shared" si="185"/>
        <v>#DIV/0!</v>
      </c>
      <c r="AK104" s="383" t="e">
        <f t="shared" si="185"/>
        <v>#DIV/0!</v>
      </c>
      <c r="AL104" s="383" t="e">
        <f t="shared" si="185"/>
        <v>#DIV/0!</v>
      </c>
      <c r="AM104" s="383" t="e">
        <f t="shared" si="185"/>
        <v>#DIV/0!</v>
      </c>
      <c r="AN104" s="383" t="e">
        <f t="shared" si="185"/>
        <v>#DIV/0!</v>
      </c>
      <c r="AO104" s="383" t="e">
        <f t="shared" si="185"/>
        <v>#DIV/0!</v>
      </c>
      <c r="AP104" s="383" t="e">
        <f t="shared" si="185"/>
        <v>#DIV/0!</v>
      </c>
      <c r="AQ104" s="383" t="e">
        <f t="shared" si="185"/>
        <v>#DIV/0!</v>
      </c>
      <c r="AR104" s="386">
        <v>1</v>
      </c>
      <c r="AS104" s="383" t="e">
        <f t="shared" si="182"/>
        <v>#DIV/0!</v>
      </c>
      <c r="AT104" s="383" t="e">
        <f t="shared" si="182"/>
        <v>#DIV/0!</v>
      </c>
      <c r="AU104" s="383" t="e">
        <f t="shared" si="182"/>
        <v>#DIV/0!</v>
      </c>
      <c r="AV104" s="383" t="e">
        <f t="shared" si="182"/>
        <v>#DIV/0!</v>
      </c>
      <c r="AW104" s="383" t="e">
        <f t="shared" si="182"/>
        <v>#DIV/0!</v>
      </c>
      <c r="AX104" s="383" t="e">
        <f t="shared" si="182"/>
        <v>#DIV/0!</v>
      </c>
      <c r="AY104" s="383" t="e">
        <f t="shared" si="182"/>
        <v>#DIV/0!</v>
      </c>
      <c r="AZ104" s="383" t="e">
        <f t="shared" si="182"/>
        <v>#DIV/0!</v>
      </c>
      <c r="BA104" s="383" t="e">
        <f t="shared" si="182"/>
        <v>#DIV/0!</v>
      </c>
      <c r="BB104" s="383" t="e">
        <f t="shared" si="182"/>
        <v>#DIV/0!</v>
      </c>
      <c r="BC104" s="383" t="e">
        <f t="shared" si="182"/>
        <v>#DIV/0!</v>
      </c>
      <c r="BD104" s="383" t="e">
        <f t="shared" si="182"/>
        <v>#DIV/0!</v>
      </c>
      <c r="BE104" s="386">
        <v>0</v>
      </c>
      <c r="BF104" s="383" t="e">
        <f t="shared" ref="BF104:BQ110" si="186">IF(AS104="","",IF(BF$18=$BE104,"〇",""))</f>
        <v>#DIV/0!</v>
      </c>
      <c r="BG104" s="383" t="e">
        <f t="shared" si="186"/>
        <v>#DIV/0!</v>
      </c>
      <c r="BH104" s="383" t="e">
        <f t="shared" si="186"/>
        <v>#DIV/0!</v>
      </c>
      <c r="BI104" s="383" t="e">
        <f t="shared" si="186"/>
        <v>#DIV/0!</v>
      </c>
      <c r="BJ104" s="383" t="e">
        <f t="shared" si="186"/>
        <v>#DIV/0!</v>
      </c>
      <c r="BK104" s="383" t="e">
        <f t="shared" si="186"/>
        <v>#DIV/0!</v>
      </c>
      <c r="BL104" s="383" t="e">
        <f t="shared" si="186"/>
        <v>#DIV/0!</v>
      </c>
      <c r="BM104" s="383" t="e">
        <f t="shared" si="186"/>
        <v>#DIV/0!</v>
      </c>
      <c r="BN104" s="383" t="e">
        <f t="shared" si="186"/>
        <v>#DIV/0!</v>
      </c>
      <c r="BO104" s="383" t="e">
        <f t="shared" si="186"/>
        <v>#DIV/0!</v>
      </c>
      <c r="BP104" s="383" t="e">
        <f t="shared" si="186"/>
        <v>#DIV/0!</v>
      </c>
      <c r="BQ104" s="383" t="e">
        <f t="shared" si="186"/>
        <v>#DIV/0!</v>
      </c>
      <c r="BR104" s="386">
        <v>0</v>
      </c>
      <c r="BS104" s="383" t="e">
        <f>IF(BF104="","",IF(BS$18=$BR104,"〇",""))</f>
        <v>#DIV/0!</v>
      </c>
      <c r="BT104" s="383" t="e">
        <f t="shared" ref="BT104:CD105" si="187">IF(BG104="","",IF(BT$18=$BR104,"〇",""))</f>
        <v>#DIV/0!</v>
      </c>
      <c r="BU104" s="383" t="e">
        <f t="shared" si="187"/>
        <v>#DIV/0!</v>
      </c>
      <c r="BV104" s="383" t="e">
        <f t="shared" si="187"/>
        <v>#DIV/0!</v>
      </c>
      <c r="BW104" s="383" t="e">
        <f t="shared" si="187"/>
        <v>#DIV/0!</v>
      </c>
      <c r="BX104" s="383" t="e">
        <f t="shared" si="187"/>
        <v>#DIV/0!</v>
      </c>
      <c r="BY104" s="383" t="e">
        <f t="shared" si="187"/>
        <v>#DIV/0!</v>
      </c>
      <c r="BZ104" s="383" t="e">
        <f t="shared" si="187"/>
        <v>#DIV/0!</v>
      </c>
      <c r="CA104" s="383" t="e">
        <f t="shared" si="187"/>
        <v>#DIV/0!</v>
      </c>
      <c r="CB104" s="383" t="e">
        <f t="shared" si="187"/>
        <v>#DIV/0!</v>
      </c>
      <c r="CC104" s="383" t="e">
        <f t="shared" si="187"/>
        <v>#DIV/0!</v>
      </c>
      <c r="CD104" s="383" t="e">
        <f t="shared" si="187"/>
        <v>#DIV/0!</v>
      </c>
      <c r="CE104" s="386">
        <v>0</v>
      </c>
      <c r="CF104" s="383" t="e">
        <f>IF(BS104="","",IF(CF$18=$CE104,"〇",""))</f>
        <v>#DIV/0!</v>
      </c>
      <c r="CG104" s="383" t="e">
        <f t="shared" ref="CG104:CQ104" si="188">IF(BT104="","",IF(CG$18=$CE104,"〇",""))</f>
        <v>#DIV/0!</v>
      </c>
      <c r="CH104" s="383" t="e">
        <f t="shared" si="188"/>
        <v>#DIV/0!</v>
      </c>
      <c r="CI104" s="383" t="e">
        <f t="shared" si="188"/>
        <v>#DIV/0!</v>
      </c>
      <c r="CJ104" s="383" t="e">
        <f t="shared" si="188"/>
        <v>#DIV/0!</v>
      </c>
      <c r="CK104" s="383" t="e">
        <f t="shared" si="188"/>
        <v>#DIV/0!</v>
      </c>
      <c r="CL104" s="383" t="e">
        <f t="shared" si="188"/>
        <v>#DIV/0!</v>
      </c>
      <c r="CM104" s="383" t="e">
        <f t="shared" si="188"/>
        <v>#DIV/0!</v>
      </c>
      <c r="CN104" s="383" t="e">
        <f t="shared" si="188"/>
        <v>#DIV/0!</v>
      </c>
      <c r="CO104" s="383" t="e">
        <f t="shared" si="188"/>
        <v>#DIV/0!</v>
      </c>
      <c r="CP104" s="383" t="e">
        <f t="shared" si="188"/>
        <v>#DIV/0!</v>
      </c>
      <c r="CQ104" s="383" t="e">
        <f t="shared" si="188"/>
        <v>#DIV/0!</v>
      </c>
    </row>
    <row r="105" spans="3:95">
      <c r="C105" s="391">
        <v>1</v>
      </c>
      <c r="D105" s="391" t="s">
        <v>1404</v>
      </c>
      <c r="E105" s="391">
        <v>1</v>
      </c>
      <c r="F105" s="391" t="s">
        <v>1404</v>
      </c>
      <c r="G105" s="391">
        <v>1</v>
      </c>
      <c r="H105" s="391" t="s">
        <v>1404</v>
      </c>
      <c r="I105" s="387">
        <v>1</v>
      </c>
      <c r="J105" s="387" t="s">
        <v>1393</v>
      </c>
      <c r="K105" s="382" t="s">
        <v>1390</v>
      </c>
      <c r="L105" s="382" t="s">
        <v>1390</v>
      </c>
      <c r="M105" s="391">
        <v>3</v>
      </c>
      <c r="N105" s="391" t="s">
        <v>1404</v>
      </c>
      <c r="O105" s="391">
        <v>1</v>
      </c>
      <c r="P105" s="391" t="s">
        <v>1404</v>
      </c>
      <c r="R105" s="386">
        <v>7</v>
      </c>
      <c r="S105" s="383" t="e">
        <f t="shared" si="184"/>
        <v>#DIV/0!</v>
      </c>
      <c r="T105" s="383" t="e">
        <f t="shared" si="184"/>
        <v>#DIV/0!</v>
      </c>
      <c r="U105" s="383" t="e">
        <f t="shared" si="184"/>
        <v>#DIV/0!</v>
      </c>
      <c r="V105" s="383" t="e">
        <f t="shared" si="184"/>
        <v>#DIV/0!</v>
      </c>
      <c r="W105" s="383" t="e">
        <f t="shared" si="184"/>
        <v>#DIV/0!</v>
      </c>
      <c r="X105" s="383" t="e">
        <f t="shared" si="184"/>
        <v>#DIV/0!</v>
      </c>
      <c r="Y105" s="383" t="e">
        <f t="shared" si="184"/>
        <v>#DIV/0!</v>
      </c>
      <c r="Z105" s="383" t="e">
        <f t="shared" si="184"/>
        <v>#DIV/0!</v>
      </c>
      <c r="AA105" s="383" t="e">
        <f t="shared" si="184"/>
        <v>#DIV/0!</v>
      </c>
      <c r="AB105" s="383" t="e">
        <f t="shared" si="184"/>
        <v>#DIV/0!</v>
      </c>
      <c r="AC105" s="383" t="e">
        <f t="shared" si="184"/>
        <v>#DIV/0!</v>
      </c>
      <c r="AD105" s="383" t="e">
        <f t="shared" si="184"/>
        <v>#DIV/0!</v>
      </c>
      <c r="AE105" s="386">
        <v>3</v>
      </c>
      <c r="AF105" s="383" t="e">
        <f t="shared" si="185"/>
        <v>#DIV/0!</v>
      </c>
      <c r="AG105" s="383" t="e">
        <f t="shared" si="185"/>
        <v>#DIV/0!</v>
      </c>
      <c r="AH105" s="383" t="e">
        <f t="shared" si="185"/>
        <v>#DIV/0!</v>
      </c>
      <c r="AI105" s="383" t="e">
        <f t="shared" si="185"/>
        <v>#DIV/0!</v>
      </c>
      <c r="AJ105" s="383" t="e">
        <f t="shared" si="185"/>
        <v>#DIV/0!</v>
      </c>
      <c r="AK105" s="383" t="e">
        <f t="shared" si="185"/>
        <v>#DIV/0!</v>
      </c>
      <c r="AL105" s="383" t="e">
        <f t="shared" si="185"/>
        <v>#DIV/0!</v>
      </c>
      <c r="AM105" s="383" t="e">
        <f t="shared" si="185"/>
        <v>#DIV/0!</v>
      </c>
      <c r="AN105" s="383" t="e">
        <f t="shared" si="185"/>
        <v>#DIV/0!</v>
      </c>
      <c r="AO105" s="383" t="e">
        <f t="shared" si="185"/>
        <v>#DIV/0!</v>
      </c>
      <c r="AP105" s="383" t="e">
        <f t="shared" si="185"/>
        <v>#DIV/0!</v>
      </c>
      <c r="AQ105" s="383" t="e">
        <f t="shared" si="185"/>
        <v>#DIV/0!</v>
      </c>
      <c r="AR105" s="386">
        <v>1</v>
      </c>
      <c r="AS105" s="383" t="e">
        <f t="shared" si="182"/>
        <v>#DIV/0!</v>
      </c>
      <c r="AT105" s="383" t="e">
        <f t="shared" si="182"/>
        <v>#DIV/0!</v>
      </c>
      <c r="AU105" s="383" t="e">
        <f t="shared" si="182"/>
        <v>#DIV/0!</v>
      </c>
      <c r="AV105" s="383" t="e">
        <f t="shared" si="182"/>
        <v>#DIV/0!</v>
      </c>
      <c r="AW105" s="383" t="e">
        <f t="shared" si="182"/>
        <v>#DIV/0!</v>
      </c>
      <c r="AX105" s="383" t="e">
        <f t="shared" si="182"/>
        <v>#DIV/0!</v>
      </c>
      <c r="AY105" s="383" t="e">
        <f t="shared" si="182"/>
        <v>#DIV/0!</v>
      </c>
      <c r="AZ105" s="383" t="e">
        <f t="shared" si="182"/>
        <v>#DIV/0!</v>
      </c>
      <c r="BA105" s="383" t="e">
        <f t="shared" si="182"/>
        <v>#DIV/0!</v>
      </c>
      <c r="BB105" s="383" t="e">
        <f t="shared" si="182"/>
        <v>#DIV/0!</v>
      </c>
      <c r="BC105" s="383" t="e">
        <f t="shared" si="182"/>
        <v>#DIV/0!</v>
      </c>
      <c r="BD105" s="383" t="e">
        <f t="shared" si="182"/>
        <v>#DIV/0!</v>
      </c>
      <c r="BE105" s="386">
        <v>0</v>
      </c>
      <c r="BF105" s="383" t="e">
        <f t="shared" si="186"/>
        <v>#DIV/0!</v>
      </c>
      <c r="BG105" s="383" t="e">
        <f t="shared" si="186"/>
        <v>#DIV/0!</v>
      </c>
      <c r="BH105" s="383" t="e">
        <f t="shared" si="186"/>
        <v>#DIV/0!</v>
      </c>
      <c r="BI105" s="383" t="e">
        <f t="shared" si="186"/>
        <v>#DIV/0!</v>
      </c>
      <c r="BJ105" s="383" t="e">
        <f t="shared" si="186"/>
        <v>#DIV/0!</v>
      </c>
      <c r="BK105" s="383" t="e">
        <f t="shared" si="186"/>
        <v>#DIV/0!</v>
      </c>
      <c r="BL105" s="383" t="e">
        <f t="shared" si="186"/>
        <v>#DIV/0!</v>
      </c>
      <c r="BM105" s="383" t="e">
        <f t="shared" si="186"/>
        <v>#DIV/0!</v>
      </c>
      <c r="BN105" s="383" t="e">
        <f t="shared" si="186"/>
        <v>#DIV/0!</v>
      </c>
      <c r="BO105" s="383" t="e">
        <f t="shared" si="186"/>
        <v>#DIV/0!</v>
      </c>
      <c r="BP105" s="383" t="e">
        <f t="shared" si="186"/>
        <v>#DIV/0!</v>
      </c>
      <c r="BQ105" s="383" t="e">
        <f t="shared" si="186"/>
        <v>#DIV/0!</v>
      </c>
      <c r="BR105" s="386">
        <v>0</v>
      </c>
      <c r="BS105" s="383" t="e">
        <f>IF(BF105="","",IF(BS$18=$BR105,"〇",""))</f>
        <v>#DIV/0!</v>
      </c>
      <c r="BT105" s="383" t="e">
        <f t="shared" si="187"/>
        <v>#DIV/0!</v>
      </c>
      <c r="BU105" s="383" t="e">
        <f t="shared" si="187"/>
        <v>#DIV/0!</v>
      </c>
      <c r="BV105" s="383" t="e">
        <f t="shared" si="187"/>
        <v>#DIV/0!</v>
      </c>
      <c r="BW105" s="383" t="e">
        <f t="shared" si="187"/>
        <v>#DIV/0!</v>
      </c>
      <c r="BX105" s="383" t="e">
        <f t="shared" si="187"/>
        <v>#DIV/0!</v>
      </c>
      <c r="BY105" s="383" t="e">
        <f t="shared" si="187"/>
        <v>#DIV/0!</v>
      </c>
      <c r="BZ105" s="383" t="e">
        <f t="shared" si="187"/>
        <v>#DIV/0!</v>
      </c>
      <c r="CA105" s="383" t="e">
        <f t="shared" si="187"/>
        <v>#DIV/0!</v>
      </c>
      <c r="CB105" s="383" t="e">
        <f t="shared" si="187"/>
        <v>#DIV/0!</v>
      </c>
      <c r="CC105" s="383" t="e">
        <f t="shared" si="187"/>
        <v>#DIV/0!</v>
      </c>
      <c r="CD105" s="383" t="e">
        <f t="shared" si="187"/>
        <v>#DIV/0!</v>
      </c>
      <c r="CE105" s="386" t="s">
        <v>1396</v>
      </c>
      <c r="CF105" s="383" t="e">
        <f>IF(BS105="","",IF(CF$18&gt;=1,"〇",""))</f>
        <v>#DIV/0!</v>
      </c>
      <c r="CG105" s="383" t="e">
        <f t="shared" ref="CG105:CQ105" si="189">IF(BT105="","",IF(CG$18&gt;=1,"〇",""))</f>
        <v>#DIV/0!</v>
      </c>
      <c r="CH105" s="383" t="e">
        <f t="shared" si="189"/>
        <v>#DIV/0!</v>
      </c>
      <c r="CI105" s="383" t="e">
        <f t="shared" si="189"/>
        <v>#DIV/0!</v>
      </c>
      <c r="CJ105" s="383" t="e">
        <f t="shared" si="189"/>
        <v>#DIV/0!</v>
      </c>
      <c r="CK105" s="383" t="e">
        <f t="shared" si="189"/>
        <v>#DIV/0!</v>
      </c>
      <c r="CL105" s="383" t="e">
        <f t="shared" si="189"/>
        <v>#DIV/0!</v>
      </c>
      <c r="CM105" s="383" t="e">
        <f t="shared" si="189"/>
        <v>#DIV/0!</v>
      </c>
      <c r="CN105" s="383" t="e">
        <f t="shared" si="189"/>
        <v>#DIV/0!</v>
      </c>
      <c r="CO105" s="383" t="e">
        <f t="shared" si="189"/>
        <v>#DIV/0!</v>
      </c>
      <c r="CP105" s="383" t="e">
        <f t="shared" si="189"/>
        <v>#DIV/0!</v>
      </c>
      <c r="CQ105" s="383" t="e">
        <f t="shared" si="189"/>
        <v>#DIV/0!</v>
      </c>
    </row>
    <row r="106" spans="3:95">
      <c r="C106" s="391">
        <v>1</v>
      </c>
      <c r="D106" s="391" t="s">
        <v>1404</v>
      </c>
      <c r="E106" s="391">
        <v>1</v>
      </c>
      <c r="F106" s="391" t="s">
        <v>1404</v>
      </c>
      <c r="G106" s="391">
        <v>1</v>
      </c>
      <c r="H106" s="391" t="s">
        <v>1404</v>
      </c>
      <c r="I106" s="389">
        <v>1</v>
      </c>
      <c r="J106" s="389" t="s">
        <v>1404</v>
      </c>
      <c r="K106" s="382" t="s">
        <v>1390</v>
      </c>
      <c r="L106" s="382" t="s">
        <v>1390</v>
      </c>
      <c r="M106" s="391">
        <v>3</v>
      </c>
      <c r="N106" s="391" t="s">
        <v>1404</v>
      </c>
      <c r="O106" s="391">
        <v>1</v>
      </c>
      <c r="P106" s="391" t="s">
        <v>1404</v>
      </c>
      <c r="R106" s="386">
        <v>7</v>
      </c>
      <c r="S106" s="383" t="e">
        <f t="shared" si="184"/>
        <v>#DIV/0!</v>
      </c>
      <c r="T106" s="383" t="e">
        <f t="shared" si="184"/>
        <v>#DIV/0!</v>
      </c>
      <c r="U106" s="383" t="e">
        <f t="shared" si="184"/>
        <v>#DIV/0!</v>
      </c>
      <c r="V106" s="383" t="e">
        <f t="shared" si="184"/>
        <v>#DIV/0!</v>
      </c>
      <c r="W106" s="383" t="e">
        <f t="shared" si="184"/>
        <v>#DIV/0!</v>
      </c>
      <c r="X106" s="383" t="e">
        <f t="shared" si="184"/>
        <v>#DIV/0!</v>
      </c>
      <c r="Y106" s="383" t="e">
        <f t="shared" si="184"/>
        <v>#DIV/0!</v>
      </c>
      <c r="Z106" s="383" t="e">
        <f t="shared" si="184"/>
        <v>#DIV/0!</v>
      </c>
      <c r="AA106" s="383" t="e">
        <f t="shared" si="184"/>
        <v>#DIV/0!</v>
      </c>
      <c r="AB106" s="383" t="e">
        <f t="shared" si="184"/>
        <v>#DIV/0!</v>
      </c>
      <c r="AC106" s="383" t="e">
        <f t="shared" si="184"/>
        <v>#DIV/0!</v>
      </c>
      <c r="AD106" s="383" t="e">
        <f t="shared" si="184"/>
        <v>#DIV/0!</v>
      </c>
      <c r="AE106" s="386">
        <v>3</v>
      </c>
      <c r="AF106" s="383" t="e">
        <f t="shared" si="185"/>
        <v>#DIV/0!</v>
      </c>
      <c r="AG106" s="383" t="e">
        <f t="shared" si="185"/>
        <v>#DIV/0!</v>
      </c>
      <c r="AH106" s="383" t="e">
        <f t="shared" si="185"/>
        <v>#DIV/0!</v>
      </c>
      <c r="AI106" s="383" t="e">
        <f t="shared" si="185"/>
        <v>#DIV/0!</v>
      </c>
      <c r="AJ106" s="383" t="e">
        <f t="shared" si="185"/>
        <v>#DIV/0!</v>
      </c>
      <c r="AK106" s="383" t="e">
        <f t="shared" si="185"/>
        <v>#DIV/0!</v>
      </c>
      <c r="AL106" s="383" t="e">
        <f t="shared" si="185"/>
        <v>#DIV/0!</v>
      </c>
      <c r="AM106" s="383" t="e">
        <f t="shared" si="185"/>
        <v>#DIV/0!</v>
      </c>
      <c r="AN106" s="383" t="e">
        <f t="shared" si="185"/>
        <v>#DIV/0!</v>
      </c>
      <c r="AO106" s="383" t="e">
        <f t="shared" si="185"/>
        <v>#DIV/0!</v>
      </c>
      <c r="AP106" s="383" t="e">
        <f t="shared" si="185"/>
        <v>#DIV/0!</v>
      </c>
      <c r="AQ106" s="383" t="e">
        <f t="shared" si="185"/>
        <v>#DIV/0!</v>
      </c>
      <c r="AR106" s="386">
        <v>1</v>
      </c>
      <c r="AS106" s="383" t="e">
        <f t="shared" si="182"/>
        <v>#DIV/0!</v>
      </c>
      <c r="AT106" s="383" t="e">
        <f t="shared" si="182"/>
        <v>#DIV/0!</v>
      </c>
      <c r="AU106" s="383" t="e">
        <f t="shared" si="182"/>
        <v>#DIV/0!</v>
      </c>
      <c r="AV106" s="383" t="e">
        <f t="shared" si="182"/>
        <v>#DIV/0!</v>
      </c>
      <c r="AW106" s="383" t="e">
        <f t="shared" si="182"/>
        <v>#DIV/0!</v>
      </c>
      <c r="AX106" s="383" t="e">
        <f t="shared" si="182"/>
        <v>#DIV/0!</v>
      </c>
      <c r="AY106" s="383" t="e">
        <f t="shared" si="182"/>
        <v>#DIV/0!</v>
      </c>
      <c r="AZ106" s="383" t="e">
        <f t="shared" si="182"/>
        <v>#DIV/0!</v>
      </c>
      <c r="BA106" s="383" t="e">
        <f t="shared" si="182"/>
        <v>#DIV/0!</v>
      </c>
      <c r="BB106" s="383" t="e">
        <f t="shared" si="182"/>
        <v>#DIV/0!</v>
      </c>
      <c r="BC106" s="383" t="e">
        <f t="shared" si="182"/>
        <v>#DIV/0!</v>
      </c>
      <c r="BD106" s="383" t="e">
        <f t="shared" si="182"/>
        <v>#DIV/0!</v>
      </c>
      <c r="BE106" s="386">
        <v>0</v>
      </c>
      <c r="BF106" s="383" t="e">
        <f t="shared" si="186"/>
        <v>#DIV/0!</v>
      </c>
      <c r="BG106" s="383" t="e">
        <f t="shared" si="186"/>
        <v>#DIV/0!</v>
      </c>
      <c r="BH106" s="383" t="e">
        <f t="shared" si="186"/>
        <v>#DIV/0!</v>
      </c>
      <c r="BI106" s="383" t="e">
        <f t="shared" si="186"/>
        <v>#DIV/0!</v>
      </c>
      <c r="BJ106" s="383" t="e">
        <f t="shared" si="186"/>
        <v>#DIV/0!</v>
      </c>
      <c r="BK106" s="383" t="e">
        <f t="shared" si="186"/>
        <v>#DIV/0!</v>
      </c>
      <c r="BL106" s="383" t="e">
        <f t="shared" si="186"/>
        <v>#DIV/0!</v>
      </c>
      <c r="BM106" s="383" t="e">
        <f t="shared" si="186"/>
        <v>#DIV/0!</v>
      </c>
      <c r="BN106" s="383" t="e">
        <f t="shared" si="186"/>
        <v>#DIV/0!</v>
      </c>
      <c r="BO106" s="383" t="e">
        <f t="shared" si="186"/>
        <v>#DIV/0!</v>
      </c>
      <c r="BP106" s="383" t="e">
        <f t="shared" si="186"/>
        <v>#DIV/0!</v>
      </c>
      <c r="BQ106" s="383" t="e">
        <f t="shared" si="186"/>
        <v>#DIV/0!</v>
      </c>
      <c r="BR106" s="386" t="s">
        <v>1396</v>
      </c>
      <c r="BS106" s="383" t="e">
        <f>IF(BF106="","",IF(BS$18&gt;=1,"〇",""))</f>
        <v>#DIV/0!</v>
      </c>
      <c r="BT106" s="383" t="e">
        <f t="shared" ref="BT106:CD106" si="190">IF(BG106="","",IF(BT$18&gt;=1,"〇",""))</f>
        <v>#DIV/0!</v>
      </c>
      <c r="BU106" s="383" t="e">
        <f t="shared" si="190"/>
        <v>#DIV/0!</v>
      </c>
      <c r="BV106" s="383" t="e">
        <f t="shared" si="190"/>
        <v>#DIV/0!</v>
      </c>
      <c r="BW106" s="383" t="e">
        <f t="shared" si="190"/>
        <v>#DIV/0!</v>
      </c>
      <c r="BX106" s="383" t="e">
        <f t="shared" si="190"/>
        <v>#DIV/0!</v>
      </c>
      <c r="BY106" s="383" t="e">
        <f t="shared" si="190"/>
        <v>#DIV/0!</v>
      </c>
      <c r="BZ106" s="383" t="e">
        <f t="shared" si="190"/>
        <v>#DIV/0!</v>
      </c>
      <c r="CA106" s="383" t="e">
        <f t="shared" si="190"/>
        <v>#DIV/0!</v>
      </c>
      <c r="CB106" s="383" t="e">
        <f t="shared" si="190"/>
        <v>#DIV/0!</v>
      </c>
      <c r="CC106" s="383" t="e">
        <f t="shared" si="190"/>
        <v>#DIV/0!</v>
      </c>
      <c r="CD106" s="383" t="e">
        <f t="shared" si="190"/>
        <v>#DIV/0!</v>
      </c>
      <c r="CE106" s="386" t="s">
        <v>1390</v>
      </c>
      <c r="CF106" s="383" t="e">
        <f t="shared" ref="CF106:CQ107" si="191">IF(BS106="","","〇")</f>
        <v>#DIV/0!</v>
      </c>
      <c r="CG106" s="383" t="e">
        <f t="shared" si="191"/>
        <v>#DIV/0!</v>
      </c>
      <c r="CH106" s="383" t="e">
        <f t="shared" si="191"/>
        <v>#DIV/0!</v>
      </c>
      <c r="CI106" s="383" t="e">
        <f t="shared" si="191"/>
        <v>#DIV/0!</v>
      </c>
      <c r="CJ106" s="383" t="e">
        <f t="shared" si="191"/>
        <v>#DIV/0!</v>
      </c>
      <c r="CK106" s="383" t="e">
        <f t="shared" si="191"/>
        <v>#DIV/0!</v>
      </c>
      <c r="CL106" s="383" t="e">
        <f t="shared" si="191"/>
        <v>#DIV/0!</v>
      </c>
      <c r="CM106" s="383" t="e">
        <f t="shared" si="191"/>
        <v>#DIV/0!</v>
      </c>
      <c r="CN106" s="383" t="e">
        <f t="shared" si="191"/>
        <v>#DIV/0!</v>
      </c>
      <c r="CO106" s="383" t="e">
        <f t="shared" si="191"/>
        <v>#DIV/0!</v>
      </c>
      <c r="CP106" s="383" t="e">
        <f t="shared" si="191"/>
        <v>#DIV/0!</v>
      </c>
      <c r="CQ106" s="383" t="e">
        <f t="shared" si="191"/>
        <v>#DIV/0!</v>
      </c>
    </row>
    <row r="107" spans="3:95">
      <c r="C107" s="391">
        <v>1</v>
      </c>
      <c r="D107" s="391" t="s">
        <v>1404</v>
      </c>
      <c r="E107" s="391">
        <v>1</v>
      </c>
      <c r="F107" s="391" t="s">
        <v>1404</v>
      </c>
      <c r="G107" s="391">
        <v>1</v>
      </c>
      <c r="H107" s="391" t="s">
        <v>1404</v>
      </c>
      <c r="I107" s="390">
        <v>1</v>
      </c>
      <c r="J107" s="390" t="s">
        <v>1405</v>
      </c>
      <c r="K107" s="382" t="s">
        <v>1390</v>
      </c>
      <c r="L107" s="382" t="s">
        <v>1390</v>
      </c>
      <c r="M107" s="391">
        <v>3</v>
      </c>
      <c r="N107" s="391" t="s">
        <v>1404</v>
      </c>
      <c r="O107" s="391">
        <v>1</v>
      </c>
      <c r="P107" s="391" t="s">
        <v>1404</v>
      </c>
      <c r="R107" s="386">
        <v>7</v>
      </c>
      <c r="S107" s="383" t="e">
        <f t="shared" si="184"/>
        <v>#DIV/0!</v>
      </c>
      <c r="T107" s="383" t="e">
        <f t="shared" si="184"/>
        <v>#DIV/0!</v>
      </c>
      <c r="U107" s="383" t="e">
        <f t="shared" si="184"/>
        <v>#DIV/0!</v>
      </c>
      <c r="V107" s="383" t="e">
        <f t="shared" si="184"/>
        <v>#DIV/0!</v>
      </c>
      <c r="W107" s="383" t="e">
        <f t="shared" si="184"/>
        <v>#DIV/0!</v>
      </c>
      <c r="X107" s="383" t="e">
        <f t="shared" si="184"/>
        <v>#DIV/0!</v>
      </c>
      <c r="Y107" s="383" t="e">
        <f t="shared" si="184"/>
        <v>#DIV/0!</v>
      </c>
      <c r="Z107" s="383" t="e">
        <f t="shared" si="184"/>
        <v>#DIV/0!</v>
      </c>
      <c r="AA107" s="383" t="e">
        <f t="shared" si="184"/>
        <v>#DIV/0!</v>
      </c>
      <c r="AB107" s="383" t="e">
        <f t="shared" si="184"/>
        <v>#DIV/0!</v>
      </c>
      <c r="AC107" s="383" t="e">
        <f t="shared" si="184"/>
        <v>#DIV/0!</v>
      </c>
      <c r="AD107" s="383" t="e">
        <f t="shared" si="184"/>
        <v>#DIV/0!</v>
      </c>
      <c r="AE107" s="386">
        <v>3</v>
      </c>
      <c r="AF107" s="383" t="e">
        <f t="shared" si="185"/>
        <v>#DIV/0!</v>
      </c>
      <c r="AG107" s="383" t="e">
        <f t="shared" si="185"/>
        <v>#DIV/0!</v>
      </c>
      <c r="AH107" s="383" t="e">
        <f t="shared" si="185"/>
        <v>#DIV/0!</v>
      </c>
      <c r="AI107" s="383" t="e">
        <f t="shared" si="185"/>
        <v>#DIV/0!</v>
      </c>
      <c r="AJ107" s="383" t="e">
        <f t="shared" si="185"/>
        <v>#DIV/0!</v>
      </c>
      <c r="AK107" s="383" t="e">
        <f t="shared" si="185"/>
        <v>#DIV/0!</v>
      </c>
      <c r="AL107" s="383" t="e">
        <f t="shared" si="185"/>
        <v>#DIV/0!</v>
      </c>
      <c r="AM107" s="383" t="e">
        <f t="shared" si="185"/>
        <v>#DIV/0!</v>
      </c>
      <c r="AN107" s="383" t="e">
        <f t="shared" si="185"/>
        <v>#DIV/0!</v>
      </c>
      <c r="AO107" s="383" t="e">
        <f t="shared" si="185"/>
        <v>#DIV/0!</v>
      </c>
      <c r="AP107" s="383" t="e">
        <f t="shared" si="185"/>
        <v>#DIV/0!</v>
      </c>
      <c r="AQ107" s="383" t="e">
        <f t="shared" si="185"/>
        <v>#DIV/0!</v>
      </c>
      <c r="AR107" s="386">
        <v>1</v>
      </c>
      <c r="AS107" s="383" t="e">
        <f t="shared" si="182"/>
        <v>#DIV/0!</v>
      </c>
      <c r="AT107" s="383" t="e">
        <f t="shared" si="182"/>
        <v>#DIV/0!</v>
      </c>
      <c r="AU107" s="383" t="e">
        <f t="shared" si="182"/>
        <v>#DIV/0!</v>
      </c>
      <c r="AV107" s="383" t="e">
        <f t="shared" si="182"/>
        <v>#DIV/0!</v>
      </c>
      <c r="AW107" s="383" t="e">
        <f t="shared" si="182"/>
        <v>#DIV/0!</v>
      </c>
      <c r="AX107" s="383" t="e">
        <f t="shared" si="182"/>
        <v>#DIV/0!</v>
      </c>
      <c r="AY107" s="383" t="e">
        <f t="shared" si="182"/>
        <v>#DIV/0!</v>
      </c>
      <c r="AZ107" s="383" t="e">
        <f t="shared" si="182"/>
        <v>#DIV/0!</v>
      </c>
      <c r="BA107" s="383" t="e">
        <f t="shared" si="182"/>
        <v>#DIV/0!</v>
      </c>
      <c r="BB107" s="383" t="e">
        <f t="shared" si="182"/>
        <v>#DIV/0!</v>
      </c>
      <c r="BC107" s="383" t="e">
        <f t="shared" si="182"/>
        <v>#DIV/0!</v>
      </c>
      <c r="BD107" s="383" t="e">
        <f t="shared" si="182"/>
        <v>#DIV/0!</v>
      </c>
      <c r="BE107" s="386" t="s">
        <v>1396</v>
      </c>
      <c r="BF107" s="383" t="e">
        <f>IF(AS107="","",IF(BF$18&gt;=1,"〇",""))</f>
        <v>#DIV/0!</v>
      </c>
      <c r="BG107" s="383" t="e">
        <f t="shared" ref="BG107:BQ107" si="192">IF(AT107="","",IF(BG$18&gt;=1,"〇",""))</f>
        <v>#DIV/0!</v>
      </c>
      <c r="BH107" s="383" t="e">
        <f t="shared" si="192"/>
        <v>#DIV/0!</v>
      </c>
      <c r="BI107" s="383" t="e">
        <f t="shared" si="192"/>
        <v>#DIV/0!</v>
      </c>
      <c r="BJ107" s="383" t="e">
        <f t="shared" si="192"/>
        <v>#DIV/0!</v>
      </c>
      <c r="BK107" s="383" t="e">
        <f t="shared" si="192"/>
        <v>#DIV/0!</v>
      </c>
      <c r="BL107" s="383" t="e">
        <f t="shared" si="192"/>
        <v>#DIV/0!</v>
      </c>
      <c r="BM107" s="383" t="e">
        <f t="shared" si="192"/>
        <v>#DIV/0!</v>
      </c>
      <c r="BN107" s="383" t="e">
        <f t="shared" si="192"/>
        <v>#DIV/0!</v>
      </c>
      <c r="BO107" s="383" t="e">
        <f t="shared" si="192"/>
        <v>#DIV/0!</v>
      </c>
      <c r="BP107" s="383" t="e">
        <f t="shared" si="192"/>
        <v>#DIV/0!</v>
      </c>
      <c r="BQ107" s="383" t="e">
        <f t="shared" si="192"/>
        <v>#DIV/0!</v>
      </c>
      <c r="BR107" s="386" t="s">
        <v>1390</v>
      </c>
      <c r="BS107" s="383" t="e">
        <f>IF(BF107="","","〇")</f>
        <v>#DIV/0!</v>
      </c>
      <c r="BT107" s="383" t="e">
        <f t="shared" ref="BT107:CD107" si="193">IF(BG107="","","〇")</f>
        <v>#DIV/0!</v>
      </c>
      <c r="BU107" s="383" t="e">
        <f t="shared" si="193"/>
        <v>#DIV/0!</v>
      </c>
      <c r="BV107" s="383" t="e">
        <f t="shared" si="193"/>
        <v>#DIV/0!</v>
      </c>
      <c r="BW107" s="383" t="e">
        <f t="shared" si="193"/>
        <v>#DIV/0!</v>
      </c>
      <c r="BX107" s="383" t="e">
        <f t="shared" si="193"/>
        <v>#DIV/0!</v>
      </c>
      <c r="BY107" s="383" t="e">
        <f t="shared" si="193"/>
        <v>#DIV/0!</v>
      </c>
      <c r="BZ107" s="383" t="e">
        <f t="shared" si="193"/>
        <v>#DIV/0!</v>
      </c>
      <c r="CA107" s="383" t="e">
        <f t="shared" si="193"/>
        <v>#DIV/0!</v>
      </c>
      <c r="CB107" s="383" t="e">
        <f t="shared" si="193"/>
        <v>#DIV/0!</v>
      </c>
      <c r="CC107" s="383" t="e">
        <f t="shared" si="193"/>
        <v>#DIV/0!</v>
      </c>
      <c r="CD107" s="383" t="e">
        <f t="shared" si="193"/>
        <v>#DIV/0!</v>
      </c>
      <c r="CE107" s="386" t="s">
        <v>1390</v>
      </c>
      <c r="CF107" s="383" t="e">
        <f t="shared" si="191"/>
        <v>#DIV/0!</v>
      </c>
      <c r="CG107" s="383" t="e">
        <f t="shared" si="191"/>
        <v>#DIV/0!</v>
      </c>
      <c r="CH107" s="383" t="e">
        <f t="shared" si="191"/>
        <v>#DIV/0!</v>
      </c>
      <c r="CI107" s="383" t="e">
        <f t="shared" si="191"/>
        <v>#DIV/0!</v>
      </c>
      <c r="CJ107" s="383" t="e">
        <f t="shared" si="191"/>
        <v>#DIV/0!</v>
      </c>
      <c r="CK107" s="383" t="e">
        <f t="shared" si="191"/>
        <v>#DIV/0!</v>
      </c>
      <c r="CL107" s="383" t="e">
        <f t="shared" si="191"/>
        <v>#DIV/0!</v>
      </c>
      <c r="CM107" s="383" t="e">
        <f t="shared" si="191"/>
        <v>#DIV/0!</v>
      </c>
      <c r="CN107" s="383" t="e">
        <f t="shared" si="191"/>
        <v>#DIV/0!</v>
      </c>
      <c r="CO107" s="383" t="e">
        <f t="shared" si="191"/>
        <v>#DIV/0!</v>
      </c>
      <c r="CP107" s="383" t="e">
        <f t="shared" si="191"/>
        <v>#DIV/0!</v>
      </c>
      <c r="CQ107" s="383" t="e">
        <f t="shared" si="191"/>
        <v>#DIV/0!</v>
      </c>
    </row>
    <row r="108" spans="3:95">
      <c r="C108" s="391">
        <v>1</v>
      </c>
      <c r="D108" s="391" t="s">
        <v>1404</v>
      </c>
      <c r="E108" s="391">
        <v>1</v>
      </c>
      <c r="F108" s="391" t="s">
        <v>1404</v>
      </c>
      <c r="G108" s="391">
        <v>1</v>
      </c>
      <c r="H108" s="391" t="s">
        <v>1404</v>
      </c>
      <c r="I108" s="382" t="s">
        <v>1390</v>
      </c>
      <c r="J108" s="382" t="s">
        <v>1390</v>
      </c>
      <c r="K108" s="382" t="s">
        <v>1390</v>
      </c>
      <c r="L108" s="382" t="s">
        <v>1390</v>
      </c>
      <c r="M108" s="391">
        <v>4</v>
      </c>
      <c r="N108" s="391" t="s">
        <v>1404</v>
      </c>
      <c r="O108" s="382" t="s">
        <v>1390</v>
      </c>
      <c r="P108" s="382" t="s">
        <v>1390</v>
      </c>
      <c r="R108" s="386">
        <v>7</v>
      </c>
      <c r="S108" s="383" t="e">
        <f t="shared" si="184"/>
        <v>#DIV/0!</v>
      </c>
      <c r="T108" s="383" t="e">
        <f t="shared" si="184"/>
        <v>#DIV/0!</v>
      </c>
      <c r="U108" s="383" t="e">
        <f t="shared" si="184"/>
        <v>#DIV/0!</v>
      </c>
      <c r="V108" s="383" t="e">
        <f t="shared" si="184"/>
        <v>#DIV/0!</v>
      </c>
      <c r="W108" s="383" t="e">
        <f t="shared" si="184"/>
        <v>#DIV/0!</v>
      </c>
      <c r="X108" s="383" t="e">
        <f t="shared" si="184"/>
        <v>#DIV/0!</v>
      </c>
      <c r="Y108" s="383" t="e">
        <f t="shared" si="184"/>
        <v>#DIV/0!</v>
      </c>
      <c r="Z108" s="383" t="e">
        <f t="shared" si="184"/>
        <v>#DIV/0!</v>
      </c>
      <c r="AA108" s="383" t="e">
        <f t="shared" si="184"/>
        <v>#DIV/0!</v>
      </c>
      <c r="AB108" s="383" t="e">
        <f t="shared" si="184"/>
        <v>#DIV/0!</v>
      </c>
      <c r="AC108" s="383" t="e">
        <f t="shared" si="184"/>
        <v>#DIV/0!</v>
      </c>
      <c r="AD108" s="383" t="e">
        <f t="shared" si="184"/>
        <v>#DIV/0!</v>
      </c>
      <c r="AE108" s="386" t="s">
        <v>1398</v>
      </c>
      <c r="AF108" s="383" t="e">
        <f>IF(S108="","",IF(AF$18&gt;=4,"〇",""))</f>
        <v>#DIV/0!</v>
      </c>
      <c r="AG108" s="383" t="e">
        <f t="shared" ref="AG108:AQ111" si="194">IF(T108="","",IF(AG$18&gt;=4,"〇",""))</f>
        <v>#DIV/0!</v>
      </c>
      <c r="AH108" s="383" t="e">
        <f t="shared" si="194"/>
        <v>#DIV/0!</v>
      </c>
      <c r="AI108" s="383" t="e">
        <f t="shared" si="194"/>
        <v>#DIV/0!</v>
      </c>
      <c r="AJ108" s="383" t="e">
        <f t="shared" si="194"/>
        <v>#DIV/0!</v>
      </c>
      <c r="AK108" s="383" t="e">
        <f t="shared" si="194"/>
        <v>#DIV/0!</v>
      </c>
      <c r="AL108" s="383" t="e">
        <f t="shared" si="194"/>
        <v>#DIV/0!</v>
      </c>
      <c r="AM108" s="383" t="e">
        <f t="shared" si="194"/>
        <v>#DIV/0!</v>
      </c>
      <c r="AN108" s="383" t="e">
        <f t="shared" si="194"/>
        <v>#DIV/0!</v>
      </c>
      <c r="AO108" s="383" t="e">
        <f t="shared" si="194"/>
        <v>#DIV/0!</v>
      </c>
      <c r="AP108" s="383" t="e">
        <f t="shared" si="194"/>
        <v>#DIV/0!</v>
      </c>
      <c r="AQ108" s="383" t="e">
        <f t="shared" si="194"/>
        <v>#DIV/0!</v>
      </c>
      <c r="AR108" s="385" t="s">
        <v>1390</v>
      </c>
      <c r="AS108" s="383" t="e">
        <f t="shared" ref="AS108:BD111" si="195">IF(AF108="","","〇")</f>
        <v>#DIV/0!</v>
      </c>
      <c r="AT108" s="383" t="e">
        <f t="shared" si="195"/>
        <v>#DIV/0!</v>
      </c>
      <c r="AU108" s="383" t="e">
        <f t="shared" si="195"/>
        <v>#DIV/0!</v>
      </c>
      <c r="AV108" s="383" t="e">
        <f t="shared" si="195"/>
        <v>#DIV/0!</v>
      </c>
      <c r="AW108" s="383" t="e">
        <f t="shared" si="195"/>
        <v>#DIV/0!</v>
      </c>
      <c r="AX108" s="383" t="e">
        <f t="shared" si="195"/>
        <v>#DIV/0!</v>
      </c>
      <c r="AY108" s="383" t="e">
        <f t="shared" si="195"/>
        <v>#DIV/0!</v>
      </c>
      <c r="AZ108" s="383" t="e">
        <f t="shared" si="195"/>
        <v>#DIV/0!</v>
      </c>
      <c r="BA108" s="383" t="e">
        <f t="shared" si="195"/>
        <v>#DIV/0!</v>
      </c>
      <c r="BB108" s="383" t="e">
        <f t="shared" si="195"/>
        <v>#DIV/0!</v>
      </c>
      <c r="BC108" s="383" t="e">
        <f t="shared" si="195"/>
        <v>#DIV/0!</v>
      </c>
      <c r="BD108" s="383" t="e">
        <f t="shared" si="195"/>
        <v>#DIV/0!</v>
      </c>
      <c r="BE108" s="386">
        <v>0</v>
      </c>
      <c r="BF108" s="383" t="e">
        <f t="shared" si="186"/>
        <v>#DIV/0!</v>
      </c>
      <c r="BG108" s="383" t="e">
        <f t="shared" si="186"/>
        <v>#DIV/0!</v>
      </c>
      <c r="BH108" s="383" t="e">
        <f t="shared" si="186"/>
        <v>#DIV/0!</v>
      </c>
      <c r="BI108" s="383" t="e">
        <f t="shared" si="186"/>
        <v>#DIV/0!</v>
      </c>
      <c r="BJ108" s="383" t="e">
        <f t="shared" si="186"/>
        <v>#DIV/0!</v>
      </c>
      <c r="BK108" s="383" t="e">
        <f t="shared" si="186"/>
        <v>#DIV/0!</v>
      </c>
      <c r="BL108" s="383" t="e">
        <f t="shared" si="186"/>
        <v>#DIV/0!</v>
      </c>
      <c r="BM108" s="383" t="e">
        <f t="shared" si="186"/>
        <v>#DIV/0!</v>
      </c>
      <c r="BN108" s="383" t="e">
        <f t="shared" si="186"/>
        <v>#DIV/0!</v>
      </c>
      <c r="BO108" s="383" t="e">
        <f t="shared" si="186"/>
        <v>#DIV/0!</v>
      </c>
      <c r="BP108" s="383" t="e">
        <f t="shared" si="186"/>
        <v>#DIV/0!</v>
      </c>
      <c r="BQ108" s="383" t="e">
        <f t="shared" si="186"/>
        <v>#DIV/0!</v>
      </c>
      <c r="BR108" s="386">
        <v>0</v>
      </c>
      <c r="BS108" s="383" t="e">
        <f>IF(BF108="","",IF(BS$18=$BR108,"〇",""))</f>
        <v>#DIV/0!</v>
      </c>
      <c r="BT108" s="383" t="e">
        <f t="shared" ref="BT108:CD109" si="196">IF(BG108="","",IF(BT$18=$BR108,"〇",""))</f>
        <v>#DIV/0!</v>
      </c>
      <c r="BU108" s="383" t="e">
        <f t="shared" si="196"/>
        <v>#DIV/0!</v>
      </c>
      <c r="BV108" s="383" t="e">
        <f t="shared" si="196"/>
        <v>#DIV/0!</v>
      </c>
      <c r="BW108" s="383" t="e">
        <f t="shared" si="196"/>
        <v>#DIV/0!</v>
      </c>
      <c r="BX108" s="383" t="e">
        <f t="shared" si="196"/>
        <v>#DIV/0!</v>
      </c>
      <c r="BY108" s="383" t="e">
        <f t="shared" si="196"/>
        <v>#DIV/0!</v>
      </c>
      <c r="BZ108" s="383" t="e">
        <f t="shared" si="196"/>
        <v>#DIV/0!</v>
      </c>
      <c r="CA108" s="383" t="e">
        <f t="shared" si="196"/>
        <v>#DIV/0!</v>
      </c>
      <c r="CB108" s="383" t="e">
        <f t="shared" si="196"/>
        <v>#DIV/0!</v>
      </c>
      <c r="CC108" s="383" t="e">
        <f t="shared" si="196"/>
        <v>#DIV/0!</v>
      </c>
      <c r="CD108" s="383" t="e">
        <f t="shared" si="196"/>
        <v>#DIV/0!</v>
      </c>
      <c r="CE108" s="386">
        <v>0</v>
      </c>
      <c r="CF108" s="383" t="e">
        <f>IF(BS108="","",IF(CF$18=$CE108,"〇",""))</f>
        <v>#DIV/0!</v>
      </c>
      <c r="CG108" s="383" t="e">
        <f t="shared" ref="CG108:CQ108" si="197">IF(BT108="","",IF(CG$18=$CE108,"〇",""))</f>
        <v>#DIV/0!</v>
      </c>
      <c r="CH108" s="383" t="e">
        <f t="shared" si="197"/>
        <v>#DIV/0!</v>
      </c>
      <c r="CI108" s="383" t="e">
        <f t="shared" si="197"/>
        <v>#DIV/0!</v>
      </c>
      <c r="CJ108" s="383" t="e">
        <f t="shared" si="197"/>
        <v>#DIV/0!</v>
      </c>
      <c r="CK108" s="383" t="e">
        <f t="shared" si="197"/>
        <v>#DIV/0!</v>
      </c>
      <c r="CL108" s="383" t="e">
        <f t="shared" si="197"/>
        <v>#DIV/0!</v>
      </c>
      <c r="CM108" s="383" t="e">
        <f t="shared" si="197"/>
        <v>#DIV/0!</v>
      </c>
      <c r="CN108" s="383" t="e">
        <f t="shared" si="197"/>
        <v>#DIV/0!</v>
      </c>
      <c r="CO108" s="383" t="e">
        <f t="shared" si="197"/>
        <v>#DIV/0!</v>
      </c>
      <c r="CP108" s="383" t="e">
        <f t="shared" si="197"/>
        <v>#DIV/0!</v>
      </c>
      <c r="CQ108" s="383" t="e">
        <f t="shared" si="197"/>
        <v>#DIV/0!</v>
      </c>
    </row>
    <row r="109" spans="3:95">
      <c r="C109" s="391">
        <v>1</v>
      </c>
      <c r="D109" s="391" t="s">
        <v>1404</v>
      </c>
      <c r="E109" s="391">
        <v>1</v>
      </c>
      <c r="F109" s="391" t="s">
        <v>1404</v>
      </c>
      <c r="G109" s="391">
        <v>1</v>
      </c>
      <c r="H109" s="391" t="s">
        <v>1404</v>
      </c>
      <c r="I109" s="387">
        <v>1</v>
      </c>
      <c r="J109" s="387" t="s">
        <v>1393</v>
      </c>
      <c r="K109" s="382" t="s">
        <v>1390</v>
      </c>
      <c r="L109" s="382" t="s">
        <v>1390</v>
      </c>
      <c r="M109" s="391">
        <v>4</v>
      </c>
      <c r="N109" s="391" t="s">
        <v>1404</v>
      </c>
      <c r="O109" s="382" t="s">
        <v>1390</v>
      </c>
      <c r="P109" s="382" t="s">
        <v>1390</v>
      </c>
      <c r="R109" s="386">
        <v>7</v>
      </c>
      <c r="S109" s="383" t="e">
        <f t="shared" si="184"/>
        <v>#DIV/0!</v>
      </c>
      <c r="T109" s="383" t="e">
        <f t="shared" si="184"/>
        <v>#DIV/0!</v>
      </c>
      <c r="U109" s="383" t="e">
        <f t="shared" si="184"/>
        <v>#DIV/0!</v>
      </c>
      <c r="V109" s="383" t="e">
        <f t="shared" si="184"/>
        <v>#DIV/0!</v>
      </c>
      <c r="W109" s="383" t="e">
        <f t="shared" si="184"/>
        <v>#DIV/0!</v>
      </c>
      <c r="X109" s="383" t="e">
        <f t="shared" si="184"/>
        <v>#DIV/0!</v>
      </c>
      <c r="Y109" s="383" t="e">
        <f t="shared" si="184"/>
        <v>#DIV/0!</v>
      </c>
      <c r="Z109" s="383" t="e">
        <f t="shared" si="184"/>
        <v>#DIV/0!</v>
      </c>
      <c r="AA109" s="383" t="e">
        <f t="shared" si="184"/>
        <v>#DIV/0!</v>
      </c>
      <c r="AB109" s="383" t="e">
        <f t="shared" si="184"/>
        <v>#DIV/0!</v>
      </c>
      <c r="AC109" s="383" t="e">
        <f t="shared" si="184"/>
        <v>#DIV/0!</v>
      </c>
      <c r="AD109" s="383" t="e">
        <f t="shared" si="184"/>
        <v>#DIV/0!</v>
      </c>
      <c r="AE109" s="386" t="s">
        <v>1398</v>
      </c>
      <c r="AF109" s="383" t="e">
        <f t="shared" ref="AF109:AF111" si="198">IF(S109="","",IF(AF$18&gt;=4,"〇",""))</f>
        <v>#DIV/0!</v>
      </c>
      <c r="AG109" s="383" t="e">
        <f t="shared" si="194"/>
        <v>#DIV/0!</v>
      </c>
      <c r="AH109" s="383" t="e">
        <f t="shared" si="194"/>
        <v>#DIV/0!</v>
      </c>
      <c r="AI109" s="383" t="e">
        <f t="shared" si="194"/>
        <v>#DIV/0!</v>
      </c>
      <c r="AJ109" s="383" t="e">
        <f t="shared" si="194"/>
        <v>#DIV/0!</v>
      </c>
      <c r="AK109" s="383" t="e">
        <f t="shared" si="194"/>
        <v>#DIV/0!</v>
      </c>
      <c r="AL109" s="383" t="e">
        <f t="shared" si="194"/>
        <v>#DIV/0!</v>
      </c>
      <c r="AM109" s="383" t="e">
        <f t="shared" si="194"/>
        <v>#DIV/0!</v>
      </c>
      <c r="AN109" s="383" t="e">
        <f t="shared" si="194"/>
        <v>#DIV/0!</v>
      </c>
      <c r="AO109" s="383" t="e">
        <f t="shared" si="194"/>
        <v>#DIV/0!</v>
      </c>
      <c r="AP109" s="383" t="e">
        <f t="shared" si="194"/>
        <v>#DIV/0!</v>
      </c>
      <c r="AQ109" s="383" t="e">
        <f t="shared" si="194"/>
        <v>#DIV/0!</v>
      </c>
      <c r="AR109" s="385" t="s">
        <v>1390</v>
      </c>
      <c r="AS109" s="383" t="e">
        <f t="shared" si="195"/>
        <v>#DIV/0!</v>
      </c>
      <c r="AT109" s="383" t="e">
        <f t="shared" si="195"/>
        <v>#DIV/0!</v>
      </c>
      <c r="AU109" s="383" t="e">
        <f t="shared" si="195"/>
        <v>#DIV/0!</v>
      </c>
      <c r="AV109" s="383" t="e">
        <f t="shared" si="195"/>
        <v>#DIV/0!</v>
      </c>
      <c r="AW109" s="383" t="e">
        <f t="shared" si="195"/>
        <v>#DIV/0!</v>
      </c>
      <c r="AX109" s="383" t="e">
        <f t="shared" si="195"/>
        <v>#DIV/0!</v>
      </c>
      <c r="AY109" s="383" t="e">
        <f t="shared" si="195"/>
        <v>#DIV/0!</v>
      </c>
      <c r="AZ109" s="383" t="e">
        <f t="shared" si="195"/>
        <v>#DIV/0!</v>
      </c>
      <c r="BA109" s="383" t="e">
        <f t="shared" si="195"/>
        <v>#DIV/0!</v>
      </c>
      <c r="BB109" s="383" t="e">
        <f t="shared" si="195"/>
        <v>#DIV/0!</v>
      </c>
      <c r="BC109" s="383" t="e">
        <f t="shared" si="195"/>
        <v>#DIV/0!</v>
      </c>
      <c r="BD109" s="383" t="e">
        <f t="shared" si="195"/>
        <v>#DIV/0!</v>
      </c>
      <c r="BE109" s="386">
        <v>0</v>
      </c>
      <c r="BF109" s="383" t="e">
        <f t="shared" si="186"/>
        <v>#DIV/0!</v>
      </c>
      <c r="BG109" s="383" t="e">
        <f t="shared" si="186"/>
        <v>#DIV/0!</v>
      </c>
      <c r="BH109" s="383" t="e">
        <f t="shared" si="186"/>
        <v>#DIV/0!</v>
      </c>
      <c r="BI109" s="383" t="e">
        <f t="shared" si="186"/>
        <v>#DIV/0!</v>
      </c>
      <c r="BJ109" s="383" t="e">
        <f t="shared" si="186"/>
        <v>#DIV/0!</v>
      </c>
      <c r="BK109" s="383" t="e">
        <f t="shared" si="186"/>
        <v>#DIV/0!</v>
      </c>
      <c r="BL109" s="383" t="e">
        <f t="shared" si="186"/>
        <v>#DIV/0!</v>
      </c>
      <c r="BM109" s="383" t="e">
        <f t="shared" si="186"/>
        <v>#DIV/0!</v>
      </c>
      <c r="BN109" s="383" t="e">
        <f t="shared" si="186"/>
        <v>#DIV/0!</v>
      </c>
      <c r="BO109" s="383" t="e">
        <f t="shared" si="186"/>
        <v>#DIV/0!</v>
      </c>
      <c r="BP109" s="383" t="e">
        <f t="shared" si="186"/>
        <v>#DIV/0!</v>
      </c>
      <c r="BQ109" s="383" t="e">
        <f t="shared" si="186"/>
        <v>#DIV/0!</v>
      </c>
      <c r="BR109" s="386">
        <v>0</v>
      </c>
      <c r="BS109" s="383" t="e">
        <f>IF(BF109="","",IF(BS$18=$BR109,"〇",""))</f>
        <v>#DIV/0!</v>
      </c>
      <c r="BT109" s="383" t="e">
        <f t="shared" si="196"/>
        <v>#DIV/0!</v>
      </c>
      <c r="BU109" s="383" t="e">
        <f t="shared" si="196"/>
        <v>#DIV/0!</v>
      </c>
      <c r="BV109" s="383" t="e">
        <f t="shared" si="196"/>
        <v>#DIV/0!</v>
      </c>
      <c r="BW109" s="383" t="e">
        <f t="shared" si="196"/>
        <v>#DIV/0!</v>
      </c>
      <c r="BX109" s="383" t="e">
        <f t="shared" si="196"/>
        <v>#DIV/0!</v>
      </c>
      <c r="BY109" s="383" t="e">
        <f t="shared" si="196"/>
        <v>#DIV/0!</v>
      </c>
      <c r="BZ109" s="383" t="e">
        <f t="shared" si="196"/>
        <v>#DIV/0!</v>
      </c>
      <c r="CA109" s="383" t="e">
        <f t="shared" si="196"/>
        <v>#DIV/0!</v>
      </c>
      <c r="CB109" s="383" t="e">
        <f t="shared" si="196"/>
        <v>#DIV/0!</v>
      </c>
      <c r="CC109" s="383" t="e">
        <f t="shared" si="196"/>
        <v>#DIV/0!</v>
      </c>
      <c r="CD109" s="383" t="e">
        <f t="shared" si="196"/>
        <v>#DIV/0!</v>
      </c>
      <c r="CE109" s="386" t="s">
        <v>1396</v>
      </c>
      <c r="CF109" s="383" t="e">
        <f>IF(BS109="","",IF(CF$18&gt;=1,"〇",""))</f>
        <v>#DIV/0!</v>
      </c>
      <c r="CG109" s="383" t="e">
        <f t="shared" ref="CG109:CQ109" si="199">IF(BT109="","",IF(CG$18&gt;=1,"〇",""))</f>
        <v>#DIV/0!</v>
      </c>
      <c r="CH109" s="383" t="e">
        <f t="shared" si="199"/>
        <v>#DIV/0!</v>
      </c>
      <c r="CI109" s="383" t="e">
        <f t="shared" si="199"/>
        <v>#DIV/0!</v>
      </c>
      <c r="CJ109" s="383" t="e">
        <f t="shared" si="199"/>
        <v>#DIV/0!</v>
      </c>
      <c r="CK109" s="383" t="e">
        <f t="shared" si="199"/>
        <v>#DIV/0!</v>
      </c>
      <c r="CL109" s="383" t="e">
        <f t="shared" si="199"/>
        <v>#DIV/0!</v>
      </c>
      <c r="CM109" s="383" t="e">
        <f t="shared" si="199"/>
        <v>#DIV/0!</v>
      </c>
      <c r="CN109" s="383" t="e">
        <f t="shared" si="199"/>
        <v>#DIV/0!</v>
      </c>
      <c r="CO109" s="383" t="e">
        <f t="shared" si="199"/>
        <v>#DIV/0!</v>
      </c>
      <c r="CP109" s="383" t="e">
        <f t="shared" si="199"/>
        <v>#DIV/0!</v>
      </c>
      <c r="CQ109" s="383" t="e">
        <f t="shared" si="199"/>
        <v>#DIV/0!</v>
      </c>
    </row>
    <row r="110" spans="3:95">
      <c r="C110" s="391">
        <v>1</v>
      </c>
      <c r="D110" s="391" t="s">
        <v>1404</v>
      </c>
      <c r="E110" s="391">
        <v>1</v>
      </c>
      <c r="F110" s="391" t="s">
        <v>1404</v>
      </c>
      <c r="G110" s="391">
        <v>1</v>
      </c>
      <c r="H110" s="391" t="s">
        <v>1404</v>
      </c>
      <c r="I110" s="389">
        <v>1</v>
      </c>
      <c r="J110" s="389" t="s">
        <v>1404</v>
      </c>
      <c r="K110" s="382" t="s">
        <v>1390</v>
      </c>
      <c r="L110" s="382" t="s">
        <v>1390</v>
      </c>
      <c r="M110" s="391">
        <v>4</v>
      </c>
      <c r="N110" s="391" t="s">
        <v>1404</v>
      </c>
      <c r="O110" s="382" t="s">
        <v>1390</v>
      </c>
      <c r="P110" s="382" t="s">
        <v>1390</v>
      </c>
      <c r="R110" s="386">
        <v>7</v>
      </c>
      <c r="S110" s="383" t="e">
        <f t="shared" si="184"/>
        <v>#DIV/0!</v>
      </c>
      <c r="T110" s="383" t="e">
        <f t="shared" si="184"/>
        <v>#DIV/0!</v>
      </c>
      <c r="U110" s="383" t="e">
        <f t="shared" si="184"/>
        <v>#DIV/0!</v>
      </c>
      <c r="V110" s="383" t="e">
        <f t="shared" si="184"/>
        <v>#DIV/0!</v>
      </c>
      <c r="W110" s="383" t="e">
        <f t="shared" si="184"/>
        <v>#DIV/0!</v>
      </c>
      <c r="X110" s="383" t="e">
        <f t="shared" si="184"/>
        <v>#DIV/0!</v>
      </c>
      <c r="Y110" s="383" t="e">
        <f t="shared" si="184"/>
        <v>#DIV/0!</v>
      </c>
      <c r="Z110" s="383" t="e">
        <f t="shared" si="184"/>
        <v>#DIV/0!</v>
      </c>
      <c r="AA110" s="383" t="e">
        <f t="shared" si="184"/>
        <v>#DIV/0!</v>
      </c>
      <c r="AB110" s="383" t="e">
        <f t="shared" si="184"/>
        <v>#DIV/0!</v>
      </c>
      <c r="AC110" s="383" t="e">
        <f t="shared" si="184"/>
        <v>#DIV/0!</v>
      </c>
      <c r="AD110" s="383" t="e">
        <f t="shared" si="184"/>
        <v>#DIV/0!</v>
      </c>
      <c r="AE110" s="386" t="s">
        <v>1398</v>
      </c>
      <c r="AF110" s="383" t="e">
        <f t="shared" si="198"/>
        <v>#DIV/0!</v>
      </c>
      <c r="AG110" s="383" t="e">
        <f t="shared" si="194"/>
        <v>#DIV/0!</v>
      </c>
      <c r="AH110" s="383" t="e">
        <f t="shared" si="194"/>
        <v>#DIV/0!</v>
      </c>
      <c r="AI110" s="383" t="e">
        <f t="shared" si="194"/>
        <v>#DIV/0!</v>
      </c>
      <c r="AJ110" s="383" t="e">
        <f t="shared" si="194"/>
        <v>#DIV/0!</v>
      </c>
      <c r="AK110" s="383" t="e">
        <f t="shared" si="194"/>
        <v>#DIV/0!</v>
      </c>
      <c r="AL110" s="383" t="e">
        <f t="shared" si="194"/>
        <v>#DIV/0!</v>
      </c>
      <c r="AM110" s="383" t="e">
        <f t="shared" si="194"/>
        <v>#DIV/0!</v>
      </c>
      <c r="AN110" s="383" t="e">
        <f t="shared" si="194"/>
        <v>#DIV/0!</v>
      </c>
      <c r="AO110" s="383" t="e">
        <f t="shared" si="194"/>
        <v>#DIV/0!</v>
      </c>
      <c r="AP110" s="383" t="e">
        <f t="shared" si="194"/>
        <v>#DIV/0!</v>
      </c>
      <c r="AQ110" s="383" t="e">
        <f t="shared" si="194"/>
        <v>#DIV/0!</v>
      </c>
      <c r="AR110" s="385" t="s">
        <v>1390</v>
      </c>
      <c r="AS110" s="383" t="e">
        <f t="shared" si="195"/>
        <v>#DIV/0!</v>
      </c>
      <c r="AT110" s="383" t="e">
        <f t="shared" si="195"/>
        <v>#DIV/0!</v>
      </c>
      <c r="AU110" s="383" t="e">
        <f t="shared" si="195"/>
        <v>#DIV/0!</v>
      </c>
      <c r="AV110" s="383" t="e">
        <f t="shared" si="195"/>
        <v>#DIV/0!</v>
      </c>
      <c r="AW110" s="383" t="e">
        <f t="shared" si="195"/>
        <v>#DIV/0!</v>
      </c>
      <c r="AX110" s="383" t="e">
        <f t="shared" si="195"/>
        <v>#DIV/0!</v>
      </c>
      <c r="AY110" s="383" t="e">
        <f t="shared" si="195"/>
        <v>#DIV/0!</v>
      </c>
      <c r="AZ110" s="383" t="e">
        <f t="shared" si="195"/>
        <v>#DIV/0!</v>
      </c>
      <c r="BA110" s="383" t="e">
        <f t="shared" si="195"/>
        <v>#DIV/0!</v>
      </c>
      <c r="BB110" s="383" t="e">
        <f t="shared" si="195"/>
        <v>#DIV/0!</v>
      </c>
      <c r="BC110" s="383" t="e">
        <f t="shared" si="195"/>
        <v>#DIV/0!</v>
      </c>
      <c r="BD110" s="383" t="e">
        <f t="shared" si="195"/>
        <v>#DIV/0!</v>
      </c>
      <c r="BE110" s="386">
        <v>0</v>
      </c>
      <c r="BF110" s="383" t="e">
        <f t="shared" si="186"/>
        <v>#DIV/0!</v>
      </c>
      <c r="BG110" s="383" t="e">
        <f t="shared" si="186"/>
        <v>#DIV/0!</v>
      </c>
      <c r="BH110" s="383" t="e">
        <f t="shared" si="186"/>
        <v>#DIV/0!</v>
      </c>
      <c r="BI110" s="383" t="e">
        <f t="shared" si="186"/>
        <v>#DIV/0!</v>
      </c>
      <c r="BJ110" s="383" t="e">
        <f t="shared" si="186"/>
        <v>#DIV/0!</v>
      </c>
      <c r="BK110" s="383" t="e">
        <f t="shared" si="186"/>
        <v>#DIV/0!</v>
      </c>
      <c r="BL110" s="383" t="e">
        <f t="shared" si="186"/>
        <v>#DIV/0!</v>
      </c>
      <c r="BM110" s="383" t="e">
        <f t="shared" si="186"/>
        <v>#DIV/0!</v>
      </c>
      <c r="BN110" s="383" t="e">
        <f t="shared" si="186"/>
        <v>#DIV/0!</v>
      </c>
      <c r="BO110" s="383" t="e">
        <f t="shared" si="186"/>
        <v>#DIV/0!</v>
      </c>
      <c r="BP110" s="383" t="e">
        <f t="shared" si="186"/>
        <v>#DIV/0!</v>
      </c>
      <c r="BQ110" s="383" t="e">
        <f t="shared" si="186"/>
        <v>#DIV/0!</v>
      </c>
      <c r="BR110" s="386" t="s">
        <v>1396</v>
      </c>
      <c r="BS110" s="383" t="e">
        <f>IF(BF110="","",IF(BS$18&gt;=1,"〇",""))</f>
        <v>#DIV/0!</v>
      </c>
      <c r="BT110" s="383" t="e">
        <f t="shared" ref="BT110:CD110" si="200">IF(BG110="","",IF(BT$18&gt;=1,"〇",""))</f>
        <v>#DIV/0!</v>
      </c>
      <c r="BU110" s="383" t="e">
        <f t="shared" si="200"/>
        <v>#DIV/0!</v>
      </c>
      <c r="BV110" s="383" t="e">
        <f t="shared" si="200"/>
        <v>#DIV/0!</v>
      </c>
      <c r="BW110" s="383" t="e">
        <f t="shared" si="200"/>
        <v>#DIV/0!</v>
      </c>
      <c r="BX110" s="383" t="e">
        <f t="shared" si="200"/>
        <v>#DIV/0!</v>
      </c>
      <c r="BY110" s="383" t="e">
        <f t="shared" si="200"/>
        <v>#DIV/0!</v>
      </c>
      <c r="BZ110" s="383" t="e">
        <f t="shared" si="200"/>
        <v>#DIV/0!</v>
      </c>
      <c r="CA110" s="383" t="e">
        <f t="shared" si="200"/>
        <v>#DIV/0!</v>
      </c>
      <c r="CB110" s="383" t="e">
        <f t="shared" si="200"/>
        <v>#DIV/0!</v>
      </c>
      <c r="CC110" s="383" t="e">
        <f t="shared" si="200"/>
        <v>#DIV/0!</v>
      </c>
      <c r="CD110" s="383" t="e">
        <f t="shared" si="200"/>
        <v>#DIV/0!</v>
      </c>
      <c r="CE110" s="386" t="s">
        <v>1390</v>
      </c>
      <c r="CF110" s="383" t="e">
        <f t="shared" ref="CF110:CQ119" si="201">IF(BS110="","","〇")</f>
        <v>#DIV/0!</v>
      </c>
      <c r="CG110" s="383" t="e">
        <f t="shared" si="201"/>
        <v>#DIV/0!</v>
      </c>
      <c r="CH110" s="383" t="e">
        <f t="shared" si="201"/>
        <v>#DIV/0!</v>
      </c>
      <c r="CI110" s="383" t="e">
        <f t="shared" si="201"/>
        <v>#DIV/0!</v>
      </c>
      <c r="CJ110" s="383" t="e">
        <f t="shared" si="201"/>
        <v>#DIV/0!</v>
      </c>
      <c r="CK110" s="383" t="e">
        <f t="shared" si="201"/>
        <v>#DIV/0!</v>
      </c>
      <c r="CL110" s="383" t="e">
        <f t="shared" si="201"/>
        <v>#DIV/0!</v>
      </c>
      <c r="CM110" s="383" t="e">
        <f t="shared" si="201"/>
        <v>#DIV/0!</v>
      </c>
      <c r="CN110" s="383" t="e">
        <f t="shared" si="201"/>
        <v>#DIV/0!</v>
      </c>
      <c r="CO110" s="383" t="e">
        <f t="shared" si="201"/>
        <v>#DIV/0!</v>
      </c>
      <c r="CP110" s="383" t="e">
        <f t="shared" si="201"/>
        <v>#DIV/0!</v>
      </c>
      <c r="CQ110" s="383" t="e">
        <f t="shared" si="201"/>
        <v>#DIV/0!</v>
      </c>
    </row>
    <row r="111" spans="3:95">
      <c r="C111" s="391">
        <v>1</v>
      </c>
      <c r="D111" s="391" t="s">
        <v>1404</v>
      </c>
      <c r="E111" s="391">
        <v>1</v>
      </c>
      <c r="F111" s="391" t="s">
        <v>1404</v>
      </c>
      <c r="G111" s="391">
        <v>1</v>
      </c>
      <c r="H111" s="391" t="s">
        <v>1404</v>
      </c>
      <c r="I111" s="390">
        <v>1</v>
      </c>
      <c r="J111" s="390" t="s">
        <v>1405</v>
      </c>
      <c r="K111" s="382" t="s">
        <v>1390</v>
      </c>
      <c r="L111" s="382" t="s">
        <v>1390</v>
      </c>
      <c r="M111" s="391">
        <v>4</v>
      </c>
      <c r="N111" s="391" t="s">
        <v>1404</v>
      </c>
      <c r="O111" s="382" t="s">
        <v>1390</v>
      </c>
      <c r="P111" s="382" t="s">
        <v>1390</v>
      </c>
      <c r="R111" s="386">
        <v>7</v>
      </c>
      <c r="S111" s="383" t="e">
        <f t="shared" si="184"/>
        <v>#DIV/0!</v>
      </c>
      <c r="T111" s="383" t="e">
        <f t="shared" si="184"/>
        <v>#DIV/0!</v>
      </c>
      <c r="U111" s="383" t="e">
        <f t="shared" si="184"/>
        <v>#DIV/0!</v>
      </c>
      <c r="V111" s="383" t="e">
        <f t="shared" si="184"/>
        <v>#DIV/0!</v>
      </c>
      <c r="W111" s="383" t="e">
        <f t="shared" si="184"/>
        <v>#DIV/0!</v>
      </c>
      <c r="X111" s="383" t="e">
        <f t="shared" si="184"/>
        <v>#DIV/0!</v>
      </c>
      <c r="Y111" s="383" t="e">
        <f t="shared" si="184"/>
        <v>#DIV/0!</v>
      </c>
      <c r="Z111" s="383" t="e">
        <f t="shared" si="184"/>
        <v>#DIV/0!</v>
      </c>
      <c r="AA111" s="383" t="e">
        <f t="shared" si="184"/>
        <v>#DIV/0!</v>
      </c>
      <c r="AB111" s="383" t="e">
        <f t="shared" si="184"/>
        <v>#DIV/0!</v>
      </c>
      <c r="AC111" s="383" t="e">
        <f t="shared" si="184"/>
        <v>#DIV/0!</v>
      </c>
      <c r="AD111" s="383" t="e">
        <f t="shared" si="184"/>
        <v>#DIV/0!</v>
      </c>
      <c r="AE111" s="386" t="s">
        <v>1398</v>
      </c>
      <c r="AF111" s="383" t="e">
        <f t="shared" si="198"/>
        <v>#DIV/0!</v>
      </c>
      <c r="AG111" s="383" t="e">
        <f t="shared" si="194"/>
        <v>#DIV/0!</v>
      </c>
      <c r="AH111" s="383" t="e">
        <f t="shared" si="194"/>
        <v>#DIV/0!</v>
      </c>
      <c r="AI111" s="383" t="e">
        <f t="shared" si="194"/>
        <v>#DIV/0!</v>
      </c>
      <c r="AJ111" s="383" t="e">
        <f t="shared" si="194"/>
        <v>#DIV/0!</v>
      </c>
      <c r="AK111" s="383" t="e">
        <f t="shared" si="194"/>
        <v>#DIV/0!</v>
      </c>
      <c r="AL111" s="383" t="e">
        <f t="shared" si="194"/>
        <v>#DIV/0!</v>
      </c>
      <c r="AM111" s="383" t="e">
        <f t="shared" si="194"/>
        <v>#DIV/0!</v>
      </c>
      <c r="AN111" s="383" t="e">
        <f t="shared" si="194"/>
        <v>#DIV/0!</v>
      </c>
      <c r="AO111" s="383" t="e">
        <f t="shared" si="194"/>
        <v>#DIV/0!</v>
      </c>
      <c r="AP111" s="383" t="e">
        <f t="shared" si="194"/>
        <v>#DIV/0!</v>
      </c>
      <c r="AQ111" s="383" t="e">
        <f t="shared" si="194"/>
        <v>#DIV/0!</v>
      </c>
      <c r="AR111" s="385" t="s">
        <v>1390</v>
      </c>
      <c r="AS111" s="383" t="e">
        <f t="shared" si="195"/>
        <v>#DIV/0!</v>
      </c>
      <c r="AT111" s="383" t="e">
        <f t="shared" si="195"/>
        <v>#DIV/0!</v>
      </c>
      <c r="AU111" s="383" t="e">
        <f t="shared" si="195"/>
        <v>#DIV/0!</v>
      </c>
      <c r="AV111" s="383" t="e">
        <f t="shared" si="195"/>
        <v>#DIV/0!</v>
      </c>
      <c r="AW111" s="383" t="e">
        <f t="shared" si="195"/>
        <v>#DIV/0!</v>
      </c>
      <c r="AX111" s="383" t="e">
        <f t="shared" si="195"/>
        <v>#DIV/0!</v>
      </c>
      <c r="AY111" s="383" t="e">
        <f t="shared" si="195"/>
        <v>#DIV/0!</v>
      </c>
      <c r="AZ111" s="383" t="e">
        <f t="shared" si="195"/>
        <v>#DIV/0!</v>
      </c>
      <c r="BA111" s="383" t="e">
        <f t="shared" si="195"/>
        <v>#DIV/0!</v>
      </c>
      <c r="BB111" s="383" t="e">
        <f t="shared" si="195"/>
        <v>#DIV/0!</v>
      </c>
      <c r="BC111" s="383" t="e">
        <f t="shared" si="195"/>
        <v>#DIV/0!</v>
      </c>
      <c r="BD111" s="383" t="e">
        <f t="shared" si="195"/>
        <v>#DIV/0!</v>
      </c>
      <c r="BE111" s="386" t="s">
        <v>1396</v>
      </c>
      <c r="BF111" s="383" t="e">
        <f>IF(AS111="","",IF(BF$18&gt;=1,"〇",""))</f>
        <v>#DIV/0!</v>
      </c>
      <c r="BG111" s="383" t="e">
        <f t="shared" ref="BG111:BQ111" si="202">IF(AT111="","",IF(BG$18&gt;=1,"〇",""))</f>
        <v>#DIV/0!</v>
      </c>
      <c r="BH111" s="383" t="e">
        <f t="shared" si="202"/>
        <v>#DIV/0!</v>
      </c>
      <c r="BI111" s="383" t="e">
        <f t="shared" si="202"/>
        <v>#DIV/0!</v>
      </c>
      <c r="BJ111" s="383" t="e">
        <f t="shared" si="202"/>
        <v>#DIV/0!</v>
      </c>
      <c r="BK111" s="383" t="e">
        <f t="shared" si="202"/>
        <v>#DIV/0!</v>
      </c>
      <c r="BL111" s="383" t="e">
        <f t="shared" si="202"/>
        <v>#DIV/0!</v>
      </c>
      <c r="BM111" s="383" t="e">
        <f t="shared" si="202"/>
        <v>#DIV/0!</v>
      </c>
      <c r="BN111" s="383" t="e">
        <f t="shared" si="202"/>
        <v>#DIV/0!</v>
      </c>
      <c r="BO111" s="383" t="e">
        <f t="shared" si="202"/>
        <v>#DIV/0!</v>
      </c>
      <c r="BP111" s="383" t="e">
        <f t="shared" si="202"/>
        <v>#DIV/0!</v>
      </c>
      <c r="BQ111" s="383" t="e">
        <f t="shared" si="202"/>
        <v>#DIV/0!</v>
      </c>
      <c r="BR111" s="386" t="s">
        <v>1390</v>
      </c>
      <c r="BS111" s="383" t="e">
        <f>IF(BF111="","","〇")</f>
        <v>#DIV/0!</v>
      </c>
      <c r="BT111" s="383" t="e">
        <f t="shared" ref="BT111:CD119" si="203">IF(BG111="","","〇")</f>
        <v>#DIV/0!</v>
      </c>
      <c r="BU111" s="383" t="e">
        <f t="shared" si="203"/>
        <v>#DIV/0!</v>
      </c>
      <c r="BV111" s="383" t="e">
        <f t="shared" si="203"/>
        <v>#DIV/0!</v>
      </c>
      <c r="BW111" s="383" t="e">
        <f t="shared" si="203"/>
        <v>#DIV/0!</v>
      </c>
      <c r="BX111" s="383" t="e">
        <f t="shared" si="203"/>
        <v>#DIV/0!</v>
      </c>
      <c r="BY111" s="383" t="e">
        <f t="shared" si="203"/>
        <v>#DIV/0!</v>
      </c>
      <c r="BZ111" s="383" t="e">
        <f t="shared" si="203"/>
        <v>#DIV/0!</v>
      </c>
      <c r="CA111" s="383" t="e">
        <f t="shared" si="203"/>
        <v>#DIV/0!</v>
      </c>
      <c r="CB111" s="383" t="e">
        <f t="shared" si="203"/>
        <v>#DIV/0!</v>
      </c>
      <c r="CC111" s="383" t="e">
        <f t="shared" si="203"/>
        <v>#DIV/0!</v>
      </c>
      <c r="CD111" s="383" t="e">
        <f t="shared" si="203"/>
        <v>#DIV/0!</v>
      </c>
      <c r="CE111" s="386" t="s">
        <v>1390</v>
      </c>
      <c r="CF111" s="383" t="e">
        <f t="shared" si="201"/>
        <v>#DIV/0!</v>
      </c>
      <c r="CG111" s="383" t="e">
        <f t="shared" si="201"/>
        <v>#DIV/0!</v>
      </c>
      <c r="CH111" s="383" t="e">
        <f t="shared" si="201"/>
        <v>#DIV/0!</v>
      </c>
      <c r="CI111" s="383" t="e">
        <f t="shared" si="201"/>
        <v>#DIV/0!</v>
      </c>
      <c r="CJ111" s="383" t="e">
        <f t="shared" si="201"/>
        <v>#DIV/0!</v>
      </c>
      <c r="CK111" s="383" t="e">
        <f t="shared" si="201"/>
        <v>#DIV/0!</v>
      </c>
      <c r="CL111" s="383" t="e">
        <f t="shared" si="201"/>
        <v>#DIV/0!</v>
      </c>
      <c r="CM111" s="383" t="e">
        <f t="shared" si="201"/>
        <v>#DIV/0!</v>
      </c>
      <c r="CN111" s="383" t="e">
        <f t="shared" si="201"/>
        <v>#DIV/0!</v>
      </c>
      <c r="CO111" s="383" t="e">
        <f t="shared" si="201"/>
        <v>#DIV/0!</v>
      </c>
      <c r="CP111" s="383" t="e">
        <f t="shared" si="201"/>
        <v>#DIV/0!</v>
      </c>
      <c r="CQ111" s="383" t="e">
        <f t="shared" si="201"/>
        <v>#DIV/0!</v>
      </c>
    </row>
    <row r="112" spans="3:95">
      <c r="C112" s="391">
        <v>1</v>
      </c>
      <c r="D112" s="391" t="s">
        <v>1404</v>
      </c>
      <c r="E112" s="391">
        <v>1</v>
      </c>
      <c r="F112" s="391" t="s">
        <v>1404</v>
      </c>
      <c r="G112" s="391">
        <v>1</v>
      </c>
      <c r="H112" s="391" t="s">
        <v>1404</v>
      </c>
      <c r="I112" s="391">
        <v>1</v>
      </c>
      <c r="J112" s="391" t="s">
        <v>1404</v>
      </c>
      <c r="K112" s="382" t="s">
        <v>1390</v>
      </c>
      <c r="L112" s="382" t="s">
        <v>1390</v>
      </c>
      <c r="M112" s="382" t="s">
        <v>1390</v>
      </c>
      <c r="N112" s="382" t="s">
        <v>1390</v>
      </c>
      <c r="O112" s="382" t="s">
        <v>1390</v>
      </c>
      <c r="P112" s="382" t="s">
        <v>1390</v>
      </c>
      <c r="R112" s="386" t="s">
        <v>1399</v>
      </c>
      <c r="S112" s="383" t="e">
        <f>IF(S$18&gt;=8,"〇","")</f>
        <v>#DIV/0!</v>
      </c>
      <c r="T112" s="383" t="e">
        <f t="shared" ref="T112:AD112" si="204">IF(T$18&gt;=8,"〇","")</f>
        <v>#DIV/0!</v>
      </c>
      <c r="U112" s="383" t="e">
        <f t="shared" si="204"/>
        <v>#DIV/0!</v>
      </c>
      <c r="V112" s="383" t="e">
        <f t="shared" si="204"/>
        <v>#DIV/0!</v>
      </c>
      <c r="W112" s="383" t="e">
        <f t="shared" si="204"/>
        <v>#DIV/0!</v>
      </c>
      <c r="X112" s="383" t="e">
        <f t="shared" si="204"/>
        <v>#DIV/0!</v>
      </c>
      <c r="Y112" s="383" t="e">
        <f t="shared" si="204"/>
        <v>#DIV/0!</v>
      </c>
      <c r="Z112" s="383" t="e">
        <f t="shared" si="204"/>
        <v>#DIV/0!</v>
      </c>
      <c r="AA112" s="383" t="e">
        <f t="shared" si="204"/>
        <v>#DIV/0!</v>
      </c>
      <c r="AB112" s="383" t="e">
        <f t="shared" si="204"/>
        <v>#DIV/0!</v>
      </c>
      <c r="AC112" s="383" t="e">
        <f t="shared" si="204"/>
        <v>#DIV/0!</v>
      </c>
      <c r="AD112" s="383" t="e">
        <f t="shared" si="204"/>
        <v>#DIV/0!</v>
      </c>
      <c r="AE112" s="386">
        <v>0</v>
      </c>
      <c r="AF112" s="383" t="e">
        <f t="shared" si="161"/>
        <v>#DIV/0!</v>
      </c>
      <c r="AG112" s="383" t="e">
        <f t="shared" si="161"/>
        <v>#DIV/0!</v>
      </c>
      <c r="AH112" s="383" t="e">
        <f t="shared" si="161"/>
        <v>#DIV/0!</v>
      </c>
      <c r="AI112" s="383" t="e">
        <f t="shared" si="161"/>
        <v>#DIV/0!</v>
      </c>
      <c r="AJ112" s="383" t="e">
        <f t="shared" si="161"/>
        <v>#DIV/0!</v>
      </c>
      <c r="AK112" s="383" t="e">
        <f t="shared" si="161"/>
        <v>#DIV/0!</v>
      </c>
      <c r="AL112" s="383" t="e">
        <f t="shared" si="161"/>
        <v>#DIV/0!</v>
      </c>
      <c r="AM112" s="383" t="e">
        <f t="shared" si="161"/>
        <v>#DIV/0!</v>
      </c>
      <c r="AN112" s="383" t="e">
        <f t="shared" si="161"/>
        <v>#DIV/0!</v>
      </c>
      <c r="AO112" s="383" t="e">
        <f t="shared" si="161"/>
        <v>#DIV/0!</v>
      </c>
      <c r="AP112" s="383" t="e">
        <f t="shared" si="161"/>
        <v>#DIV/0!</v>
      </c>
      <c r="AQ112" s="383" t="e">
        <f t="shared" si="161"/>
        <v>#DIV/0!</v>
      </c>
      <c r="AR112" s="386">
        <v>0</v>
      </c>
      <c r="AS112" s="383" t="e">
        <f t="shared" si="182"/>
        <v>#DIV/0!</v>
      </c>
      <c r="AT112" s="383" t="e">
        <f t="shared" si="182"/>
        <v>#DIV/0!</v>
      </c>
      <c r="AU112" s="383" t="e">
        <f t="shared" si="182"/>
        <v>#DIV/0!</v>
      </c>
      <c r="AV112" s="383" t="e">
        <f t="shared" si="182"/>
        <v>#DIV/0!</v>
      </c>
      <c r="AW112" s="383" t="e">
        <f t="shared" si="182"/>
        <v>#DIV/0!</v>
      </c>
      <c r="AX112" s="383" t="e">
        <f t="shared" si="182"/>
        <v>#DIV/0!</v>
      </c>
      <c r="AY112" s="383" t="e">
        <f t="shared" si="182"/>
        <v>#DIV/0!</v>
      </c>
      <c r="AZ112" s="383" t="e">
        <f t="shared" si="182"/>
        <v>#DIV/0!</v>
      </c>
      <c r="BA112" s="383" t="e">
        <f t="shared" si="182"/>
        <v>#DIV/0!</v>
      </c>
      <c r="BB112" s="383" t="e">
        <f t="shared" si="182"/>
        <v>#DIV/0!</v>
      </c>
      <c r="BC112" s="383" t="e">
        <f t="shared" si="182"/>
        <v>#DIV/0!</v>
      </c>
      <c r="BD112" s="383" t="e">
        <f t="shared" si="182"/>
        <v>#DIV/0!</v>
      </c>
      <c r="BE112" s="386" t="s">
        <v>1390</v>
      </c>
      <c r="BF112" s="383" t="e">
        <f t="shared" ref="BF112:BQ119" si="205">IF(AS112="","","〇")</f>
        <v>#DIV/0!</v>
      </c>
      <c r="BG112" s="383" t="e">
        <f t="shared" si="205"/>
        <v>#DIV/0!</v>
      </c>
      <c r="BH112" s="383" t="e">
        <f t="shared" si="205"/>
        <v>#DIV/0!</v>
      </c>
      <c r="BI112" s="383" t="e">
        <f t="shared" si="205"/>
        <v>#DIV/0!</v>
      </c>
      <c r="BJ112" s="383" t="e">
        <f t="shared" si="205"/>
        <v>#DIV/0!</v>
      </c>
      <c r="BK112" s="383" t="e">
        <f t="shared" si="205"/>
        <v>#DIV/0!</v>
      </c>
      <c r="BL112" s="383" t="e">
        <f t="shared" si="205"/>
        <v>#DIV/0!</v>
      </c>
      <c r="BM112" s="383" t="e">
        <f t="shared" si="205"/>
        <v>#DIV/0!</v>
      </c>
      <c r="BN112" s="383" t="e">
        <f t="shared" si="205"/>
        <v>#DIV/0!</v>
      </c>
      <c r="BO112" s="383" t="e">
        <f t="shared" si="205"/>
        <v>#DIV/0!</v>
      </c>
      <c r="BP112" s="383" t="e">
        <f t="shared" si="205"/>
        <v>#DIV/0!</v>
      </c>
      <c r="BQ112" s="383" t="e">
        <f t="shared" si="205"/>
        <v>#DIV/0!</v>
      </c>
      <c r="BR112" s="386" t="s">
        <v>1390</v>
      </c>
      <c r="BS112" s="383" t="e">
        <f t="shared" ref="BS112:BS118" si="206">IF(BF112="","","〇")</f>
        <v>#DIV/0!</v>
      </c>
      <c r="BT112" s="383" t="e">
        <f t="shared" si="203"/>
        <v>#DIV/0!</v>
      </c>
      <c r="BU112" s="383" t="e">
        <f t="shared" si="203"/>
        <v>#DIV/0!</v>
      </c>
      <c r="BV112" s="383" t="e">
        <f t="shared" si="203"/>
        <v>#DIV/0!</v>
      </c>
      <c r="BW112" s="383" t="e">
        <f t="shared" si="203"/>
        <v>#DIV/0!</v>
      </c>
      <c r="BX112" s="383" t="e">
        <f t="shared" si="203"/>
        <v>#DIV/0!</v>
      </c>
      <c r="BY112" s="383" t="e">
        <f t="shared" si="203"/>
        <v>#DIV/0!</v>
      </c>
      <c r="BZ112" s="383" t="e">
        <f t="shared" si="203"/>
        <v>#DIV/0!</v>
      </c>
      <c r="CA112" s="383" t="e">
        <f t="shared" si="203"/>
        <v>#DIV/0!</v>
      </c>
      <c r="CB112" s="383" t="e">
        <f t="shared" si="203"/>
        <v>#DIV/0!</v>
      </c>
      <c r="CC112" s="383" t="e">
        <f t="shared" si="203"/>
        <v>#DIV/0!</v>
      </c>
      <c r="CD112" s="383" t="e">
        <f t="shared" si="203"/>
        <v>#DIV/0!</v>
      </c>
      <c r="CE112" s="386" t="s">
        <v>1390</v>
      </c>
      <c r="CF112" s="383" t="e">
        <f t="shared" si="201"/>
        <v>#DIV/0!</v>
      </c>
      <c r="CG112" s="383" t="e">
        <f t="shared" si="201"/>
        <v>#DIV/0!</v>
      </c>
      <c r="CH112" s="383" t="e">
        <f t="shared" si="201"/>
        <v>#DIV/0!</v>
      </c>
      <c r="CI112" s="383" t="e">
        <f t="shared" si="201"/>
        <v>#DIV/0!</v>
      </c>
      <c r="CJ112" s="383" t="e">
        <f t="shared" si="201"/>
        <v>#DIV/0!</v>
      </c>
      <c r="CK112" s="383" t="e">
        <f t="shared" si="201"/>
        <v>#DIV/0!</v>
      </c>
      <c r="CL112" s="383" t="e">
        <f t="shared" si="201"/>
        <v>#DIV/0!</v>
      </c>
      <c r="CM112" s="383" t="e">
        <f t="shared" si="201"/>
        <v>#DIV/0!</v>
      </c>
      <c r="CN112" s="383" t="e">
        <f t="shared" si="201"/>
        <v>#DIV/0!</v>
      </c>
      <c r="CO112" s="383" t="e">
        <f t="shared" si="201"/>
        <v>#DIV/0!</v>
      </c>
      <c r="CP112" s="383" t="e">
        <f t="shared" si="201"/>
        <v>#DIV/0!</v>
      </c>
      <c r="CQ112" s="383" t="e">
        <f t="shared" si="201"/>
        <v>#DIV/0!</v>
      </c>
    </row>
    <row r="113" spans="3:95">
      <c r="C113" s="391">
        <v>1</v>
      </c>
      <c r="D113" s="391" t="s">
        <v>1404</v>
      </c>
      <c r="E113" s="391">
        <v>1</v>
      </c>
      <c r="F113" s="391" t="s">
        <v>1404</v>
      </c>
      <c r="G113" s="391">
        <v>1</v>
      </c>
      <c r="H113" s="391" t="s">
        <v>1404</v>
      </c>
      <c r="I113" s="391">
        <v>1</v>
      </c>
      <c r="J113" s="391" t="s">
        <v>1404</v>
      </c>
      <c r="K113" s="382" t="s">
        <v>1390</v>
      </c>
      <c r="L113" s="382" t="s">
        <v>1390</v>
      </c>
      <c r="M113" s="382" t="s">
        <v>1390</v>
      </c>
      <c r="N113" s="382" t="s">
        <v>1390</v>
      </c>
      <c r="O113" s="391">
        <v>1</v>
      </c>
      <c r="P113" s="391" t="s">
        <v>1404</v>
      </c>
      <c r="R113" s="386" t="s">
        <v>1399</v>
      </c>
      <c r="S113" s="383" t="e">
        <f t="shared" ref="S113:AD132" si="207">IF(S$18&gt;=8,"〇","")</f>
        <v>#DIV/0!</v>
      </c>
      <c r="T113" s="383" t="e">
        <f t="shared" si="207"/>
        <v>#DIV/0!</v>
      </c>
      <c r="U113" s="383" t="e">
        <f t="shared" si="207"/>
        <v>#DIV/0!</v>
      </c>
      <c r="V113" s="383" t="e">
        <f t="shared" si="207"/>
        <v>#DIV/0!</v>
      </c>
      <c r="W113" s="383" t="e">
        <f t="shared" si="207"/>
        <v>#DIV/0!</v>
      </c>
      <c r="X113" s="383" t="e">
        <f t="shared" si="207"/>
        <v>#DIV/0!</v>
      </c>
      <c r="Y113" s="383" t="e">
        <f t="shared" si="207"/>
        <v>#DIV/0!</v>
      </c>
      <c r="Z113" s="383" t="e">
        <f t="shared" si="207"/>
        <v>#DIV/0!</v>
      </c>
      <c r="AA113" s="383" t="e">
        <f t="shared" si="207"/>
        <v>#DIV/0!</v>
      </c>
      <c r="AB113" s="383" t="e">
        <f t="shared" si="207"/>
        <v>#DIV/0!</v>
      </c>
      <c r="AC113" s="383" t="e">
        <f t="shared" si="207"/>
        <v>#DIV/0!</v>
      </c>
      <c r="AD113" s="383" t="e">
        <f t="shared" si="207"/>
        <v>#DIV/0!</v>
      </c>
      <c r="AE113" s="386">
        <v>0</v>
      </c>
      <c r="AF113" s="383" t="e">
        <f t="shared" si="161"/>
        <v>#DIV/0!</v>
      </c>
      <c r="AG113" s="383" t="e">
        <f t="shared" si="161"/>
        <v>#DIV/0!</v>
      </c>
      <c r="AH113" s="383" t="e">
        <f t="shared" si="161"/>
        <v>#DIV/0!</v>
      </c>
      <c r="AI113" s="383" t="e">
        <f t="shared" si="161"/>
        <v>#DIV/0!</v>
      </c>
      <c r="AJ113" s="383" t="e">
        <f t="shared" si="161"/>
        <v>#DIV/0!</v>
      </c>
      <c r="AK113" s="383" t="e">
        <f t="shared" si="161"/>
        <v>#DIV/0!</v>
      </c>
      <c r="AL113" s="383" t="e">
        <f t="shared" si="161"/>
        <v>#DIV/0!</v>
      </c>
      <c r="AM113" s="383" t="e">
        <f t="shared" si="161"/>
        <v>#DIV/0!</v>
      </c>
      <c r="AN113" s="383" t="e">
        <f t="shared" si="161"/>
        <v>#DIV/0!</v>
      </c>
      <c r="AO113" s="383" t="e">
        <f t="shared" si="161"/>
        <v>#DIV/0!</v>
      </c>
      <c r="AP113" s="383" t="e">
        <f t="shared" si="161"/>
        <v>#DIV/0!</v>
      </c>
      <c r="AQ113" s="383" t="e">
        <f t="shared" si="161"/>
        <v>#DIV/0!</v>
      </c>
      <c r="AR113" s="386">
        <v>1</v>
      </c>
      <c r="AS113" s="383" t="e">
        <f t="shared" si="182"/>
        <v>#DIV/0!</v>
      </c>
      <c r="AT113" s="383" t="e">
        <f t="shared" si="182"/>
        <v>#DIV/0!</v>
      </c>
      <c r="AU113" s="383" t="e">
        <f t="shared" si="182"/>
        <v>#DIV/0!</v>
      </c>
      <c r="AV113" s="383" t="e">
        <f t="shared" si="182"/>
        <v>#DIV/0!</v>
      </c>
      <c r="AW113" s="383" t="e">
        <f t="shared" si="182"/>
        <v>#DIV/0!</v>
      </c>
      <c r="AX113" s="383" t="e">
        <f t="shared" si="182"/>
        <v>#DIV/0!</v>
      </c>
      <c r="AY113" s="383" t="e">
        <f t="shared" si="182"/>
        <v>#DIV/0!</v>
      </c>
      <c r="AZ113" s="383" t="e">
        <f t="shared" si="182"/>
        <v>#DIV/0!</v>
      </c>
      <c r="BA113" s="383" t="e">
        <f t="shared" si="182"/>
        <v>#DIV/0!</v>
      </c>
      <c r="BB113" s="383" t="e">
        <f t="shared" si="182"/>
        <v>#DIV/0!</v>
      </c>
      <c r="BC113" s="383" t="e">
        <f t="shared" si="182"/>
        <v>#DIV/0!</v>
      </c>
      <c r="BD113" s="383" t="e">
        <f t="shared" si="182"/>
        <v>#DIV/0!</v>
      </c>
      <c r="BE113" s="386" t="s">
        <v>1390</v>
      </c>
      <c r="BF113" s="383" t="e">
        <f t="shared" si="205"/>
        <v>#DIV/0!</v>
      </c>
      <c r="BG113" s="383" t="e">
        <f t="shared" si="205"/>
        <v>#DIV/0!</v>
      </c>
      <c r="BH113" s="383" t="e">
        <f t="shared" si="205"/>
        <v>#DIV/0!</v>
      </c>
      <c r="BI113" s="383" t="e">
        <f t="shared" si="205"/>
        <v>#DIV/0!</v>
      </c>
      <c r="BJ113" s="383" t="e">
        <f t="shared" si="205"/>
        <v>#DIV/0!</v>
      </c>
      <c r="BK113" s="383" t="e">
        <f t="shared" si="205"/>
        <v>#DIV/0!</v>
      </c>
      <c r="BL113" s="383" t="e">
        <f t="shared" si="205"/>
        <v>#DIV/0!</v>
      </c>
      <c r="BM113" s="383" t="e">
        <f t="shared" si="205"/>
        <v>#DIV/0!</v>
      </c>
      <c r="BN113" s="383" t="e">
        <f t="shared" si="205"/>
        <v>#DIV/0!</v>
      </c>
      <c r="BO113" s="383" t="e">
        <f t="shared" si="205"/>
        <v>#DIV/0!</v>
      </c>
      <c r="BP113" s="383" t="e">
        <f t="shared" si="205"/>
        <v>#DIV/0!</v>
      </c>
      <c r="BQ113" s="383" t="e">
        <f t="shared" si="205"/>
        <v>#DIV/0!</v>
      </c>
      <c r="BR113" s="386" t="s">
        <v>1390</v>
      </c>
      <c r="BS113" s="383" t="e">
        <f t="shared" si="206"/>
        <v>#DIV/0!</v>
      </c>
      <c r="BT113" s="383" t="e">
        <f t="shared" si="203"/>
        <v>#DIV/0!</v>
      </c>
      <c r="BU113" s="383" t="e">
        <f t="shared" si="203"/>
        <v>#DIV/0!</v>
      </c>
      <c r="BV113" s="383" t="e">
        <f t="shared" si="203"/>
        <v>#DIV/0!</v>
      </c>
      <c r="BW113" s="383" t="e">
        <f t="shared" si="203"/>
        <v>#DIV/0!</v>
      </c>
      <c r="BX113" s="383" t="e">
        <f t="shared" si="203"/>
        <v>#DIV/0!</v>
      </c>
      <c r="BY113" s="383" t="e">
        <f t="shared" si="203"/>
        <v>#DIV/0!</v>
      </c>
      <c r="BZ113" s="383" t="e">
        <f t="shared" si="203"/>
        <v>#DIV/0!</v>
      </c>
      <c r="CA113" s="383" t="e">
        <f t="shared" si="203"/>
        <v>#DIV/0!</v>
      </c>
      <c r="CB113" s="383" t="e">
        <f t="shared" si="203"/>
        <v>#DIV/0!</v>
      </c>
      <c r="CC113" s="383" t="e">
        <f t="shared" si="203"/>
        <v>#DIV/0!</v>
      </c>
      <c r="CD113" s="383" t="e">
        <f t="shared" si="203"/>
        <v>#DIV/0!</v>
      </c>
      <c r="CE113" s="386" t="s">
        <v>1390</v>
      </c>
      <c r="CF113" s="383" t="e">
        <f t="shared" si="201"/>
        <v>#DIV/0!</v>
      </c>
      <c r="CG113" s="383" t="e">
        <f t="shared" si="201"/>
        <v>#DIV/0!</v>
      </c>
      <c r="CH113" s="383" t="e">
        <f t="shared" si="201"/>
        <v>#DIV/0!</v>
      </c>
      <c r="CI113" s="383" t="e">
        <f t="shared" si="201"/>
        <v>#DIV/0!</v>
      </c>
      <c r="CJ113" s="383" t="e">
        <f t="shared" si="201"/>
        <v>#DIV/0!</v>
      </c>
      <c r="CK113" s="383" t="e">
        <f t="shared" si="201"/>
        <v>#DIV/0!</v>
      </c>
      <c r="CL113" s="383" t="e">
        <f t="shared" si="201"/>
        <v>#DIV/0!</v>
      </c>
      <c r="CM113" s="383" t="e">
        <f t="shared" si="201"/>
        <v>#DIV/0!</v>
      </c>
      <c r="CN113" s="383" t="e">
        <f t="shared" si="201"/>
        <v>#DIV/0!</v>
      </c>
      <c r="CO113" s="383" t="e">
        <f t="shared" si="201"/>
        <v>#DIV/0!</v>
      </c>
      <c r="CP113" s="383" t="e">
        <f t="shared" si="201"/>
        <v>#DIV/0!</v>
      </c>
      <c r="CQ113" s="383" t="e">
        <f t="shared" si="201"/>
        <v>#DIV/0!</v>
      </c>
    </row>
    <row r="114" spans="3:95">
      <c r="C114" s="391">
        <v>1</v>
      </c>
      <c r="D114" s="391" t="s">
        <v>1404</v>
      </c>
      <c r="E114" s="391">
        <v>1</v>
      </c>
      <c r="F114" s="391" t="s">
        <v>1404</v>
      </c>
      <c r="G114" s="391">
        <v>1</v>
      </c>
      <c r="H114" s="391" t="s">
        <v>1404</v>
      </c>
      <c r="I114" s="391">
        <v>1</v>
      </c>
      <c r="J114" s="391" t="s">
        <v>1404</v>
      </c>
      <c r="K114" s="382" t="s">
        <v>1390</v>
      </c>
      <c r="L114" s="382" t="s">
        <v>1390</v>
      </c>
      <c r="M114" s="391">
        <v>1</v>
      </c>
      <c r="N114" s="391" t="s">
        <v>1404</v>
      </c>
      <c r="O114" s="382" t="s">
        <v>1390</v>
      </c>
      <c r="P114" s="382" t="s">
        <v>1390</v>
      </c>
      <c r="R114" s="386" t="s">
        <v>1399</v>
      </c>
      <c r="S114" s="383" t="e">
        <f t="shared" si="207"/>
        <v>#DIV/0!</v>
      </c>
      <c r="T114" s="383" t="e">
        <f t="shared" si="207"/>
        <v>#DIV/0!</v>
      </c>
      <c r="U114" s="383" t="e">
        <f t="shared" si="207"/>
        <v>#DIV/0!</v>
      </c>
      <c r="V114" s="383" t="e">
        <f t="shared" si="207"/>
        <v>#DIV/0!</v>
      </c>
      <c r="W114" s="383" t="e">
        <f t="shared" si="207"/>
        <v>#DIV/0!</v>
      </c>
      <c r="X114" s="383" t="e">
        <f t="shared" si="207"/>
        <v>#DIV/0!</v>
      </c>
      <c r="Y114" s="383" t="e">
        <f t="shared" si="207"/>
        <v>#DIV/0!</v>
      </c>
      <c r="Z114" s="383" t="e">
        <f t="shared" si="207"/>
        <v>#DIV/0!</v>
      </c>
      <c r="AA114" s="383" t="e">
        <f t="shared" si="207"/>
        <v>#DIV/0!</v>
      </c>
      <c r="AB114" s="383" t="e">
        <f t="shared" si="207"/>
        <v>#DIV/0!</v>
      </c>
      <c r="AC114" s="383" t="e">
        <f t="shared" si="207"/>
        <v>#DIV/0!</v>
      </c>
      <c r="AD114" s="383" t="e">
        <f t="shared" si="207"/>
        <v>#DIV/0!</v>
      </c>
      <c r="AE114" s="386">
        <v>1</v>
      </c>
      <c r="AF114" s="383" t="e">
        <f t="shared" ref="AF114:AQ124" si="208">IF(S114="","",IF(AF$18=$AE114,"〇",""))</f>
        <v>#DIV/0!</v>
      </c>
      <c r="AG114" s="383" t="e">
        <f t="shared" si="208"/>
        <v>#DIV/0!</v>
      </c>
      <c r="AH114" s="383" t="e">
        <f t="shared" si="208"/>
        <v>#DIV/0!</v>
      </c>
      <c r="AI114" s="383" t="e">
        <f t="shared" si="208"/>
        <v>#DIV/0!</v>
      </c>
      <c r="AJ114" s="383" t="e">
        <f t="shared" si="208"/>
        <v>#DIV/0!</v>
      </c>
      <c r="AK114" s="383" t="e">
        <f t="shared" si="208"/>
        <v>#DIV/0!</v>
      </c>
      <c r="AL114" s="383" t="e">
        <f t="shared" si="208"/>
        <v>#DIV/0!</v>
      </c>
      <c r="AM114" s="383" t="e">
        <f t="shared" si="208"/>
        <v>#DIV/0!</v>
      </c>
      <c r="AN114" s="383" t="e">
        <f t="shared" si="208"/>
        <v>#DIV/0!</v>
      </c>
      <c r="AO114" s="383" t="e">
        <f t="shared" si="208"/>
        <v>#DIV/0!</v>
      </c>
      <c r="AP114" s="383" t="e">
        <f t="shared" si="208"/>
        <v>#DIV/0!</v>
      </c>
      <c r="AQ114" s="383" t="e">
        <f t="shared" si="208"/>
        <v>#DIV/0!</v>
      </c>
      <c r="AR114" s="386">
        <v>0</v>
      </c>
      <c r="AS114" s="383" t="e">
        <f t="shared" si="182"/>
        <v>#DIV/0!</v>
      </c>
      <c r="AT114" s="383" t="e">
        <f t="shared" si="182"/>
        <v>#DIV/0!</v>
      </c>
      <c r="AU114" s="383" t="e">
        <f t="shared" si="182"/>
        <v>#DIV/0!</v>
      </c>
      <c r="AV114" s="383" t="e">
        <f t="shared" si="182"/>
        <v>#DIV/0!</v>
      </c>
      <c r="AW114" s="383" t="e">
        <f t="shared" si="182"/>
        <v>#DIV/0!</v>
      </c>
      <c r="AX114" s="383" t="e">
        <f t="shared" si="182"/>
        <v>#DIV/0!</v>
      </c>
      <c r="AY114" s="383" t="e">
        <f t="shared" si="182"/>
        <v>#DIV/0!</v>
      </c>
      <c r="AZ114" s="383" t="e">
        <f t="shared" si="182"/>
        <v>#DIV/0!</v>
      </c>
      <c r="BA114" s="383" t="e">
        <f t="shared" si="182"/>
        <v>#DIV/0!</v>
      </c>
      <c r="BB114" s="383" t="e">
        <f t="shared" si="182"/>
        <v>#DIV/0!</v>
      </c>
      <c r="BC114" s="383" t="e">
        <f t="shared" si="182"/>
        <v>#DIV/0!</v>
      </c>
      <c r="BD114" s="383" t="e">
        <f t="shared" si="182"/>
        <v>#DIV/0!</v>
      </c>
      <c r="BE114" s="386" t="s">
        <v>1390</v>
      </c>
      <c r="BF114" s="383" t="e">
        <f t="shared" si="205"/>
        <v>#DIV/0!</v>
      </c>
      <c r="BG114" s="383" t="e">
        <f t="shared" si="205"/>
        <v>#DIV/0!</v>
      </c>
      <c r="BH114" s="383" t="e">
        <f t="shared" si="205"/>
        <v>#DIV/0!</v>
      </c>
      <c r="BI114" s="383" t="e">
        <f t="shared" si="205"/>
        <v>#DIV/0!</v>
      </c>
      <c r="BJ114" s="383" t="e">
        <f t="shared" si="205"/>
        <v>#DIV/0!</v>
      </c>
      <c r="BK114" s="383" t="e">
        <f t="shared" si="205"/>
        <v>#DIV/0!</v>
      </c>
      <c r="BL114" s="383" t="e">
        <f t="shared" si="205"/>
        <v>#DIV/0!</v>
      </c>
      <c r="BM114" s="383" t="e">
        <f t="shared" si="205"/>
        <v>#DIV/0!</v>
      </c>
      <c r="BN114" s="383" t="e">
        <f t="shared" si="205"/>
        <v>#DIV/0!</v>
      </c>
      <c r="BO114" s="383" t="e">
        <f t="shared" si="205"/>
        <v>#DIV/0!</v>
      </c>
      <c r="BP114" s="383" t="e">
        <f t="shared" si="205"/>
        <v>#DIV/0!</v>
      </c>
      <c r="BQ114" s="383" t="e">
        <f t="shared" si="205"/>
        <v>#DIV/0!</v>
      </c>
      <c r="BR114" s="386" t="s">
        <v>1390</v>
      </c>
      <c r="BS114" s="383" t="e">
        <f t="shared" si="206"/>
        <v>#DIV/0!</v>
      </c>
      <c r="BT114" s="383" t="e">
        <f t="shared" si="203"/>
        <v>#DIV/0!</v>
      </c>
      <c r="BU114" s="383" t="e">
        <f t="shared" si="203"/>
        <v>#DIV/0!</v>
      </c>
      <c r="BV114" s="383" t="e">
        <f t="shared" si="203"/>
        <v>#DIV/0!</v>
      </c>
      <c r="BW114" s="383" t="e">
        <f t="shared" si="203"/>
        <v>#DIV/0!</v>
      </c>
      <c r="BX114" s="383" t="e">
        <f t="shared" si="203"/>
        <v>#DIV/0!</v>
      </c>
      <c r="BY114" s="383" t="e">
        <f t="shared" si="203"/>
        <v>#DIV/0!</v>
      </c>
      <c r="BZ114" s="383" t="e">
        <f t="shared" si="203"/>
        <v>#DIV/0!</v>
      </c>
      <c r="CA114" s="383" t="e">
        <f t="shared" si="203"/>
        <v>#DIV/0!</v>
      </c>
      <c r="CB114" s="383" t="e">
        <f t="shared" si="203"/>
        <v>#DIV/0!</v>
      </c>
      <c r="CC114" s="383" t="e">
        <f t="shared" si="203"/>
        <v>#DIV/0!</v>
      </c>
      <c r="CD114" s="383" t="e">
        <f t="shared" si="203"/>
        <v>#DIV/0!</v>
      </c>
      <c r="CE114" s="386" t="s">
        <v>1390</v>
      </c>
      <c r="CF114" s="383" t="e">
        <f t="shared" si="201"/>
        <v>#DIV/0!</v>
      </c>
      <c r="CG114" s="383" t="e">
        <f t="shared" si="201"/>
        <v>#DIV/0!</v>
      </c>
      <c r="CH114" s="383" t="e">
        <f t="shared" si="201"/>
        <v>#DIV/0!</v>
      </c>
      <c r="CI114" s="383" t="e">
        <f t="shared" si="201"/>
        <v>#DIV/0!</v>
      </c>
      <c r="CJ114" s="383" t="e">
        <f t="shared" si="201"/>
        <v>#DIV/0!</v>
      </c>
      <c r="CK114" s="383" t="e">
        <f t="shared" si="201"/>
        <v>#DIV/0!</v>
      </c>
      <c r="CL114" s="383" t="e">
        <f t="shared" si="201"/>
        <v>#DIV/0!</v>
      </c>
      <c r="CM114" s="383" t="e">
        <f t="shared" si="201"/>
        <v>#DIV/0!</v>
      </c>
      <c r="CN114" s="383" t="e">
        <f t="shared" si="201"/>
        <v>#DIV/0!</v>
      </c>
      <c r="CO114" s="383" t="e">
        <f t="shared" si="201"/>
        <v>#DIV/0!</v>
      </c>
      <c r="CP114" s="383" t="e">
        <f t="shared" si="201"/>
        <v>#DIV/0!</v>
      </c>
      <c r="CQ114" s="383" t="e">
        <f t="shared" si="201"/>
        <v>#DIV/0!</v>
      </c>
    </row>
    <row r="115" spans="3:95">
      <c r="C115" s="391">
        <v>1</v>
      </c>
      <c r="D115" s="391" t="s">
        <v>1404</v>
      </c>
      <c r="E115" s="391">
        <v>1</v>
      </c>
      <c r="F115" s="391" t="s">
        <v>1404</v>
      </c>
      <c r="G115" s="391">
        <v>1</v>
      </c>
      <c r="H115" s="391" t="s">
        <v>1404</v>
      </c>
      <c r="I115" s="391">
        <v>1</v>
      </c>
      <c r="J115" s="391" t="s">
        <v>1404</v>
      </c>
      <c r="K115" s="382" t="s">
        <v>1390</v>
      </c>
      <c r="L115" s="382" t="s">
        <v>1390</v>
      </c>
      <c r="M115" s="391">
        <v>1</v>
      </c>
      <c r="N115" s="391" t="s">
        <v>1404</v>
      </c>
      <c r="O115" s="391">
        <v>1</v>
      </c>
      <c r="P115" s="391" t="s">
        <v>1404</v>
      </c>
      <c r="R115" s="386" t="s">
        <v>1399</v>
      </c>
      <c r="S115" s="383" t="e">
        <f t="shared" si="207"/>
        <v>#DIV/0!</v>
      </c>
      <c r="T115" s="383" t="e">
        <f t="shared" si="207"/>
        <v>#DIV/0!</v>
      </c>
      <c r="U115" s="383" t="e">
        <f t="shared" si="207"/>
        <v>#DIV/0!</v>
      </c>
      <c r="V115" s="383" t="e">
        <f t="shared" si="207"/>
        <v>#DIV/0!</v>
      </c>
      <c r="W115" s="383" t="e">
        <f t="shared" si="207"/>
        <v>#DIV/0!</v>
      </c>
      <c r="X115" s="383" t="e">
        <f t="shared" si="207"/>
        <v>#DIV/0!</v>
      </c>
      <c r="Y115" s="383" t="e">
        <f t="shared" si="207"/>
        <v>#DIV/0!</v>
      </c>
      <c r="Z115" s="383" t="e">
        <f t="shared" si="207"/>
        <v>#DIV/0!</v>
      </c>
      <c r="AA115" s="383" t="e">
        <f t="shared" si="207"/>
        <v>#DIV/0!</v>
      </c>
      <c r="AB115" s="383" t="e">
        <f t="shared" si="207"/>
        <v>#DIV/0!</v>
      </c>
      <c r="AC115" s="383" t="e">
        <f t="shared" si="207"/>
        <v>#DIV/0!</v>
      </c>
      <c r="AD115" s="383" t="e">
        <f t="shared" si="207"/>
        <v>#DIV/0!</v>
      </c>
      <c r="AE115" s="386">
        <v>1</v>
      </c>
      <c r="AF115" s="383" t="e">
        <f t="shared" si="208"/>
        <v>#DIV/0!</v>
      </c>
      <c r="AG115" s="383" t="e">
        <f t="shared" si="208"/>
        <v>#DIV/0!</v>
      </c>
      <c r="AH115" s="383" t="e">
        <f t="shared" si="208"/>
        <v>#DIV/0!</v>
      </c>
      <c r="AI115" s="383" t="e">
        <f t="shared" si="208"/>
        <v>#DIV/0!</v>
      </c>
      <c r="AJ115" s="383" t="e">
        <f t="shared" si="208"/>
        <v>#DIV/0!</v>
      </c>
      <c r="AK115" s="383" t="e">
        <f t="shared" si="208"/>
        <v>#DIV/0!</v>
      </c>
      <c r="AL115" s="383" t="e">
        <f t="shared" si="208"/>
        <v>#DIV/0!</v>
      </c>
      <c r="AM115" s="383" t="e">
        <f t="shared" si="208"/>
        <v>#DIV/0!</v>
      </c>
      <c r="AN115" s="383" t="e">
        <f t="shared" si="208"/>
        <v>#DIV/0!</v>
      </c>
      <c r="AO115" s="383" t="e">
        <f t="shared" si="208"/>
        <v>#DIV/0!</v>
      </c>
      <c r="AP115" s="383" t="e">
        <f t="shared" si="208"/>
        <v>#DIV/0!</v>
      </c>
      <c r="AQ115" s="383" t="e">
        <f t="shared" si="208"/>
        <v>#DIV/0!</v>
      </c>
      <c r="AR115" s="386">
        <v>1</v>
      </c>
      <c r="AS115" s="383" t="e">
        <f t="shared" si="182"/>
        <v>#DIV/0!</v>
      </c>
      <c r="AT115" s="383" t="e">
        <f t="shared" si="182"/>
        <v>#DIV/0!</v>
      </c>
      <c r="AU115" s="383" t="e">
        <f t="shared" si="182"/>
        <v>#DIV/0!</v>
      </c>
      <c r="AV115" s="383" t="e">
        <f t="shared" si="182"/>
        <v>#DIV/0!</v>
      </c>
      <c r="AW115" s="383" t="e">
        <f t="shared" si="182"/>
        <v>#DIV/0!</v>
      </c>
      <c r="AX115" s="383" t="e">
        <f t="shared" si="182"/>
        <v>#DIV/0!</v>
      </c>
      <c r="AY115" s="383" t="e">
        <f t="shared" si="182"/>
        <v>#DIV/0!</v>
      </c>
      <c r="AZ115" s="383" t="e">
        <f t="shared" si="182"/>
        <v>#DIV/0!</v>
      </c>
      <c r="BA115" s="383" t="e">
        <f t="shared" si="182"/>
        <v>#DIV/0!</v>
      </c>
      <c r="BB115" s="383" t="e">
        <f t="shared" si="182"/>
        <v>#DIV/0!</v>
      </c>
      <c r="BC115" s="383" t="e">
        <f t="shared" si="182"/>
        <v>#DIV/0!</v>
      </c>
      <c r="BD115" s="383" t="e">
        <f t="shared" si="182"/>
        <v>#DIV/0!</v>
      </c>
      <c r="BE115" s="386" t="s">
        <v>1390</v>
      </c>
      <c r="BF115" s="383" t="e">
        <f t="shared" si="205"/>
        <v>#DIV/0!</v>
      </c>
      <c r="BG115" s="383" t="e">
        <f t="shared" si="205"/>
        <v>#DIV/0!</v>
      </c>
      <c r="BH115" s="383" t="e">
        <f t="shared" si="205"/>
        <v>#DIV/0!</v>
      </c>
      <c r="BI115" s="383" t="e">
        <f t="shared" si="205"/>
        <v>#DIV/0!</v>
      </c>
      <c r="BJ115" s="383" t="e">
        <f t="shared" si="205"/>
        <v>#DIV/0!</v>
      </c>
      <c r="BK115" s="383" t="e">
        <f t="shared" si="205"/>
        <v>#DIV/0!</v>
      </c>
      <c r="BL115" s="383" t="e">
        <f t="shared" si="205"/>
        <v>#DIV/0!</v>
      </c>
      <c r="BM115" s="383" t="e">
        <f t="shared" si="205"/>
        <v>#DIV/0!</v>
      </c>
      <c r="BN115" s="383" t="e">
        <f t="shared" si="205"/>
        <v>#DIV/0!</v>
      </c>
      <c r="BO115" s="383" t="e">
        <f t="shared" si="205"/>
        <v>#DIV/0!</v>
      </c>
      <c r="BP115" s="383" t="e">
        <f t="shared" si="205"/>
        <v>#DIV/0!</v>
      </c>
      <c r="BQ115" s="383" t="e">
        <f t="shared" si="205"/>
        <v>#DIV/0!</v>
      </c>
      <c r="BR115" s="386" t="s">
        <v>1390</v>
      </c>
      <c r="BS115" s="383" t="e">
        <f t="shared" si="206"/>
        <v>#DIV/0!</v>
      </c>
      <c r="BT115" s="383" t="e">
        <f t="shared" si="203"/>
        <v>#DIV/0!</v>
      </c>
      <c r="BU115" s="383" t="e">
        <f t="shared" si="203"/>
        <v>#DIV/0!</v>
      </c>
      <c r="BV115" s="383" t="e">
        <f t="shared" si="203"/>
        <v>#DIV/0!</v>
      </c>
      <c r="BW115" s="383" t="e">
        <f t="shared" si="203"/>
        <v>#DIV/0!</v>
      </c>
      <c r="BX115" s="383" t="e">
        <f t="shared" si="203"/>
        <v>#DIV/0!</v>
      </c>
      <c r="BY115" s="383" t="e">
        <f t="shared" si="203"/>
        <v>#DIV/0!</v>
      </c>
      <c r="BZ115" s="383" t="e">
        <f t="shared" si="203"/>
        <v>#DIV/0!</v>
      </c>
      <c r="CA115" s="383" t="e">
        <f t="shared" si="203"/>
        <v>#DIV/0!</v>
      </c>
      <c r="CB115" s="383" t="e">
        <f t="shared" si="203"/>
        <v>#DIV/0!</v>
      </c>
      <c r="CC115" s="383" t="e">
        <f t="shared" si="203"/>
        <v>#DIV/0!</v>
      </c>
      <c r="CD115" s="383" t="e">
        <f t="shared" si="203"/>
        <v>#DIV/0!</v>
      </c>
      <c r="CE115" s="386" t="s">
        <v>1390</v>
      </c>
      <c r="CF115" s="383" t="e">
        <f t="shared" si="201"/>
        <v>#DIV/0!</v>
      </c>
      <c r="CG115" s="383" t="e">
        <f t="shared" si="201"/>
        <v>#DIV/0!</v>
      </c>
      <c r="CH115" s="383" t="e">
        <f t="shared" si="201"/>
        <v>#DIV/0!</v>
      </c>
      <c r="CI115" s="383" t="e">
        <f t="shared" si="201"/>
        <v>#DIV/0!</v>
      </c>
      <c r="CJ115" s="383" t="e">
        <f t="shared" si="201"/>
        <v>#DIV/0!</v>
      </c>
      <c r="CK115" s="383" t="e">
        <f t="shared" si="201"/>
        <v>#DIV/0!</v>
      </c>
      <c r="CL115" s="383" t="e">
        <f t="shared" si="201"/>
        <v>#DIV/0!</v>
      </c>
      <c r="CM115" s="383" t="e">
        <f t="shared" si="201"/>
        <v>#DIV/0!</v>
      </c>
      <c r="CN115" s="383" t="e">
        <f t="shared" si="201"/>
        <v>#DIV/0!</v>
      </c>
      <c r="CO115" s="383" t="e">
        <f t="shared" si="201"/>
        <v>#DIV/0!</v>
      </c>
      <c r="CP115" s="383" t="e">
        <f t="shared" si="201"/>
        <v>#DIV/0!</v>
      </c>
      <c r="CQ115" s="383" t="e">
        <f t="shared" si="201"/>
        <v>#DIV/0!</v>
      </c>
    </row>
    <row r="116" spans="3:95">
      <c r="C116" s="391">
        <v>1</v>
      </c>
      <c r="D116" s="391" t="s">
        <v>1404</v>
      </c>
      <c r="E116" s="391">
        <v>1</v>
      </c>
      <c r="F116" s="391" t="s">
        <v>1404</v>
      </c>
      <c r="G116" s="391">
        <v>1</v>
      </c>
      <c r="H116" s="391" t="s">
        <v>1404</v>
      </c>
      <c r="I116" s="391">
        <v>1</v>
      </c>
      <c r="J116" s="391" t="s">
        <v>1404</v>
      </c>
      <c r="K116" s="382" t="s">
        <v>1390</v>
      </c>
      <c r="L116" s="382" t="s">
        <v>1390</v>
      </c>
      <c r="M116" s="391">
        <v>2</v>
      </c>
      <c r="N116" s="391" t="s">
        <v>1404</v>
      </c>
      <c r="O116" s="382" t="s">
        <v>1390</v>
      </c>
      <c r="P116" s="382" t="s">
        <v>1390</v>
      </c>
      <c r="R116" s="386" t="s">
        <v>1399</v>
      </c>
      <c r="S116" s="383" t="e">
        <f t="shared" si="207"/>
        <v>#DIV/0!</v>
      </c>
      <c r="T116" s="383" t="e">
        <f t="shared" si="207"/>
        <v>#DIV/0!</v>
      </c>
      <c r="U116" s="383" t="e">
        <f t="shared" si="207"/>
        <v>#DIV/0!</v>
      </c>
      <c r="V116" s="383" t="e">
        <f t="shared" si="207"/>
        <v>#DIV/0!</v>
      </c>
      <c r="W116" s="383" t="e">
        <f t="shared" si="207"/>
        <v>#DIV/0!</v>
      </c>
      <c r="X116" s="383" t="e">
        <f t="shared" si="207"/>
        <v>#DIV/0!</v>
      </c>
      <c r="Y116" s="383" t="e">
        <f t="shared" si="207"/>
        <v>#DIV/0!</v>
      </c>
      <c r="Z116" s="383" t="e">
        <f t="shared" si="207"/>
        <v>#DIV/0!</v>
      </c>
      <c r="AA116" s="383" t="e">
        <f t="shared" si="207"/>
        <v>#DIV/0!</v>
      </c>
      <c r="AB116" s="383" t="e">
        <f t="shared" si="207"/>
        <v>#DIV/0!</v>
      </c>
      <c r="AC116" s="383" t="e">
        <f t="shared" si="207"/>
        <v>#DIV/0!</v>
      </c>
      <c r="AD116" s="383" t="e">
        <f t="shared" si="207"/>
        <v>#DIV/0!</v>
      </c>
      <c r="AE116" s="386">
        <v>2</v>
      </c>
      <c r="AF116" s="383" t="e">
        <f t="shared" si="208"/>
        <v>#DIV/0!</v>
      </c>
      <c r="AG116" s="383" t="e">
        <f t="shared" si="208"/>
        <v>#DIV/0!</v>
      </c>
      <c r="AH116" s="383" t="e">
        <f t="shared" si="208"/>
        <v>#DIV/0!</v>
      </c>
      <c r="AI116" s="383" t="e">
        <f t="shared" si="208"/>
        <v>#DIV/0!</v>
      </c>
      <c r="AJ116" s="383" t="e">
        <f t="shared" si="208"/>
        <v>#DIV/0!</v>
      </c>
      <c r="AK116" s="383" t="e">
        <f t="shared" si="208"/>
        <v>#DIV/0!</v>
      </c>
      <c r="AL116" s="383" t="e">
        <f t="shared" si="208"/>
        <v>#DIV/0!</v>
      </c>
      <c r="AM116" s="383" t="e">
        <f t="shared" si="208"/>
        <v>#DIV/0!</v>
      </c>
      <c r="AN116" s="383" t="e">
        <f t="shared" si="208"/>
        <v>#DIV/0!</v>
      </c>
      <c r="AO116" s="383" t="e">
        <f t="shared" si="208"/>
        <v>#DIV/0!</v>
      </c>
      <c r="AP116" s="383" t="e">
        <f t="shared" si="208"/>
        <v>#DIV/0!</v>
      </c>
      <c r="AQ116" s="383" t="e">
        <f t="shared" si="208"/>
        <v>#DIV/0!</v>
      </c>
      <c r="AR116" s="386">
        <v>0</v>
      </c>
      <c r="AS116" s="383" t="e">
        <f t="shared" si="182"/>
        <v>#DIV/0!</v>
      </c>
      <c r="AT116" s="383" t="e">
        <f t="shared" si="182"/>
        <v>#DIV/0!</v>
      </c>
      <c r="AU116" s="383" t="e">
        <f t="shared" si="182"/>
        <v>#DIV/0!</v>
      </c>
      <c r="AV116" s="383" t="e">
        <f t="shared" si="182"/>
        <v>#DIV/0!</v>
      </c>
      <c r="AW116" s="383" t="e">
        <f t="shared" si="182"/>
        <v>#DIV/0!</v>
      </c>
      <c r="AX116" s="383" t="e">
        <f t="shared" si="182"/>
        <v>#DIV/0!</v>
      </c>
      <c r="AY116" s="383" t="e">
        <f t="shared" si="182"/>
        <v>#DIV/0!</v>
      </c>
      <c r="AZ116" s="383" t="e">
        <f t="shared" si="182"/>
        <v>#DIV/0!</v>
      </c>
      <c r="BA116" s="383" t="e">
        <f t="shared" si="182"/>
        <v>#DIV/0!</v>
      </c>
      <c r="BB116" s="383" t="e">
        <f t="shared" si="182"/>
        <v>#DIV/0!</v>
      </c>
      <c r="BC116" s="383" t="e">
        <f t="shared" si="182"/>
        <v>#DIV/0!</v>
      </c>
      <c r="BD116" s="383" t="e">
        <f t="shared" si="182"/>
        <v>#DIV/0!</v>
      </c>
      <c r="BE116" s="386" t="s">
        <v>1390</v>
      </c>
      <c r="BF116" s="383" t="e">
        <f t="shared" si="205"/>
        <v>#DIV/0!</v>
      </c>
      <c r="BG116" s="383" t="e">
        <f t="shared" si="205"/>
        <v>#DIV/0!</v>
      </c>
      <c r="BH116" s="383" t="e">
        <f t="shared" si="205"/>
        <v>#DIV/0!</v>
      </c>
      <c r="BI116" s="383" t="e">
        <f t="shared" si="205"/>
        <v>#DIV/0!</v>
      </c>
      <c r="BJ116" s="383" t="e">
        <f t="shared" si="205"/>
        <v>#DIV/0!</v>
      </c>
      <c r="BK116" s="383" t="e">
        <f t="shared" si="205"/>
        <v>#DIV/0!</v>
      </c>
      <c r="BL116" s="383" t="e">
        <f t="shared" si="205"/>
        <v>#DIV/0!</v>
      </c>
      <c r="BM116" s="383" t="e">
        <f t="shared" si="205"/>
        <v>#DIV/0!</v>
      </c>
      <c r="BN116" s="383" t="e">
        <f t="shared" si="205"/>
        <v>#DIV/0!</v>
      </c>
      <c r="BO116" s="383" t="e">
        <f t="shared" si="205"/>
        <v>#DIV/0!</v>
      </c>
      <c r="BP116" s="383" t="e">
        <f t="shared" si="205"/>
        <v>#DIV/0!</v>
      </c>
      <c r="BQ116" s="383" t="e">
        <f t="shared" si="205"/>
        <v>#DIV/0!</v>
      </c>
      <c r="BR116" s="386" t="s">
        <v>1390</v>
      </c>
      <c r="BS116" s="383" t="e">
        <f t="shared" si="206"/>
        <v>#DIV/0!</v>
      </c>
      <c r="BT116" s="383" t="e">
        <f t="shared" si="203"/>
        <v>#DIV/0!</v>
      </c>
      <c r="BU116" s="383" t="e">
        <f t="shared" si="203"/>
        <v>#DIV/0!</v>
      </c>
      <c r="BV116" s="383" t="e">
        <f t="shared" si="203"/>
        <v>#DIV/0!</v>
      </c>
      <c r="BW116" s="383" t="e">
        <f t="shared" si="203"/>
        <v>#DIV/0!</v>
      </c>
      <c r="BX116" s="383" t="e">
        <f t="shared" si="203"/>
        <v>#DIV/0!</v>
      </c>
      <c r="BY116" s="383" t="e">
        <f t="shared" si="203"/>
        <v>#DIV/0!</v>
      </c>
      <c r="BZ116" s="383" t="e">
        <f t="shared" si="203"/>
        <v>#DIV/0!</v>
      </c>
      <c r="CA116" s="383" t="e">
        <f t="shared" si="203"/>
        <v>#DIV/0!</v>
      </c>
      <c r="CB116" s="383" t="e">
        <f t="shared" si="203"/>
        <v>#DIV/0!</v>
      </c>
      <c r="CC116" s="383" t="e">
        <f t="shared" si="203"/>
        <v>#DIV/0!</v>
      </c>
      <c r="CD116" s="383" t="e">
        <f t="shared" si="203"/>
        <v>#DIV/0!</v>
      </c>
      <c r="CE116" s="386" t="s">
        <v>1390</v>
      </c>
      <c r="CF116" s="383" t="e">
        <f t="shared" si="201"/>
        <v>#DIV/0!</v>
      </c>
      <c r="CG116" s="383" t="e">
        <f t="shared" si="201"/>
        <v>#DIV/0!</v>
      </c>
      <c r="CH116" s="383" t="e">
        <f t="shared" si="201"/>
        <v>#DIV/0!</v>
      </c>
      <c r="CI116" s="383" t="e">
        <f t="shared" si="201"/>
        <v>#DIV/0!</v>
      </c>
      <c r="CJ116" s="383" t="e">
        <f t="shared" si="201"/>
        <v>#DIV/0!</v>
      </c>
      <c r="CK116" s="383" t="e">
        <f t="shared" si="201"/>
        <v>#DIV/0!</v>
      </c>
      <c r="CL116" s="383" t="e">
        <f t="shared" si="201"/>
        <v>#DIV/0!</v>
      </c>
      <c r="CM116" s="383" t="e">
        <f t="shared" si="201"/>
        <v>#DIV/0!</v>
      </c>
      <c r="CN116" s="383" t="e">
        <f t="shared" si="201"/>
        <v>#DIV/0!</v>
      </c>
      <c r="CO116" s="383" t="e">
        <f t="shared" si="201"/>
        <v>#DIV/0!</v>
      </c>
      <c r="CP116" s="383" t="e">
        <f t="shared" si="201"/>
        <v>#DIV/0!</v>
      </c>
      <c r="CQ116" s="383" t="e">
        <f t="shared" si="201"/>
        <v>#DIV/0!</v>
      </c>
    </row>
    <row r="117" spans="3:95">
      <c r="C117" s="391">
        <v>1</v>
      </c>
      <c r="D117" s="391" t="s">
        <v>1404</v>
      </c>
      <c r="E117" s="391">
        <v>1</v>
      </c>
      <c r="F117" s="391" t="s">
        <v>1404</v>
      </c>
      <c r="G117" s="391">
        <v>1</v>
      </c>
      <c r="H117" s="391" t="s">
        <v>1404</v>
      </c>
      <c r="I117" s="391">
        <v>1</v>
      </c>
      <c r="J117" s="391" t="s">
        <v>1404</v>
      </c>
      <c r="K117" s="382" t="s">
        <v>1390</v>
      </c>
      <c r="L117" s="382" t="s">
        <v>1390</v>
      </c>
      <c r="M117" s="391">
        <v>2</v>
      </c>
      <c r="N117" s="391" t="s">
        <v>1404</v>
      </c>
      <c r="O117" s="391">
        <v>1</v>
      </c>
      <c r="P117" s="391" t="s">
        <v>1404</v>
      </c>
      <c r="R117" s="386" t="s">
        <v>1399</v>
      </c>
      <c r="S117" s="383" t="e">
        <f t="shared" si="207"/>
        <v>#DIV/0!</v>
      </c>
      <c r="T117" s="383" t="e">
        <f t="shared" si="207"/>
        <v>#DIV/0!</v>
      </c>
      <c r="U117" s="383" t="e">
        <f t="shared" si="207"/>
        <v>#DIV/0!</v>
      </c>
      <c r="V117" s="383" t="e">
        <f t="shared" si="207"/>
        <v>#DIV/0!</v>
      </c>
      <c r="W117" s="383" t="e">
        <f t="shared" si="207"/>
        <v>#DIV/0!</v>
      </c>
      <c r="X117" s="383" t="e">
        <f t="shared" si="207"/>
        <v>#DIV/0!</v>
      </c>
      <c r="Y117" s="383" t="e">
        <f t="shared" si="207"/>
        <v>#DIV/0!</v>
      </c>
      <c r="Z117" s="383" t="e">
        <f t="shared" si="207"/>
        <v>#DIV/0!</v>
      </c>
      <c r="AA117" s="383" t="e">
        <f t="shared" si="207"/>
        <v>#DIV/0!</v>
      </c>
      <c r="AB117" s="383" t="e">
        <f t="shared" si="207"/>
        <v>#DIV/0!</v>
      </c>
      <c r="AC117" s="383" t="e">
        <f t="shared" si="207"/>
        <v>#DIV/0!</v>
      </c>
      <c r="AD117" s="383" t="e">
        <f t="shared" si="207"/>
        <v>#DIV/0!</v>
      </c>
      <c r="AE117" s="386">
        <v>2</v>
      </c>
      <c r="AF117" s="383" t="e">
        <f t="shared" si="208"/>
        <v>#DIV/0!</v>
      </c>
      <c r="AG117" s="383" t="e">
        <f t="shared" si="208"/>
        <v>#DIV/0!</v>
      </c>
      <c r="AH117" s="383" t="e">
        <f t="shared" si="208"/>
        <v>#DIV/0!</v>
      </c>
      <c r="AI117" s="383" t="e">
        <f t="shared" si="208"/>
        <v>#DIV/0!</v>
      </c>
      <c r="AJ117" s="383" t="e">
        <f t="shared" si="208"/>
        <v>#DIV/0!</v>
      </c>
      <c r="AK117" s="383" t="e">
        <f t="shared" si="208"/>
        <v>#DIV/0!</v>
      </c>
      <c r="AL117" s="383" t="e">
        <f t="shared" si="208"/>
        <v>#DIV/0!</v>
      </c>
      <c r="AM117" s="383" t="e">
        <f t="shared" si="208"/>
        <v>#DIV/0!</v>
      </c>
      <c r="AN117" s="383" t="e">
        <f t="shared" si="208"/>
        <v>#DIV/0!</v>
      </c>
      <c r="AO117" s="383" t="e">
        <f t="shared" si="208"/>
        <v>#DIV/0!</v>
      </c>
      <c r="AP117" s="383" t="e">
        <f t="shared" si="208"/>
        <v>#DIV/0!</v>
      </c>
      <c r="AQ117" s="383" t="e">
        <f t="shared" si="208"/>
        <v>#DIV/0!</v>
      </c>
      <c r="AR117" s="386">
        <v>1</v>
      </c>
      <c r="AS117" s="383" t="e">
        <f t="shared" si="182"/>
        <v>#DIV/0!</v>
      </c>
      <c r="AT117" s="383" t="e">
        <f t="shared" si="182"/>
        <v>#DIV/0!</v>
      </c>
      <c r="AU117" s="383" t="e">
        <f t="shared" si="182"/>
        <v>#DIV/0!</v>
      </c>
      <c r="AV117" s="383" t="e">
        <f t="shared" si="182"/>
        <v>#DIV/0!</v>
      </c>
      <c r="AW117" s="383" t="e">
        <f t="shared" si="182"/>
        <v>#DIV/0!</v>
      </c>
      <c r="AX117" s="383" t="e">
        <f t="shared" si="182"/>
        <v>#DIV/0!</v>
      </c>
      <c r="AY117" s="383" t="e">
        <f t="shared" si="182"/>
        <v>#DIV/0!</v>
      </c>
      <c r="AZ117" s="383" t="e">
        <f t="shared" si="182"/>
        <v>#DIV/0!</v>
      </c>
      <c r="BA117" s="383" t="e">
        <f t="shared" si="182"/>
        <v>#DIV/0!</v>
      </c>
      <c r="BB117" s="383" t="e">
        <f t="shared" si="182"/>
        <v>#DIV/0!</v>
      </c>
      <c r="BC117" s="383" t="e">
        <f t="shared" si="182"/>
        <v>#DIV/0!</v>
      </c>
      <c r="BD117" s="383" t="e">
        <f t="shared" si="182"/>
        <v>#DIV/0!</v>
      </c>
      <c r="BE117" s="386" t="s">
        <v>1390</v>
      </c>
      <c r="BF117" s="383" t="e">
        <f t="shared" si="205"/>
        <v>#DIV/0!</v>
      </c>
      <c r="BG117" s="383" t="e">
        <f t="shared" si="205"/>
        <v>#DIV/0!</v>
      </c>
      <c r="BH117" s="383" t="e">
        <f t="shared" si="205"/>
        <v>#DIV/0!</v>
      </c>
      <c r="BI117" s="383" t="e">
        <f t="shared" si="205"/>
        <v>#DIV/0!</v>
      </c>
      <c r="BJ117" s="383" t="e">
        <f t="shared" si="205"/>
        <v>#DIV/0!</v>
      </c>
      <c r="BK117" s="383" t="e">
        <f t="shared" si="205"/>
        <v>#DIV/0!</v>
      </c>
      <c r="BL117" s="383" t="e">
        <f t="shared" si="205"/>
        <v>#DIV/0!</v>
      </c>
      <c r="BM117" s="383" t="e">
        <f t="shared" si="205"/>
        <v>#DIV/0!</v>
      </c>
      <c r="BN117" s="383" t="e">
        <f t="shared" si="205"/>
        <v>#DIV/0!</v>
      </c>
      <c r="BO117" s="383" t="e">
        <f t="shared" si="205"/>
        <v>#DIV/0!</v>
      </c>
      <c r="BP117" s="383" t="e">
        <f t="shared" si="205"/>
        <v>#DIV/0!</v>
      </c>
      <c r="BQ117" s="383" t="e">
        <f t="shared" si="205"/>
        <v>#DIV/0!</v>
      </c>
      <c r="BR117" s="386" t="s">
        <v>1390</v>
      </c>
      <c r="BS117" s="383" t="e">
        <f t="shared" si="206"/>
        <v>#DIV/0!</v>
      </c>
      <c r="BT117" s="383" t="e">
        <f t="shared" si="203"/>
        <v>#DIV/0!</v>
      </c>
      <c r="BU117" s="383" t="e">
        <f t="shared" si="203"/>
        <v>#DIV/0!</v>
      </c>
      <c r="BV117" s="383" t="e">
        <f t="shared" si="203"/>
        <v>#DIV/0!</v>
      </c>
      <c r="BW117" s="383" t="e">
        <f t="shared" si="203"/>
        <v>#DIV/0!</v>
      </c>
      <c r="BX117" s="383" t="e">
        <f t="shared" si="203"/>
        <v>#DIV/0!</v>
      </c>
      <c r="BY117" s="383" t="e">
        <f t="shared" si="203"/>
        <v>#DIV/0!</v>
      </c>
      <c r="BZ117" s="383" t="e">
        <f t="shared" si="203"/>
        <v>#DIV/0!</v>
      </c>
      <c r="CA117" s="383" t="e">
        <f t="shared" si="203"/>
        <v>#DIV/0!</v>
      </c>
      <c r="CB117" s="383" t="e">
        <f t="shared" si="203"/>
        <v>#DIV/0!</v>
      </c>
      <c r="CC117" s="383" t="e">
        <f t="shared" si="203"/>
        <v>#DIV/0!</v>
      </c>
      <c r="CD117" s="383" t="e">
        <f t="shared" si="203"/>
        <v>#DIV/0!</v>
      </c>
      <c r="CE117" s="386" t="s">
        <v>1390</v>
      </c>
      <c r="CF117" s="383" t="e">
        <f t="shared" si="201"/>
        <v>#DIV/0!</v>
      </c>
      <c r="CG117" s="383" t="e">
        <f t="shared" si="201"/>
        <v>#DIV/0!</v>
      </c>
      <c r="CH117" s="383" t="e">
        <f t="shared" si="201"/>
        <v>#DIV/0!</v>
      </c>
      <c r="CI117" s="383" t="e">
        <f t="shared" si="201"/>
        <v>#DIV/0!</v>
      </c>
      <c r="CJ117" s="383" t="e">
        <f t="shared" si="201"/>
        <v>#DIV/0!</v>
      </c>
      <c r="CK117" s="383" t="e">
        <f t="shared" si="201"/>
        <v>#DIV/0!</v>
      </c>
      <c r="CL117" s="383" t="e">
        <f t="shared" si="201"/>
        <v>#DIV/0!</v>
      </c>
      <c r="CM117" s="383" t="e">
        <f t="shared" si="201"/>
        <v>#DIV/0!</v>
      </c>
      <c r="CN117" s="383" t="e">
        <f t="shared" si="201"/>
        <v>#DIV/0!</v>
      </c>
      <c r="CO117" s="383" t="e">
        <f t="shared" si="201"/>
        <v>#DIV/0!</v>
      </c>
      <c r="CP117" s="383" t="e">
        <f t="shared" si="201"/>
        <v>#DIV/0!</v>
      </c>
      <c r="CQ117" s="383" t="e">
        <f t="shared" si="201"/>
        <v>#DIV/0!</v>
      </c>
    </row>
    <row r="118" spans="3:95">
      <c r="C118" s="391">
        <v>1</v>
      </c>
      <c r="D118" s="391" t="s">
        <v>1404</v>
      </c>
      <c r="E118" s="391">
        <v>1</v>
      </c>
      <c r="F118" s="391" t="s">
        <v>1404</v>
      </c>
      <c r="G118" s="391">
        <v>1</v>
      </c>
      <c r="H118" s="391" t="s">
        <v>1404</v>
      </c>
      <c r="I118" s="391">
        <v>1</v>
      </c>
      <c r="J118" s="391" t="s">
        <v>1404</v>
      </c>
      <c r="K118" s="382" t="s">
        <v>1390</v>
      </c>
      <c r="L118" s="382" t="s">
        <v>1390</v>
      </c>
      <c r="M118" s="391">
        <v>3</v>
      </c>
      <c r="N118" s="391" t="s">
        <v>1404</v>
      </c>
      <c r="O118" s="382" t="s">
        <v>1390</v>
      </c>
      <c r="P118" s="382" t="s">
        <v>1390</v>
      </c>
      <c r="R118" s="386" t="s">
        <v>1399</v>
      </c>
      <c r="S118" s="383" t="e">
        <f t="shared" si="207"/>
        <v>#DIV/0!</v>
      </c>
      <c r="T118" s="383" t="e">
        <f t="shared" si="207"/>
        <v>#DIV/0!</v>
      </c>
      <c r="U118" s="383" t="e">
        <f t="shared" si="207"/>
        <v>#DIV/0!</v>
      </c>
      <c r="V118" s="383" t="e">
        <f t="shared" si="207"/>
        <v>#DIV/0!</v>
      </c>
      <c r="W118" s="383" t="e">
        <f t="shared" si="207"/>
        <v>#DIV/0!</v>
      </c>
      <c r="X118" s="383" t="e">
        <f t="shared" si="207"/>
        <v>#DIV/0!</v>
      </c>
      <c r="Y118" s="383" t="e">
        <f t="shared" si="207"/>
        <v>#DIV/0!</v>
      </c>
      <c r="Z118" s="383" t="e">
        <f t="shared" si="207"/>
        <v>#DIV/0!</v>
      </c>
      <c r="AA118" s="383" t="e">
        <f t="shared" si="207"/>
        <v>#DIV/0!</v>
      </c>
      <c r="AB118" s="383" t="e">
        <f t="shared" si="207"/>
        <v>#DIV/0!</v>
      </c>
      <c r="AC118" s="383" t="e">
        <f t="shared" si="207"/>
        <v>#DIV/0!</v>
      </c>
      <c r="AD118" s="383" t="e">
        <f t="shared" si="207"/>
        <v>#DIV/0!</v>
      </c>
      <c r="AE118" s="386">
        <v>3</v>
      </c>
      <c r="AF118" s="383" t="e">
        <f t="shared" si="208"/>
        <v>#DIV/0!</v>
      </c>
      <c r="AG118" s="383" t="e">
        <f t="shared" si="208"/>
        <v>#DIV/0!</v>
      </c>
      <c r="AH118" s="383" t="e">
        <f t="shared" si="208"/>
        <v>#DIV/0!</v>
      </c>
      <c r="AI118" s="383" t="e">
        <f t="shared" si="208"/>
        <v>#DIV/0!</v>
      </c>
      <c r="AJ118" s="383" t="e">
        <f t="shared" si="208"/>
        <v>#DIV/0!</v>
      </c>
      <c r="AK118" s="383" t="e">
        <f t="shared" si="208"/>
        <v>#DIV/0!</v>
      </c>
      <c r="AL118" s="383" t="e">
        <f t="shared" si="208"/>
        <v>#DIV/0!</v>
      </c>
      <c r="AM118" s="383" t="e">
        <f t="shared" si="208"/>
        <v>#DIV/0!</v>
      </c>
      <c r="AN118" s="383" t="e">
        <f t="shared" si="208"/>
        <v>#DIV/0!</v>
      </c>
      <c r="AO118" s="383" t="e">
        <f t="shared" si="208"/>
        <v>#DIV/0!</v>
      </c>
      <c r="AP118" s="383" t="e">
        <f t="shared" si="208"/>
        <v>#DIV/0!</v>
      </c>
      <c r="AQ118" s="383" t="e">
        <f t="shared" si="208"/>
        <v>#DIV/0!</v>
      </c>
      <c r="AR118" s="386">
        <v>0</v>
      </c>
      <c r="AS118" s="383" t="e">
        <f t="shared" si="182"/>
        <v>#DIV/0!</v>
      </c>
      <c r="AT118" s="383" t="e">
        <f t="shared" si="182"/>
        <v>#DIV/0!</v>
      </c>
      <c r="AU118" s="383" t="e">
        <f t="shared" si="182"/>
        <v>#DIV/0!</v>
      </c>
      <c r="AV118" s="383" t="e">
        <f t="shared" si="182"/>
        <v>#DIV/0!</v>
      </c>
      <c r="AW118" s="383" t="e">
        <f t="shared" si="182"/>
        <v>#DIV/0!</v>
      </c>
      <c r="AX118" s="383" t="e">
        <f t="shared" si="182"/>
        <v>#DIV/0!</v>
      </c>
      <c r="AY118" s="383" t="e">
        <f t="shared" si="182"/>
        <v>#DIV/0!</v>
      </c>
      <c r="AZ118" s="383" t="e">
        <f t="shared" si="182"/>
        <v>#DIV/0!</v>
      </c>
      <c r="BA118" s="383" t="e">
        <f t="shared" si="182"/>
        <v>#DIV/0!</v>
      </c>
      <c r="BB118" s="383" t="e">
        <f t="shared" si="182"/>
        <v>#DIV/0!</v>
      </c>
      <c r="BC118" s="383" t="e">
        <f t="shared" si="182"/>
        <v>#DIV/0!</v>
      </c>
      <c r="BD118" s="383" t="e">
        <f t="shared" si="182"/>
        <v>#DIV/0!</v>
      </c>
      <c r="BE118" s="386" t="s">
        <v>1390</v>
      </c>
      <c r="BF118" s="383" t="e">
        <f t="shared" si="205"/>
        <v>#DIV/0!</v>
      </c>
      <c r="BG118" s="383" t="e">
        <f t="shared" si="205"/>
        <v>#DIV/0!</v>
      </c>
      <c r="BH118" s="383" t="e">
        <f t="shared" si="205"/>
        <v>#DIV/0!</v>
      </c>
      <c r="BI118" s="383" t="e">
        <f t="shared" si="205"/>
        <v>#DIV/0!</v>
      </c>
      <c r="BJ118" s="383" t="e">
        <f t="shared" si="205"/>
        <v>#DIV/0!</v>
      </c>
      <c r="BK118" s="383" t="e">
        <f t="shared" si="205"/>
        <v>#DIV/0!</v>
      </c>
      <c r="BL118" s="383" t="e">
        <f t="shared" si="205"/>
        <v>#DIV/0!</v>
      </c>
      <c r="BM118" s="383" t="e">
        <f t="shared" si="205"/>
        <v>#DIV/0!</v>
      </c>
      <c r="BN118" s="383" t="e">
        <f t="shared" si="205"/>
        <v>#DIV/0!</v>
      </c>
      <c r="BO118" s="383" t="e">
        <f t="shared" si="205"/>
        <v>#DIV/0!</v>
      </c>
      <c r="BP118" s="383" t="e">
        <f t="shared" si="205"/>
        <v>#DIV/0!</v>
      </c>
      <c r="BQ118" s="383" t="e">
        <f t="shared" si="205"/>
        <v>#DIV/0!</v>
      </c>
      <c r="BR118" s="386" t="s">
        <v>1390</v>
      </c>
      <c r="BS118" s="383" t="e">
        <f t="shared" si="206"/>
        <v>#DIV/0!</v>
      </c>
      <c r="BT118" s="383" t="e">
        <f t="shared" si="203"/>
        <v>#DIV/0!</v>
      </c>
      <c r="BU118" s="383" t="e">
        <f t="shared" si="203"/>
        <v>#DIV/0!</v>
      </c>
      <c r="BV118" s="383" t="e">
        <f t="shared" si="203"/>
        <v>#DIV/0!</v>
      </c>
      <c r="BW118" s="383" t="e">
        <f t="shared" si="203"/>
        <v>#DIV/0!</v>
      </c>
      <c r="BX118" s="383" t="e">
        <f t="shared" si="203"/>
        <v>#DIV/0!</v>
      </c>
      <c r="BY118" s="383" t="e">
        <f t="shared" si="203"/>
        <v>#DIV/0!</v>
      </c>
      <c r="BZ118" s="383" t="e">
        <f t="shared" si="203"/>
        <v>#DIV/0!</v>
      </c>
      <c r="CA118" s="383" t="e">
        <f t="shared" si="203"/>
        <v>#DIV/0!</v>
      </c>
      <c r="CB118" s="383" t="e">
        <f t="shared" si="203"/>
        <v>#DIV/0!</v>
      </c>
      <c r="CC118" s="383" t="e">
        <f t="shared" si="203"/>
        <v>#DIV/0!</v>
      </c>
      <c r="CD118" s="383" t="e">
        <f t="shared" si="203"/>
        <v>#DIV/0!</v>
      </c>
      <c r="CE118" s="386" t="s">
        <v>1390</v>
      </c>
      <c r="CF118" s="383" t="e">
        <f t="shared" si="201"/>
        <v>#DIV/0!</v>
      </c>
      <c r="CG118" s="383" t="e">
        <f t="shared" si="201"/>
        <v>#DIV/0!</v>
      </c>
      <c r="CH118" s="383" t="e">
        <f t="shared" si="201"/>
        <v>#DIV/0!</v>
      </c>
      <c r="CI118" s="383" t="e">
        <f t="shared" si="201"/>
        <v>#DIV/0!</v>
      </c>
      <c r="CJ118" s="383" t="e">
        <f t="shared" si="201"/>
        <v>#DIV/0!</v>
      </c>
      <c r="CK118" s="383" t="e">
        <f t="shared" si="201"/>
        <v>#DIV/0!</v>
      </c>
      <c r="CL118" s="383" t="e">
        <f t="shared" si="201"/>
        <v>#DIV/0!</v>
      </c>
      <c r="CM118" s="383" t="e">
        <f t="shared" si="201"/>
        <v>#DIV/0!</v>
      </c>
      <c r="CN118" s="383" t="e">
        <f t="shared" si="201"/>
        <v>#DIV/0!</v>
      </c>
      <c r="CO118" s="383" t="e">
        <f t="shared" si="201"/>
        <v>#DIV/0!</v>
      </c>
      <c r="CP118" s="383" t="e">
        <f t="shared" si="201"/>
        <v>#DIV/0!</v>
      </c>
      <c r="CQ118" s="383" t="e">
        <f t="shared" si="201"/>
        <v>#DIV/0!</v>
      </c>
    </row>
    <row r="119" spans="3:95">
      <c r="C119" s="391">
        <v>1</v>
      </c>
      <c r="D119" s="391" t="s">
        <v>1404</v>
      </c>
      <c r="E119" s="391">
        <v>1</v>
      </c>
      <c r="F119" s="391" t="s">
        <v>1404</v>
      </c>
      <c r="G119" s="391">
        <v>1</v>
      </c>
      <c r="H119" s="391" t="s">
        <v>1404</v>
      </c>
      <c r="I119" s="391">
        <v>1</v>
      </c>
      <c r="J119" s="391" t="s">
        <v>1404</v>
      </c>
      <c r="K119" s="382" t="s">
        <v>1390</v>
      </c>
      <c r="L119" s="382" t="s">
        <v>1390</v>
      </c>
      <c r="M119" s="391">
        <v>3</v>
      </c>
      <c r="N119" s="391" t="s">
        <v>1404</v>
      </c>
      <c r="O119" s="391">
        <v>1</v>
      </c>
      <c r="P119" s="391" t="s">
        <v>1404</v>
      </c>
      <c r="R119" s="386" t="s">
        <v>1399</v>
      </c>
      <c r="S119" s="383" t="e">
        <f t="shared" si="207"/>
        <v>#DIV/0!</v>
      </c>
      <c r="T119" s="383" t="e">
        <f t="shared" si="207"/>
        <v>#DIV/0!</v>
      </c>
      <c r="U119" s="383" t="e">
        <f t="shared" si="207"/>
        <v>#DIV/0!</v>
      </c>
      <c r="V119" s="383" t="e">
        <f t="shared" si="207"/>
        <v>#DIV/0!</v>
      </c>
      <c r="W119" s="383" t="e">
        <f t="shared" si="207"/>
        <v>#DIV/0!</v>
      </c>
      <c r="X119" s="383" t="e">
        <f t="shared" si="207"/>
        <v>#DIV/0!</v>
      </c>
      <c r="Y119" s="383" t="e">
        <f t="shared" si="207"/>
        <v>#DIV/0!</v>
      </c>
      <c r="Z119" s="383" t="e">
        <f t="shared" si="207"/>
        <v>#DIV/0!</v>
      </c>
      <c r="AA119" s="383" t="e">
        <f t="shared" si="207"/>
        <v>#DIV/0!</v>
      </c>
      <c r="AB119" s="383" t="e">
        <f t="shared" si="207"/>
        <v>#DIV/0!</v>
      </c>
      <c r="AC119" s="383" t="e">
        <f t="shared" si="207"/>
        <v>#DIV/0!</v>
      </c>
      <c r="AD119" s="383" t="e">
        <f t="shared" si="207"/>
        <v>#DIV/0!</v>
      </c>
      <c r="AE119" s="386">
        <v>3</v>
      </c>
      <c r="AF119" s="383" t="e">
        <f t="shared" si="208"/>
        <v>#DIV/0!</v>
      </c>
      <c r="AG119" s="383" t="e">
        <f t="shared" si="208"/>
        <v>#DIV/0!</v>
      </c>
      <c r="AH119" s="383" t="e">
        <f t="shared" si="208"/>
        <v>#DIV/0!</v>
      </c>
      <c r="AI119" s="383" t="e">
        <f t="shared" si="208"/>
        <v>#DIV/0!</v>
      </c>
      <c r="AJ119" s="383" t="e">
        <f t="shared" si="208"/>
        <v>#DIV/0!</v>
      </c>
      <c r="AK119" s="383" t="e">
        <f t="shared" si="208"/>
        <v>#DIV/0!</v>
      </c>
      <c r="AL119" s="383" t="e">
        <f t="shared" si="208"/>
        <v>#DIV/0!</v>
      </c>
      <c r="AM119" s="383" t="e">
        <f t="shared" si="208"/>
        <v>#DIV/0!</v>
      </c>
      <c r="AN119" s="383" t="e">
        <f t="shared" si="208"/>
        <v>#DIV/0!</v>
      </c>
      <c r="AO119" s="383" t="e">
        <f t="shared" si="208"/>
        <v>#DIV/0!</v>
      </c>
      <c r="AP119" s="383" t="e">
        <f t="shared" si="208"/>
        <v>#DIV/0!</v>
      </c>
      <c r="AQ119" s="383" t="e">
        <f t="shared" si="208"/>
        <v>#DIV/0!</v>
      </c>
      <c r="AR119" s="386">
        <v>1</v>
      </c>
      <c r="AS119" s="383" t="e">
        <f t="shared" si="182"/>
        <v>#DIV/0!</v>
      </c>
      <c r="AT119" s="383" t="e">
        <f t="shared" si="182"/>
        <v>#DIV/0!</v>
      </c>
      <c r="AU119" s="383" t="e">
        <f t="shared" si="182"/>
        <v>#DIV/0!</v>
      </c>
      <c r="AV119" s="383" t="e">
        <f t="shared" si="182"/>
        <v>#DIV/0!</v>
      </c>
      <c r="AW119" s="383" t="e">
        <f t="shared" si="182"/>
        <v>#DIV/0!</v>
      </c>
      <c r="AX119" s="383" t="e">
        <f t="shared" si="182"/>
        <v>#DIV/0!</v>
      </c>
      <c r="AY119" s="383" t="e">
        <f t="shared" si="182"/>
        <v>#DIV/0!</v>
      </c>
      <c r="AZ119" s="383" t="e">
        <f t="shared" si="182"/>
        <v>#DIV/0!</v>
      </c>
      <c r="BA119" s="383" t="e">
        <f t="shared" si="182"/>
        <v>#DIV/0!</v>
      </c>
      <c r="BB119" s="383" t="e">
        <f t="shared" si="182"/>
        <v>#DIV/0!</v>
      </c>
      <c r="BC119" s="383" t="e">
        <f t="shared" si="182"/>
        <v>#DIV/0!</v>
      </c>
      <c r="BD119" s="383" t="e">
        <f t="shared" si="182"/>
        <v>#DIV/0!</v>
      </c>
      <c r="BE119" s="386" t="s">
        <v>1390</v>
      </c>
      <c r="BF119" s="383" t="e">
        <f t="shared" si="205"/>
        <v>#DIV/0!</v>
      </c>
      <c r="BG119" s="383" t="e">
        <f t="shared" si="205"/>
        <v>#DIV/0!</v>
      </c>
      <c r="BH119" s="383" t="e">
        <f t="shared" si="205"/>
        <v>#DIV/0!</v>
      </c>
      <c r="BI119" s="383" t="e">
        <f t="shared" si="205"/>
        <v>#DIV/0!</v>
      </c>
      <c r="BJ119" s="383" t="e">
        <f t="shared" si="205"/>
        <v>#DIV/0!</v>
      </c>
      <c r="BK119" s="383" t="e">
        <f t="shared" si="205"/>
        <v>#DIV/0!</v>
      </c>
      <c r="BL119" s="383" t="e">
        <f t="shared" si="205"/>
        <v>#DIV/0!</v>
      </c>
      <c r="BM119" s="383" t="e">
        <f t="shared" si="205"/>
        <v>#DIV/0!</v>
      </c>
      <c r="BN119" s="383" t="e">
        <f t="shared" si="205"/>
        <v>#DIV/0!</v>
      </c>
      <c r="BO119" s="383" t="e">
        <f t="shared" si="205"/>
        <v>#DIV/0!</v>
      </c>
      <c r="BP119" s="383" t="e">
        <f t="shared" si="205"/>
        <v>#DIV/0!</v>
      </c>
      <c r="BQ119" s="383" t="e">
        <f t="shared" si="205"/>
        <v>#DIV/0!</v>
      </c>
      <c r="BR119" s="386" t="s">
        <v>1390</v>
      </c>
      <c r="BS119" s="383" t="e">
        <f>IF(BF119="","","〇")</f>
        <v>#DIV/0!</v>
      </c>
      <c r="BT119" s="383" t="e">
        <f t="shared" si="203"/>
        <v>#DIV/0!</v>
      </c>
      <c r="BU119" s="383" t="e">
        <f t="shared" si="203"/>
        <v>#DIV/0!</v>
      </c>
      <c r="BV119" s="383" t="e">
        <f t="shared" si="203"/>
        <v>#DIV/0!</v>
      </c>
      <c r="BW119" s="383" t="e">
        <f t="shared" si="203"/>
        <v>#DIV/0!</v>
      </c>
      <c r="BX119" s="383" t="e">
        <f t="shared" si="203"/>
        <v>#DIV/0!</v>
      </c>
      <c r="BY119" s="383" t="e">
        <f t="shared" si="203"/>
        <v>#DIV/0!</v>
      </c>
      <c r="BZ119" s="383" t="e">
        <f t="shared" si="203"/>
        <v>#DIV/0!</v>
      </c>
      <c r="CA119" s="383" t="e">
        <f t="shared" si="203"/>
        <v>#DIV/0!</v>
      </c>
      <c r="CB119" s="383" t="e">
        <f t="shared" si="203"/>
        <v>#DIV/0!</v>
      </c>
      <c r="CC119" s="383" t="e">
        <f t="shared" si="203"/>
        <v>#DIV/0!</v>
      </c>
      <c r="CD119" s="383" t="e">
        <f t="shared" si="203"/>
        <v>#DIV/0!</v>
      </c>
      <c r="CE119" s="386" t="s">
        <v>1390</v>
      </c>
      <c r="CF119" s="383" t="e">
        <f t="shared" si="201"/>
        <v>#DIV/0!</v>
      </c>
      <c r="CG119" s="383" t="e">
        <f t="shared" si="201"/>
        <v>#DIV/0!</v>
      </c>
      <c r="CH119" s="383" t="e">
        <f t="shared" si="201"/>
        <v>#DIV/0!</v>
      </c>
      <c r="CI119" s="383" t="e">
        <f t="shared" si="201"/>
        <v>#DIV/0!</v>
      </c>
      <c r="CJ119" s="383" t="e">
        <f t="shared" si="201"/>
        <v>#DIV/0!</v>
      </c>
      <c r="CK119" s="383" t="e">
        <f t="shared" si="201"/>
        <v>#DIV/0!</v>
      </c>
      <c r="CL119" s="383" t="e">
        <f t="shared" si="201"/>
        <v>#DIV/0!</v>
      </c>
      <c r="CM119" s="383" t="e">
        <f t="shared" si="201"/>
        <v>#DIV/0!</v>
      </c>
      <c r="CN119" s="383" t="e">
        <f t="shared" si="201"/>
        <v>#DIV/0!</v>
      </c>
      <c r="CO119" s="383" t="e">
        <f t="shared" si="201"/>
        <v>#DIV/0!</v>
      </c>
      <c r="CP119" s="383" t="e">
        <f t="shared" si="201"/>
        <v>#DIV/0!</v>
      </c>
      <c r="CQ119" s="383" t="e">
        <f t="shared" si="201"/>
        <v>#DIV/0!</v>
      </c>
    </row>
    <row r="120" spans="3:95">
      <c r="C120" s="391">
        <v>1</v>
      </c>
      <c r="D120" s="391" t="s">
        <v>1404</v>
      </c>
      <c r="E120" s="391">
        <v>1</v>
      </c>
      <c r="F120" s="391" t="s">
        <v>1404</v>
      </c>
      <c r="G120" s="391">
        <v>1</v>
      </c>
      <c r="H120" s="391" t="s">
        <v>1404</v>
      </c>
      <c r="I120" s="391">
        <v>1</v>
      </c>
      <c r="J120" s="391" t="s">
        <v>1404</v>
      </c>
      <c r="K120" s="382" t="s">
        <v>1390</v>
      </c>
      <c r="L120" s="382" t="s">
        <v>1390</v>
      </c>
      <c r="M120" s="391">
        <v>4</v>
      </c>
      <c r="N120" s="391" t="s">
        <v>1404</v>
      </c>
      <c r="O120" s="382" t="s">
        <v>1390</v>
      </c>
      <c r="P120" s="382" t="s">
        <v>1390</v>
      </c>
      <c r="R120" s="386" t="s">
        <v>1399</v>
      </c>
      <c r="S120" s="383" t="e">
        <f t="shared" si="207"/>
        <v>#DIV/0!</v>
      </c>
      <c r="T120" s="383" t="e">
        <f t="shared" si="207"/>
        <v>#DIV/0!</v>
      </c>
      <c r="U120" s="383" t="e">
        <f t="shared" si="207"/>
        <v>#DIV/0!</v>
      </c>
      <c r="V120" s="383" t="e">
        <f t="shared" si="207"/>
        <v>#DIV/0!</v>
      </c>
      <c r="W120" s="383" t="e">
        <f t="shared" si="207"/>
        <v>#DIV/0!</v>
      </c>
      <c r="X120" s="383" t="e">
        <f t="shared" si="207"/>
        <v>#DIV/0!</v>
      </c>
      <c r="Y120" s="383" t="e">
        <f t="shared" si="207"/>
        <v>#DIV/0!</v>
      </c>
      <c r="Z120" s="383" t="e">
        <f t="shared" si="207"/>
        <v>#DIV/0!</v>
      </c>
      <c r="AA120" s="383" t="e">
        <f t="shared" si="207"/>
        <v>#DIV/0!</v>
      </c>
      <c r="AB120" s="383" t="e">
        <f t="shared" si="207"/>
        <v>#DIV/0!</v>
      </c>
      <c r="AC120" s="383" t="e">
        <f t="shared" si="207"/>
        <v>#DIV/0!</v>
      </c>
      <c r="AD120" s="383" t="e">
        <f t="shared" si="207"/>
        <v>#DIV/0!</v>
      </c>
      <c r="AE120" s="386">
        <v>4</v>
      </c>
      <c r="AF120" s="383" t="e">
        <f t="shared" si="208"/>
        <v>#DIV/0!</v>
      </c>
      <c r="AG120" s="383" t="e">
        <f t="shared" si="208"/>
        <v>#DIV/0!</v>
      </c>
      <c r="AH120" s="383" t="e">
        <f t="shared" si="208"/>
        <v>#DIV/0!</v>
      </c>
      <c r="AI120" s="383" t="e">
        <f t="shared" si="208"/>
        <v>#DIV/0!</v>
      </c>
      <c r="AJ120" s="383" t="e">
        <f t="shared" si="208"/>
        <v>#DIV/0!</v>
      </c>
      <c r="AK120" s="383" t="e">
        <f t="shared" si="208"/>
        <v>#DIV/0!</v>
      </c>
      <c r="AL120" s="383" t="e">
        <f t="shared" si="208"/>
        <v>#DIV/0!</v>
      </c>
      <c r="AM120" s="383" t="e">
        <f t="shared" si="208"/>
        <v>#DIV/0!</v>
      </c>
      <c r="AN120" s="383" t="e">
        <f t="shared" si="208"/>
        <v>#DIV/0!</v>
      </c>
      <c r="AO120" s="383" t="e">
        <f t="shared" si="208"/>
        <v>#DIV/0!</v>
      </c>
      <c r="AP120" s="383" t="e">
        <f t="shared" si="208"/>
        <v>#DIV/0!</v>
      </c>
      <c r="AQ120" s="383" t="e">
        <f t="shared" si="208"/>
        <v>#DIV/0!</v>
      </c>
      <c r="AR120" s="386">
        <v>0</v>
      </c>
      <c r="AS120" s="383" t="e">
        <f t="shared" si="182"/>
        <v>#DIV/0!</v>
      </c>
      <c r="AT120" s="383" t="e">
        <f t="shared" si="182"/>
        <v>#DIV/0!</v>
      </c>
      <c r="AU120" s="383" t="e">
        <f t="shared" si="182"/>
        <v>#DIV/0!</v>
      </c>
      <c r="AV120" s="383" t="e">
        <f t="shared" si="182"/>
        <v>#DIV/0!</v>
      </c>
      <c r="AW120" s="383" t="e">
        <f t="shared" si="182"/>
        <v>#DIV/0!</v>
      </c>
      <c r="AX120" s="383" t="e">
        <f t="shared" si="182"/>
        <v>#DIV/0!</v>
      </c>
      <c r="AY120" s="383" t="e">
        <f t="shared" si="182"/>
        <v>#DIV/0!</v>
      </c>
      <c r="AZ120" s="383" t="e">
        <f t="shared" si="182"/>
        <v>#DIV/0!</v>
      </c>
      <c r="BA120" s="383" t="e">
        <f t="shared" si="182"/>
        <v>#DIV/0!</v>
      </c>
      <c r="BB120" s="383" t="e">
        <f t="shared" si="182"/>
        <v>#DIV/0!</v>
      </c>
      <c r="BC120" s="383" t="e">
        <f t="shared" si="182"/>
        <v>#DIV/0!</v>
      </c>
      <c r="BD120" s="383" t="e">
        <f t="shared" si="182"/>
        <v>#DIV/0!</v>
      </c>
      <c r="BE120" s="386">
        <v>0</v>
      </c>
      <c r="BF120" s="383" t="e">
        <f t="shared" ref="BF120:BQ131" si="209">IF(AS120="","",IF(BF$18=$BE120,"〇",""))</f>
        <v>#DIV/0!</v>
      </c>
      <c r="BG120" s="383" t="e">
        <f t="shared" si="209"/>
        <v>#DIV/0!</v>
      </c>
      <c r="BH120" s="383" t="e">
        <f t="shared" si="209"/>
        <v>#DIV/0!</v>
      </c>
      <c r="BI120" s="383" t="e">
        <f t="shared" si="209"/>
        <v>#DIV/0!</v>
      </c>
      <c r="BJ120" s="383" t="e">
        <f t="shared" si="209"/>
        <v>#DIV/0!</v>
      </c>
      <c r="BK120" s="383" t="e">
        <f t="shared" si="209"/>
        <v>#DIV/0!</v>
      </c>
      <c r="BL120" s="383" t="e">
        <f t="shared" si="209"/>
        <v>#DIV/0!</v>
      </c>
      <c r="BM120" s="383" t="e">
        <f t="shared" si="209"/>
        <v>#DIV/0!</v>
      </c>
      <c r="BN120" s="383" t="e">
        <f t="shared" si="209"/>
        <v>#DIV/0!</v>
      </c>
      <c r="BO120" s="383" t="e">
        <f t="shared" si="209"/>
        <v>#DIV/0!</v>
      </c>
      <c r="BP120" s="383" t="e">
        <f t="shared" si="209"/>
        <v>#DIV/0!</v>
      </c>
      <c r="BQ120" s="383" t="e">
        <f t="shared" si="209"/>
        <v>#DIV/0!</v>
      </c>
      <c r="BR120" s="386">
        <v>0</v>
      </c>
      <c r="BS120" s="383" t="e">
        <f>IF(BF120="","",IF(BS$18=$BR120,"〇",""))</f>
        <v>#DIV/0!</v>
      </c>
      <c r="BT120" s="383" t="e">
        <f t="shared" ref="BT120:CD120" si="210">IF(BG120="","",IF(BT$18=$BR120,"〇",""))</f>
        <v>#DIV/0!</v>
      </c>
      <c r="BU120" s="383" t="e">
        <f t="shared" si="210"/>
        <v>#DIV/0!</v>
      </c>
      <c r="BV120" s="383" t="e">
        <f t="shared" si="210"/>
        <v>#DIV/0!</v>
      </c>
      <c r="BW120" s="383" t="e">
        <f t="shared" si="210"/>
        <v>#DIV/0!</v>
      </c>
      <c r="BX120" s="383" t="e">
        <f t="shared" si="210"/>
        <v>#DIV/0!</v>
      </c>
      <c r="BY120" s="383" t="e">
        <f t="shared" si="210"/>
        <v>#DIV/0!</v>
      </c>
      <c r="BZ120" s="383" t="e">
        <f t="shared" si="210"/>
        <v>#DIV/0!</v>
      </c>
      <c r="CA120" s="383" t="e">
        <f t="shared" si="210"/>
        <v>#DIV/0!</v>
      </c>
      <c r="CB120" s="383" t="e">
        <f t="shared" si="210"/>
        <v>#DIV/0!</v>
      </c>
      <c r="CC120" s="383" t="e">
        <f t="shared" si="210"/>
        <v>#DIV/0!</v>
      </c>
      <c r="CD120" s="383" t="e">
        <f t="shared" si="210"/>
        <v>#DIV/0!</v>
      </c>
      <c r="CE120" s="386">
        <v>0</v>
      </c>
      <c r="CF120" s="383" t="e">
        <f>IF(BS120="","",IF(CF$18=$CE120,"〇",""))</f>
        <v>#DIV/0!</v>
      </c>
      <c r="CG120" s="383" t="e">
        <f t="shared" ref="CG120:CQ120" si="211">IF(BT120="","",IF(CG$18=$CE120,"〇",""))</f>
        <v>#DIV/0!</v>
      </c>
      <c r="CH120" s="383" t="e">
        <f t="shared" si="211"/>
        <v>#DIV/0!</v>
      </c>
      <c r="CI120" s="383" t="e">
        <f t="shared" si="211"/>
        <v>#DIV/0!</v>
      </c>
      <c r="CJ120" s="383" t="e">
        <f t="shared" si="211"/>
        <v>#DIV/0!</v>
      </c>
      <c r="CK120" s="383" t="e">
        <f t="shared" si="211"/>
        <v>#DIV/0!</v>
      </c>
      <c r="CL120" s="383" t="e">
        <f t="shared" si="211"/>
        <v>#DIV/0!</v>
      </c>
      <c r="CM120" s="383" t="e">
        <f t="shared" si="211"/>
        <v>#DIV/0!</v>
      </c>
      <c r="CN120" s="383" t="e">
        <f t="shared" si="211"/>
        <v>#DIV/0!</v>
      </c>
      <c r="CO120" s="383" t="e">
        <f t="shared" si="211"/>
        <v>#DIV/0!</v>
      </c>
      <c r="CP120" s="383" t="e">
        <f t="shared" si="211"/>
        <v>#DIV/0!</v>
      </c>
      <c r="CQ120" s="383" t="e">
        <f t="shared" si="211"/>
        <v>#DIV/0!</v>
      </c>
    </row>
    <row r="121" spans="3:95">
      <c r="C121" s="391">
        <v>1</v>
      </c>
      <c r="D121" s="391" t="s">
        <v>1404</v>
      </c>
      <c r="E121" s="391">
        <v>1</v>
      </c>
      <c r="F121" s="391" t="s">
        <v>1404</v>
      </c>
      <c r="G121" s="391">
        <v>1</v>
      </c>
      <c r="H121" s="391" t="s">
        <v>1404</v>
      </c>
      <c r="I121" s="382" t="s">
        <v>1390</v>
      </c>
      <c r="J121" s="382" t="s">
        <v>1390</v>
      </c>
      <c r="K121" s="382" t="s">
        <v>1390</v>
      </c>
      <c r="L121" s="382" t="s">
        <v>1390</v>
      </c>
      <c r="M121" s="391">
        <v>4</v>
      </c>
      <c r="N121" s="391" t="s">
        <v>1404</v>
      </c>
      <c r="O121" s="391">
        <v>1</v>
      </c>
      <c r="P121" s="391" t="s">
        <v>1404</v>
      </c>
      <c r="R121" s="386" t="s">
        <v>1399</v>
      </c>
      <c r="S121" s="383" t="e">
        <f t="shared" si="207"/>
        <v>#DIV/0!</v>
      </c>
      <c r="T121" s="383" t="e">
        <f t="shared" si="207"/>
        <v>#DIV/0!</v>
      </c>
      <c r="U121" s="383" t="e">
        <f t="shared" si="207"/>
        <v>#DIV/0!</v>
      </c>
      <c r="V121" s="383" t="e">
        <f t="shared" si="207"/>
        <v>#DIV/0!</v>
      </c>
      <c r="W121" s="383" t="e">
        <f t="shared" si="207"/>
        <v>#DIV/0!</v>
      </c>
      <c r="X121" s="383" t="e">
        <f t="shared" si="207"/>
        <v>#DIV/0!</v>
      </c>
      <c r="Y121" s="383" t="e">
        <f t="shared" si="207"/>
        <v>#DIV/0!</v>
      </c>
      <c r="Z121" s="383" t="e">
        <f t="shared" si="207"/>
        <v>#DIV/0!</v>
      </c>
      <c r="AA121" s="383" t="e">
        <f t="shared" si="207"/>
        <v>#DIV/0!</v>
      </c>
      <c r="AB121" s="383" t="e">
        <f t="shared" si="207"/>
        <v>#DIV/0!</v>
      </c>
      <c r="AC121" s="383" t="e">
        <f t="shared" si="207"/>
        <v>#DIV/0!</v>
      </c>
      <c r="AD121" s="383" t="e">
        <f t="shared" si="207"/>
        <v>#DIV/0!</v>
      </c>
      <c r="AE121" s="386">
        <v>4</v>
      </c>
      <c r="AF121" s="383" t="e">
        <f t="shared" si="208"/>
        <v>#DIV/0!</v>
      </c>
      <c r="AG121" s="383" t="e">
        <f t="shared" si="208"/>
        <v>#DIV/0!</v>
      </c>
      <c r="AH121" s="383" t="e">
        <f t="shared" si="208"/>
        <v>#DIV/0!</v>
      </c>
      <c r="AI121" s="383" t="e">
        <f t="shared" si="208"/>
        <v>#DIV/0!</v>
      </c>
      <c r="AJ121" s="383" t="e">
        <f t="shared" si="208"/>
        <v>#DIV/0!</v>
      </c>
      <c r="AK121" s="383" t="e">
        <f t="shared" si="208"/>
        <v>#DIV/0!</v>
      </c>
      <c r="AL121" s="383" t="e">
        <f t="shared" si="208"/>
        <v>#DIV/0!</v>
      </c>
      <c r="AM121" s="383" t="e">
        <f t="shared" si="208"/>
        <v>#DIV/0!</v>
      </c>
      <c r="AN121" s="383" t="e">
        <f t="shared" si="208"/>
        <v>#DIV/0!</v>
      </c>
      <c r="AO121" s="383" t="e">
        <f t="shared" si="208"/>
        <v>#DIV/0!</v>
      </c>
      <c r="AP121" s="383" t="e">
        <f t="shared" si="208"/>
        <v>#DIV/0!</v>
      </c>
      <c r="AQ121" s="383" t="e">
        <f t="shared" si="208"/>
        <v>#DIV/0!</v>
      </c>
      <c r="AR121" s="386">
        <v>1</v>
      </c>
      <c r="AS121" s="383" t="e">
        <f t="shared" si="182"/>
        <v>#DIV/0!</v>
      </c>
      <c r="AT121" s="383" t="e">
        <f t="shared" si="182"/>
        <v>#DIV/0!</v>
      </c>
      <c r="AU121" s="383" t="e">
        <f t="shared" si="182"/>
        <v>#DIV/0!</v>
      </c>
      <c r="AV121" s="383" t="e">
        <f t="shared" si="182"/>
        <v>#DIV/0!</v>
      </c>
      <c r="AW121" s="383" t="e">
        <f t="shared" si="182"/>
        <v>#DIV/0!</v>
      </c>
      <c r="AX121" s="383" t="e">
        <f t="shared" si="182"/>
        <v>#DIV/0!</v>
      </c>
      <c r="AY121" s="383" t="e">
        <f t="shared" si="182"/>
        <v>#DIV/0!</v>
      </c>
      <c r="AZ121" s="383" t="e">
        <f t="shared" si="182"/>
        <v>#DIV/0!</v>
      </c>
      <c r="BA121" s="383" t="e">
        <f t="shared" si="182"/>
        <v>#DIV/0!</v>
      </c>
      <c r="BB121" s="383" t="e">
        <f t="shared" si="182"/>
        <v>#DIV/0!</v>
      </c>
      <c r="BC121" s="383" t="e">
        <f t="shared" si="182"/>
        <v>#DIV/0!</v>
      </c>
      <c r="BD121" s="383" t="e">
        <f t="shared" si="182"/>
        <v>#DIV/0!</v>
      </c>
      <c r="BE121" s="386">
        <v>0</v>
      </c>
      <c r="BF121" s="383" t="e">
        <f t="shared" si="209"/>
        <v>#DIV/0!</v>
      </c>
      <c r="BG121" s="383" t="e">
        <f t="shared" si="209"/>
        <v>#DIV/0!</v>
      </c>
      <c r="BH121" s="383" t="e">
        <f t="shared" si="209"/>
        <v>#DIV/0!</v>
      </c>
      <c r="BI121" s="383" t="e">
        <f t="shared" si="209"/>
        <v>#DIV/0!</v>
      </c>
      <c r="BJ121" s="383" t="e">
        <f t="shared" si="209"/>
        <v>#DIV/0!</v>
      </c>
      <c r="BK121" s="383" t="e">
        <f t="shared" si="209"/>
        <v>#DIV/0!</v>
      </c>
      <c r="BL121" s="383" t="e">
        <f t="shared" si="209"/>
        <v>#DIV/0!</v>
      </c>
      <c r="BM121" s="383" t="e">
        <f t="shared" si="209"/>
        <v>#DIV/0!</v>
      </c>
      <c r="BN121" s="383" t="e">
        <f t="shared" si="209"/>
        <v>#DIV/0!</v>
      </c>
      <c r="BO121" s="383" t="e">
        <f t="shared" si="209"/>
        <v>#DIV/0!</v>
      </c>
      <c r="BP121" s="383" t="e">
        <f t="shared" si="209"/>
        <v>#DIV/0!</v>
      </c>
      <c r="BQ121" s="383" t="e">
        <f t="shared" si="209"/>
        <v>#DIV/0!</v>
      </c>
      <c r="BR121" s="386" t="s">
        <v>1390</v>
      </c>
      <c r="BS121" s="383" t="e">
        <f>IF(BF121="","","〇")</f>
        <v>#DIV/0!</v>
      </c>
      <c r="BT121" s="383" t="e">
        <f t="shared" ref="BT121:CD121" si="212">IF(BG121="","","〇")</f>
        <v>#DIV/0!</v>
      </c>
      <c r="BU121" s="383" t="e">
        <f t="shared" si="212"/>
        <v>#DIV/0!</v>
      </c>
      <c r="BV121" s="383" t="e">
        <f t="shared" si="212"/>
        <v>#DIV/0!</v>
      </c>
      <c r="BW121" s="383" t="e">
        <f t="shared" si="212"/>
        <v>#DIV/0!</v>
      </c>
      <c r="BX121" s="383" t="e">
        <f t="shared" si="212"/>
        <v>#DIV/0!</v>
      </c>
      <c r="BY121" s="383" t="e">
        <f t="shared" si="212"/>
        <v>#DIV/0!</v>
      </c>
      <c r="BZ121" s="383" t="e">
        <f t="shared" si="212"/>
        <v>#DIV/0!</v>
      </c>
      <c r="CA121" s="383" t="e">
        <f t="shared" si="212"/>
        <v>#DIV/0!</v>
      </c>
      <c r="CB121" s="383" t="e">
        <f t="shared" si="212"/>
        <v>#DIV/0!</v>
      </c>
      <c r="CC121" s="383" t="e">
        <f t="shared" si="212"/>
        <v>#DIV/0!</v>
      </c>
      <c r="CD121" s="383" t="e">
        <f t="shared" si="212"/>
        <v>#DIV/0!</v>
      </c>
      <c r="CE121" s="386" t="s">
        <v>1390</v>
      </c>
      <c r="CF121" s="383" t="e">
        <f t="shared" ref="CF121:CQ121" si="213">IF(BS121="","","〇")</f>
        <v>#DIV/0!</v>
      </c>
      <c r="CG121" s="383" t="e">
        <f t="shared" si="213"/>
        <v>#DIV/0!</v>
      </c>
      <c r="CH121" s="383" t="e">
        <f t="shared" si="213"/>
        <v>#DIV/0!</v>
      </c>
      <c r="CI121" s="383" t="e">
        <f t="shared" si="213"/>
        <v>#DIV/0!</v>
      </c>
      <c r="CJ121" s="383" t="e">
        <f t="shared" si="213"/>
        <v>#DIV/0!</v>
      </c>
      <c r="CK121" s="383" t="e">
        <f t="shared" si="213"/>
        <v>#DIV/0!</v>
      </c>
      <c r="CL121" s="383" t="e">
        <f t="shared" si="213"/>
        <v>#DIV/0!</v>
      </c>
      <c r="CM121" s="383" t="e">
        <f t="shared" si="213"/>
        <v>#DIV/0!</v>
      </c>
      <c r="CN121" s="383" t="e">
        <f t="shared" si="213"/>
        <v>#DIV/0!</v>
      </c>
      <c r="CO121" s="383" t="e">
        <f t="shared" si="213"/>
        <v>#DIV/0!</v>
      </c>
      <c r="CP121" s="383" t="e">
        <f t="shared" si="213"/>
        <v>#DIV/0!</v>
      </c>
      <c r="CQ121" s="383" t="e">
        <f t="shared" si="213"/>
        <v>#DIV/0!</v>
      </c>
    </row>
    <row r="122" spans="3:95">
      <c r="C122" s="391">
        <v>1</v>
      </c>
      <c r="D122" s="391" t="s">
        <v>1404</v>
      </c>
      <c r="E122" s="391">
        <v>1</v>
      </c>
      <c r="F122" s="391" t="s">
        <v>1404</v>
      </c>
      <c r="G122" s="391">
        <v>1</v>
      </c>
      <c r="H122" s="391" t="s">
        <v>1404</v>
      </c>
      <c r="I122" s="387">
        <v>1</v>
      </c>
      <c r="J122" s="387" t="s">
        <v>1393</v>
      </c>
      <c r="K122" s="382" t="s">
        <v>1390</v>
      </c>
      <c r="L122" s="382" t="s">
        <v>1390</v>
      </c>
      <c r="M122" s="391">
        <v>4</v>
      </c>
      <c r="N122" s="391" t="s">
        <v>1404</v>
      </c>
      <c r="O122" s="391">
        <v>1</v>
      </c>
      <c r="P122" s="391" t="s">
        <v>1404</v>
      </c>
      <c r="R122" s="386" t="s">
        <v>1399</v>
      </c>
      <c r="S122" s="383" t="e">
        <f t="shared" si="207"/>
        <v>#DIV/0!</v>
      </c>
      <c r="T122" s="383" t="e">
        <f t="shared" si="207"/>
        <v>#DIV/0!</v>
      </c>
      <c r="U122" s="383" t="e">
        <f t="shared" si="207"/>
        <v>#DIV/0!</v>
      </c>
      <c r="V122" s="383" t="e">
        <f t="shared" si="207"/>
        <v>#DIV/0!</v>
      </c>
      <c r="W122" s="383" t="e">
        <f t="shared" si="207"/>
        <v>#DIV/0!</v>
      </c>
      <c r="X122" s="383" t="e">
        <f t="shared" si="207"/>
        <v>#DIV/0!</v>
      </c>
      <c r="Y122" s="383" t="e">
        <f t="shared" si="207"/>
        <v>#DIV/0!</v>
      </c>
      <c r="Z122" s="383" t="e">
        <f t="shared" si="207"/>
        <v>#DIV/0!</v>
      </c>
      <c r="AA122" s="383" t="e">
        <f t="shared" si="207"/>
        <v>#DIV/0!</v>
      </c>
      <c r="AB122" s="383" t="e">
        <f t="shared" si="207"/>
        <v>#DIV/0!</v>
      </c>
      <c r="AC122" s="383" t="e">
        <f t="shared" si="207"/>
        <v>#DIV/0!</v>
      </c>
      <c r="AD122" s="383" t="e">
        <f t="shared" si="207"/>
        <v>#DIV/0!</v>
      </c>
      <c r="AE122" s="386">
        <v>4</v>
      </c>
      <c r="AF122" s="383" t="e">
        <f t="shared" si="208"/>
        <v>#DIV/0!</v>
      </c>
      <c r="AG122" s="383" t="e">
        <f t="shared" si="208"/>
        <v>#DIV/0!</v>
      </c>
      <c r="AH122" s="383" t="e">
        <f t="shared" si="208"/>
        <v>#DIV/0!</v>
      </c>
      <c r="AI122" s="383" t="e">
        <f t="shared" si="208"/>
        <v>#DIV/0!</v>
      </c>
      <c r="AJ122" s="383" t="e">
        <f t="shared" si="208"/>
        <v>#DIV/0!</v>
      </c>
      <c r="AK122" s="383" t="e">
        <f t="shared" si="208"/>
        <v>#DIV/0!</v>
      </c>
      <c r="AL122" s="383" t="e">
        <f t="shared" si="208"/>
        <v>#DIV/0!</v>
      </c>
      <c r="AM122" s="383" t="e">
        <f t="shared" si="208"/>
        <v>#DIV/0!</v>
      </c>
      <c r="AN122" s="383" t="e">
        <f t="shared" si="208"/>
        <v>#DIV/0!</v>
      </c>
      <c r="AO122" s="383" t="e">
        <f t="shared" si="208"/>
        <v>#DIV/0!</v>
      </c>
      <c r="AP122" s="383" t="e">
        <f t="shared" si="208"/>
        <v>#DIV/0!</v>
      </c>
      <c r="AQ122" s="383" t="e">
        <f t="shared" si="208"/>
        <v>#DIV/0!</v>
      </c>
      <c r="AR122" s="386">
        <v>1</v>
      </c>
      <c r="AS122" s="383" t="e">
        <f t="shared" si="182"/>
        <v>#DIV/0!</v>
      </c>
      <c r="AT122" s="383" t="e">
        <f t="shared" si="182"/>
        <v>#DIV/0!</v>
      </c>
      <c r="AU122" s="383" t="e">
        <f t="shared" si="182"/>
        <v>#DIV/0!</v>
      </c>
      <c r="AV122" s="383" t="e">
        <f t="shared" ref="AV122:BD132" si="214">IF(AI122="","",IF(AV$18=$AR122,"〇",""))</f>
        <v>#DIV/0!</v>
      </c>
      <c r="AW122" s="383" t="e">
        <f t="shared" si="214"/>
        <v>#DIV/0!</v>
      </c>
      <c r="AX122" s="383" t="e">
        <f t="shared" si="214"/>
        <v>#DIV/0!</v>
      </c>
      <c r="AY122" s="383" t="e">
        <f t="shared" si="214"/>
        <v>#DIV/0!</v>
      </c>
      <c r="AZ122" s="383" t="e">
        <f t="shared" si="214"/>
        <v>#DIV/0!</v>
      </c>
      <c r="BA122" s="383" t="e">
        <f t="shared" si="214"/>
        <v>#DIV/0!</v>
      </c>
      <c r="BB122" s="383" t="e">
        <f t="shared" si="214"/>
        <v>#DIV/0!</v>
      </c>
      <c r="BC122" s="383" t="e">
        <f t="shared" si="214"/>
        <v>#DIV/0!</v>
      </c>
      <c r="BD122" s="383" t="e">
        <f t="shared" si="214"/>
        <v>#DIV/0!</v>
      </c>
      <c r="BE122" s="386">
        <v>0</v>
      </c>
      <c r="BF122" s="383" t="e">
        <f t="shared" si="209"/>
        <v>#DIV/0!</v>
      </c>
      <c r="BG122" s="383" t="e">
        <f t="shared" si="209"/>
        <v>#DIV/0!</v>
      </c>
      <c r="BH122" s="383" t="e">
        <f t="shared" si="209"/>
        <v>#DIV/0!</v>
      </c>
      <c r="BI122" s="383" t="e">
        <f t="shared" si="209"/>
        <v>#DIV/0!</v>
      </c>
      <c r="BJ122" s="383" t="e">
        <f t="shared" si="209"/>
        <v>#DIV/0!</v>
      </c>
      <c r="BK122" s="383" t="e">
        <f t="shared" si="209"/>
        <v>#DIV/0!</v>
      </c>
      <c r="BL122" s="383" t="e">
        <f t="shared" si="209"/>
        <v>#DIV/0!</v>
      </c>
      <c r="BM122" s="383" t="e">
        <f t="shared" si="209"/>
        <v>#DIV/0!</v>
      </c>
      <c r="BN122" s="383" t="e">
        <f t="shared" si="209"/>
        <v>#DIV/0!</v>
      </c>
      <c r="BO122" s="383" t="e">
        <f t="shared" si="209"/>
        <v>#DIV/0!</v>
      </c>
      <c r="BP122" s="383" t="e">
        <f t="shared" si="209"/>
        <v>#DIV/0!</v>
      </c>
      <c r="BQ122" s="383" t="e">
        <f t="shared" si="209"/>
        <v>#DIV/0!</v>
      </c>
      <c r="BR122" s="386">
        <v>0</v>
      </c>
      <c r="BS122" s="383" t="e">
        <f>IF(BF122="","",IF(BS$18=$BR122,"〇",""))</f>
        <v>#DIV/0!</v>
      </c>
      <c r="BT122" s="383" t="e">
        <f t="shared" ref="BT122:CD122" si="215">IF(BG122="","",IF(BT$18=$BR122,"〇",""))</f>
        <v>#DIV/0!</v>
      </c>
      <c r="BU122" s="383" t="e">
        <f t="shared" si="215"/>
        <v>#DIV/0!</v>
      </c>
      <c r="BV122" s="383" t="e">
        <f t="shared" si="215"/>
        <v>#DIV/0!</v>
      </c>
      <c r="BW122" s="383" t="e">
        <f t="shared" si="215"/>
        <v>#DIV/0!</v>
      </c>
      <c r="BX122" s="383" t="e">
        <f t="shared" si="215"/>
        <v>#DIV/0!</v>
      </c>
      <c r="BY122" s="383" t="e">
        <f t="shared" si="215"/>
        <v>#DIV/0!</v>
      </c>
      <c r="BZ122" s="383" t="e">
        <f t="shared" si="215"/>
        <v>#DIV/0!</v>
      </c>
      <c r="CA122" s="383" t="e">
        <f t="shared" si="215"/>
        <v>#DIV/0!</v>
      </c>
      <c r="CB122" s="383" t="e">
        <f t="shared" si="215"/>
        <v>#DIV/0!</v>
      </c>
      <c r="CC122" s="383" t="e">
        <f t="shared" si="215"/>
        <v>#DIV/0!</v>
      </c>
      <c r="CD122" s="383" t="e">
        <f t="shared" si="215"/>
        <v>#DIV/0!</v>
      </c>
      <c r="CE122" s="386" t="s">
        <v>1396</v>
      </c>
      <c r="CF122" s="383" t="e">
        <f>IF(BS122="","",IF(CF$18&gt;=1,"〇",""))</f>
        <v>#DIV/0!</v>
      </c>
      <c r="CG122" s="383" t="e">
        <f t="shared" ref="CG122:CQ122" si="216">IF(BT122="","",IF(CG$18&gt;=1,"〇",""))</f>
        <v>#DIV/0!</v>
      </c>
      <c r="CH122" s="383" t="e">
        <f t="shared" si="216"/>
        <v>#DIV/0!</v>
      </c>
      <c r="CI122" s="383" t="e">
        <f t="shared" si="216"/>
        <v>#DIV/0!</v>
      </c>
      <c r="CJ122" s="383" t="e">
        <f t="shared" si="216"/>
        <v>#DIV/0!</v>
      </c>
      <c r="CK122" s="383" t="e">
        <f t="shared" si="216"/>
        <v>#DIV/0!</v>
      </c>
      <c r="CL122" s="383" t="e">
        <f t="shared" si="216"/>
        <v>#DIV/0!</v>
      </c>
      <c r="CM122" s="383" t="e">
        <f t="shared" si="216"/>
        <v>#DIV/0!</v>
      </c>
      <c r="CN122" s="383" t="e">
        <f t="shared" si="216"/>
        <v>#DIV/0!</v>
      </c>
      <c r="CO122" s="383" t="e">
        <f t="shared" si="216"/>
        <v>#DIV/0!</v>
      </c>
      <c r="CP122" s="383" t="e">
        <f t="shared" si="216"/>
        <v>#DIV/0!</v>
      </c>
      <c r="CQ122" s="383" t="e">
        <f t="shared" si="216"/>
        <v>#DIV/0!</v>
      </c>
    </row>
    <row r="123" spans="3:95">
      <c r="C123" s="391">
        <v>1</v>
      </c>
      <c r="D123" s="391" t="s">
        <v>1404</v>
      </c>
      <c r="E123" s="391">
        <v>1</v>
      </c>
      <c r="F123" s="391" t="s">
        <v>1404</v>
      </c>
      <c r="G123" s="391">
        <v>1</v>
      </c>
      <c r="H123" s="391" t="s">
        <v>1404</v>
      </c>
      <c r="I123" s="389">
        <v>1</v>
      </c>
      <c r="J123" s="389" t="s">
        <v>1404</v>
      </c>
      <c r="K123" s="382" t="s">
        <v>1390</v>
      </c>
      <c r="L123" s="382" t="s">
        <v>1390</v>
      </c>
      <c r="M123" s="391">
        <v>4</v>
      </c>
      <c r="N123" s="391" t="s">
        <v>1404</v>
      </c>
      <c r="O123" s="391">
        <v>1</v>
      </c>
      <c r="P123" s="391" t="s">
        <v>1404</v>
      </c>
      <c r="R123" s="386" t="s">
        <v>1399</v>
      </c>
      <c r="S123" s="383" t="e">
        <f t="shared" si="207"/>
        <v>#DIV/0!</v>
      </c>
      <c r="T123" s="383" t="e">
        <f t="shared" si="207"/>
        <v>#DIV/0!</v>
      </c>
      <c r="U123" s="383" t="e">
        <f t="shared" si="207"/>
        <v>#DIV/0!</v>
      </c>
      <c r="V123" s="383" t="e">
        <f t="shared" si="207"/>
        <v>#DIV/0!</v>
      </c>
      <c r="W123" s="383" t="e">
        <f t="shared" si="207"/>
        <v>#DIV/0!</v>
      </c>
      <c r="X123" s="383" t="e">
        <f t="shared" si="207"/>
        <v>#DIV/0!</v>
      </c>
      <c r="Y123" s="383" t="e">
        <f t="shared" si="207"/>
        <v>#DIV/0!</v>
      </c>
      <c r="Z123" s="383" t="e">
        <f t="shared" si="207"/>
        <v>#DIV/0!</v>
      </c>
      <c r="AA123" s="383" t="e">
        <f t="shared" si="207"/>
        <v>#DIV/0!</v>
      </c>
      <c r="AB123" s="383" t="e">
        <f t="shared" si="207"/>
        <v>#DIV/0!</v>
      </c>
      <c r="AC123" s="383" t="e">
        <f t="shared" si="207"/>
        <v>#DIV/0!</v>
      </c>
      <c r="AD123" s="383" t="e">
        <f t="shared" si="207"/>
        <v>#DIV/0!</v>
      </c>
      <c r="AE123" s="386">
        <v>4</v>
      </c>
      <c r="AF123" s="383" t="e">
        <f t="shared" si="208"/>
        <v>#DIV/0!</v>
      </c>
      <c r="AG123" s="383" t="e">
        <f t="shared" si="208"/>
        <v>#DIV/0!</v>
      </c>
      <c r="AH123" s="383" t="e">
        <f t="shared" si="208"/>
        <v>#DIV/0!</v>
      </c>
      <c r="AI123" s="383" t="e">
        <f t="shared" si="208"/>
        <v>#DIV/0!</v>
      </c>
      <c r="AJ123" s="383" t="e">
        <f t="shared" si="208"/>
        <v>#DIV/0!</v>
      </c>
      <c r="AK123" s="383" t="e">
        <f t="shared" si="208"/>
        <v>#DIV/0!</v>
      </c>
      <c r="AL123" s="383" t="e">
        <f t="shared" si="208"/>
        <v>#DIV/0!</v>
      </c>
      <c r="AM123" s="383" t="e">
        <f t="shared" si="208"/>
        <v>#DIV/0!</v>
      </c>
      <c r="AN123" s="383" t="e">
        <f t="shared" si="208"/>
        <v>#DIV/0!</v>
      </c>
      <c r="AO123" s="383" t="e">
        <f t="shared" si="208"/>
        <v>#DIV/0!</v>
      </c>
      <c r="AP123" s="383" t="e">
        <f t="shared" si="208"/>
        <v>#DIV/0!</v>
      </c>
      <c r="AQ123" s="383" t="e">
        <f t="shared" si="208"/>
        <v>#DIV/0!</v>
      </c>
      <c r="AR123" s="386">
        <v>1</v>
      </c>
      <c r="AS123" s="383" t="e">
        <f t="shared" ref="AS123:AU132" si="217">IF(AF123="","",IF(AS$18=$AR123,"〇",""))</f>
        <v>#DIV/0!</v>
      </c>
      <c r="AT123" s="383" t="e">
        <f t="shared" si="217"/>
        <v>#DIV/0!</v>
      </c>
      <c r="AU123" s="383" t="e">
        <f t="shared" si="217"/>
        <v>#DIV/0!</v>
      </c>
      <c r="AV123" s="383" t="e">
        <f t="shared" si="214"/>
        <v>#DIV/0!</v>
      </c>
      <c r="AW123" s="383" t="e">
        <f t="shared" si="214"/>
        <v>#DIV/0!</v>
      </c>
      <c r="AX123" s="383" t="e">
        <f t="shared" si="214"/>
        <v>#DIV/0!</v>
      </c>
      <c r="AY123" s="383" t="e">
        <f t="shared" si="214"/>
        <v>#DIV/0!</v>
      </c>
      <c r="AZ123" s="383" t="e">
        <f t="shared" si="214"/>
        <v>#DIV/0!</v>
      </c>
      <c r="BA123" s="383" t="e">
        <f t="shared" si="214"/>
        <v>#DIV/0!</v>
      </c>
      <c r="BB123" s="383" t="e">
        <f t="shared" si="214"/>
        <v>#DIV/0!</v>
      </c>
      <c r="BC123" s="383" t="e">
        <f t="shared" si="214"/>
        <v>#DIV/0!</v>
      </c>
      <c r="BD123" s="383" t="e">
        <f t="shared" si="214"/>
        <v>#DIV/0!</v>
      </c>
      <c r="BE123" s="386">
        <v>0</v>
      </c>
      <c r="BF123" s="383" t="e">
        <f t="shared" si="209"/>
        <v>#DIV/0!</v>
      </c>
      <c r="BG123" s="383" t="e">
        <f t="shared" si="209"/>
        <v>#DIV/0!</v>
      </c>
      <c r="BH123" s="383" t="e">
        <f t="shared" si="209"/>
        <v>#DIV/0!</v>
      </c>
      <c r="BI123" s="383" t="e">
        <f t="shared" si="209"/>
        <v>#DIV/0!</v>
      </c>
      <c r="BJ123" s="383" t="e">
        <f t="shared" si="209"/>
        <v>#DIV/0!</v>
      </c>
      <c r="BK123" s="383" t="e">
        <f t="shared" si="209"/>
        <v>#DIV/0!</v>
      </c>
      <c r="BL123" s="383" t="e">
        <f t="shared" si="209"/>
        <v>#DIV/0!</v>
      </c>
      <c r="BM123" s="383" t="e">
        <f t="shared" si="209"/>
        <v>#DIV/0!</v>
      </c>
      <c r="BN123" s="383" t="e">
        <f t="shared" si="209"/>
        <v>#DIV/0!</v>
      </c>
      <c r="BO123" s="383" t="e">
        <f t="shared" si="209"/>
        <v>#DIV/0!</v>
      </c>
      <c r="BP123" s="383" t="e">
        <f t="shared" si="209"/>
        <v>#DIV/0!</v>
      </c>
      <c r="BQ123" s="383" t="e">
        <f t="shared" si="209"/>
        <v>#DIV/0!</v>
      </c>
      <c r="BR123" s="386" t="s">
        <v>1396</v>
      </c>
      <c r="BS123" s="383" t="e">
        <f>IF(BF123="","",IF(BS$18&gt;=1,"〇",""))</f>
        <v>#DIV/0!</v>
      </c>
      <c r="BT123" s="383" t="e">
        <f t="shared" ref="BT123:CD123" si="218">IF(BG123="","",IF(BT$18&gt;=1,"〇",""))</f>
        <v>#DIV/0!</v>
      </c>
      <c r="BU123" s="383" t="e">
        <f t="shared" si="218"/>
        <v>#DIV/0!</v>
      </c>
      <c r="BV123" s="383" t="e">
        <f t="shared" si="218"/>
        <v>#DIV/0!</v>
      </c>
      <c r="BW123" s="383" t="e">
        <f t="shared" si="218"/>
        <v>#DIV/0!</v>
      </c>
      <c r="BX123" s="383" t="e">
        <f t="shared" si="218"/>
        <v>#DIV/0!</v>
      </c>
      <c r="BY123" s="383" t="e">
        <f t="shared" si="218"/>
        <v>#DIV/0!</v>
      </c>
      <c r="BZ123" s="383" t="e">
        <f t="shared" si="218"/>
        <v>#DIV/0!</v>
      </c>
      <c r="CA123" s="383" t="e">
        <f t="shared" si="218"/>
        <v>#DIV/0!</v>
      </c>
      <c r="CB123" s="383" t="e">
        <f t="shared" si="218"/>
        <v>#DIV/0!</v>
      </c>
      <c r="CC123" s="383" t="e">
        <f t="shared" si="218"/>
        <v>#DIV/0!</v>
      </c>
      <c r="CD123" s="383" t="e">
        <f t="shared" si="218"/>
        <v>#DIV/0!</v>
      </c>
      <c r="CE123" s="386" t="s">
        <v>1390</v>
      </c>
      <c r="CF123" s="383" t="e">
        <f t="shared" ref="CF123:CQ124" si="219">IF(BS123="","","〇")</f>
        <v>#DIV/0!</v>
      </c>
      <c r="CG123" s="383" t="e">
        <f t="shared" si="219"/>
        <v>#DIV/0!</v>
      </c>
      <c r="CH123" s="383" t="e">
        <f t="shared" si="219"/>
        <v>#DIV/0!</v>
      </c>
      <c r="CI123" s="383" t="e">
        <f t="shared" si="219"/>
        <v>#DIV/0!</v>
      </c>
      <c r="CJ123" s="383" t="e">
        <f t="shared" si="219"/>
        <v>#DIV/0!</v>
      </c>
      <c r="CK123" s="383" t="e">
        <f t="shared" si="219"/>
        <v>#DIV/0!</v>
      </c>
      <c r="CL123" s="383" t="e">
        <f t="shared" si="219"/>
        <v>#DIV/0!</v>
      </c>
      <c r="CM123" s="383" t="e">
        <f t="shared" si="219"/>
        <v>#DIV/0!</v>
      </c>
      <c r="CN123" s="383" t="e">
        <f t="shared" si="219"/>
        <v>#DIV/0!</v>
      </c>
      <c r="CO123" s="383" t="e">
        <f t="shared" si="219"/>
        <v>#DIV/0!</v>
      </c>
      <c r="CP123" s="383" t="e">
        <f t="shared" si="219"/>
        <v>#DIV/0!</v>
      </c>
      <c r="CQ123" s="383" t="e">
        <f t="shared" si="219"/>
        <v>#DIV/0!</v>
      </c>
    </row>
    <row r="124" spans="3:95">
      <c r="C124" s="391">
        <v>1</v>
      </c>
      <c r="D124" s="391" t="s">
        <v>1404</v>
      </c>
      <c r="E124" s="391">
        <v>1</v>
      </c>
      <c r="F124" s="391" t="s">
        <v>1404</v>
      </c>
      <c r="G124" s="391">
        <v>1</v>
      </c>
      <c r="H124" s="391" t="s">
        <v>1404</v>
      </c>
      <c r="I124" s="390">
        <v>1</v>
      </c>
      <c r="J124" s="390" t="s">
        <v>1405</v>
      </c>
      <c r="K124" s="382" t="s">
        <v>1390</v>
      </c>
      <c r="L124" s="382" t="s">
        <v>1390</v>
      </c>
      <c r="M124" s="391">
        <v>4</v>
      </c>
      <c r="N124" s="391" t="s">
        <v>1404</v>
      </c>
      <c r="O124" s="391">
        <v>1</v>
      </c>
      <c r="P124" s="391" t="s">
        <v>1404</v>
      </c>
      <c r="R124" s="386" t="s">
        <v>1399</v>
      </c>
      <c r="S124" s="383" t="e">
        <f t="shared" si="207"/>
        <v>#DIV/0!</v>
      </c>
      <c r="T124" s="383" t="e">
        <f t="shared" si="207"/>
        <v>#DIV/0!</v>
      </c>
      <c r="U124" s="383" t="e">
        <f t="shared" si="207"/>
        <v>#DIV/0!</v>
      </c>
      <c r="V124" s="383" t="e">
        <f t="shared" si="207"/>
        <v>#DIV/0!</v>
      </c>
      <c r="W124" s="383" t="e">
        <f t="shared" si="207"/>
        <v>#DIV/0!</v>
      </c>
      <c r="X124" s="383" t="e">
        <f t="shared" si="207"/>
        <v>#DIV/0!</v>
      </c>
      <c r="Y124" s="383" t="e">
        <f t="shared" si="207"/>
        <v>#DIV/0!</v>
      </c>
      <c r="Z124" s="383" t="e">
        <f t="shared" si="207"/>
        <v>#DIV/0!</v>
      </c>
      <c r="AA124" s="383" t="e">
        <f t="shared" si="207"/>
        <v>#DIV/0!</v>
      </c>
      <c r="AB124" s="383" t="e">
        <f t="shared" si="207"/>
        <v>#DIV/0!</v>
      </c>
      <c r="AC124" s="383" t="e">
        <f t="shared" si="207"/>
        <v>#DIV/0!</v>
      </c>
      <c r="AD124" s="383" t="e">
        <f t="shared" si="207"/>
        <v>#DIV/0!</v>
      </c>
      <c r="AE124" s="386">
        <v>4</v>
      </c>
      <c r="AF124" s="383" t="e">
        <f t="shared" si="208"/>
        <v>#DIV/0!</v>
      </c>
      <c r="AG124" s="383" t="e">
        <f t="shared" si="208"/>
        <v>#DIV/0!</v>
      </c>
      <c r="AH124" s="383" t="e">
        <f t="shared" si="208"/>
        <v>#DIV/0!</v>
      </c>
      <c r="AI124" s="383" t="e">
        <f t="shared" si="208"/>
        <v>#DIV/0!</v>
      </c>
      <c r="AJ124" s="383" t="e">
        <f t="shared" si="208"/>
        <v>#DIV/0!</v>
      </c>
      <c r="AK124" s="383" t="e">
        <f t="shared" si="208"/>
        <v>#DIV/0!</v>
      </c>
      <c r="AL124" s="383" t="e">
        <f t="shared" si="208"/>
        <v>#DIV/0!</v>
      </c>
      <c r="AM124" s="383" t="e">
        <f t="shared" si="208"/>
        <v>#DIV/0!</v>
      </c>
      <c r="AN124" s="383" t="e">
        <f t="shared" si="208"/>
        <v>#DIV/0!</v>
      </c>
      <c r="AO124" s="383" t="e">
        <f t="shared" si="208"/>
        <v>#DIV/0!</v>
      </c>
      <c r="AP124" s="383" t="e">
        <f t="shared" si="208"/>
        <v>#DIV/0!</v>
      </c>
      <c r="AQ124" s="383" t="e">
        <f t="shared" si="208"/>
        <v>#DIV/0!</v>
      </c>
      <c r="AR124" s="386">
        <v>1</v>
      </c>
      <c r="AS124" s="383" t="e">
        <f t="shared" si="217"/>
        <v>#DIV/0!</v>
      </c>
      <c r="AT124" s="383" t="e">
        <f t="shared" si="217"/>
        <v>#DIV/0!</v>
      </c>
      <c r="AU124" s="383" t="e">
        <f t="shared" si="217"/>
        <v>#DIV/0!</v>
      </c>
      <c r="AV124" s="383" t="e">
        <f t="shared" si="214"/>
        <v>#DIV/0!</v>
      </c>
      <c r="AW124" s="383" t="e">
        <f t="shared" si="214"/>
        <v>#DIV/0!</v>
      </c>
      <c r="AX124" s="383" t="e">
        <f t="shared" si="214"/>
        <v>#DIV/0!</v>
      </c>
      <c r="AY124" s="383" t="e">
        <f t="shared" si="214"/>
        <v>#DIV/0!</v>
      </c>
      <c r="AZ124" s="383" t="e">
        <f t="shared" si="214"/>
        <v>#DIV/0!</v>
      </c>
      <c r="BA124" s="383" t="e">
        <f t="shared" si="214"/>
        <v>#DIV/0!</v>
      </c>
      <c r="BB124" s="383" t="e">
        <f t="shared" si="214"/>
        <v>#DIV/0!</v>
      </c>
      <c r="BC124" s="383" t="e">
        <f t="shared" si="214"/>
        <v>#DIV/0!</v>
      </c>
      <c r="BD124" s="383" t="e">
        <f t="shared" si="214"/>
        <v>#DIV/0!</v>
      </c>
      <c r="BE124" s="386" t="s">
        <v>1396</v>
      </c>
      <c r="BF124" s="383" t="e">
        <f>IF(AS124="","",IF(BF$18&gt;=1,"〇",""))</f>
        <v>#DIV/0!</v>
      </c>
      <c r="BG124" s="383" t="e">
        <f t="shared" ref="BG124:BQ124" si="220">IF(AT124="","",IF(BG$18&gt;=1,"〇",""))</f>
        <v>#DIV/0!</v>
      </c>
      <c r="BH124" s="383" t="e">
        <f t="shared" si="220"/>
        <v>#DIV/0!</v>
      </c>
      <c r="BI124" s="383" t="e">
        <f t="shared" si="220"/>
        <v>#DIV/0!</v>
      </c>
      <c r="BJ124" s="383" t="e">
        <f t="shared" si="220"/>
        <v>#DIV/0!</v>
      </c>
      <c r="BK124" s="383" t="e">
        <f t="shared" si="220"/>
        <v>#DIV/0!</v>
      </c>
      <c r="BL124" s="383" t="e">
        <f t="shared" si="220"/>
        <v>#DIV/0!</v>
      </c>
      <c r="BM124" s="383" t="e">
        <f t="shared" si="220"/>
        <v>#DIV/0!</v>
      </c>
      <c r="BN124" s="383" t="e">
        <f t="shared" si="220"/>
        <v>#DIV/0!</v>
      </c>
      <c r="BO124" s="383" t="e">
        <f t="shared" si="220"/>
        <v>#DIV/0!</v>
      </c>
      <c r="BP124" s="383" t="e">
        <f t="shared" si="220"/>
        <v>#DIV/0!</v>
      </c>
      <c r="BQ124" s="383" t="e">
        <f t="shared" si="220"/>
        <v>#DIV/0!</v>
      </c>
      <c r="BR124" s="386" t="s">
        <v>1390</v>
      </c>
      <c r="BS124" s="383" t="e">
        <f>IF(BF124="","","〇")</f>
        <v>#DIV/0!</v>
      </c>
      <c r="BT124" s="383" t="e">
        <f t="shared" ref="BT124:CD124" si="221">IF(BG124="","","〇")</f>
        <v>#DIV/0!</v>
      </c>
      <c r="BU124" s="383" t="e">
        <f t="shared" si="221"/>
        <v>#DIV/0!</v>
      </c>
      <c r="BV124" s="383" t="e">
        <f t="shared" si="221"/>
        <v>#DIV/0!</v>
      </c>
      <c r="BW124" s="383" t="e">
        <f t="shared" si="221"/>
        <v>#DIV/0!</v>
      </c>
      <c r="BX124" s="383" t="e">
        <f t="shared" si="221"/>
        <v>#DIV/0!</v>
      </c>
      <c r="BY124" s="383" t="e">
        <f t="shared" si="221"/>
        <v>#DIV/0!</v>
      </c>
      <c r="BZ124" s="383" t="e">
        <f t="shared" si="221"/>
        <v>#DIV/0!</v>
      </c>
      <c r="CA124" s="383" t="e">
        <f t="shared" si="221"/>
        <v>#DIV/0!</v>
      </c>
      <c r="CB124" s="383" t="e">
        <f t="shared" si="221"/>
        <v>#DIV/0!</v>
      </c>
      <c r="CC124" s="383" t="e">
        <f t="shared" si="221"/>
        <v>#DIV/0!</v>
      </c>
      <c r="CD124" s="383" t="e">
        <f t="shared" si="221"/>
        <v>#DIV/0!</v>
      </c>
      <c r="CE124" s="386" t="s">
        <v>1390</v>
      </c>
      <c r="CF124" s="383" t="e">
        <f t="shared" si="219"/>
        <v>#DIV/0!</v>
      </c>
      <c r="CG124" s="383" t="e">
        <f t="shared" si="219"/>
        <v>#DIV/0!</v>
      </c>
      <c r="CH124" s="383" t="e">
        <f t="shared" si="219"/>
        <v>#DIV/0!</v>
      </c>
      <c r="CI124" s="383" t="e">
        <f t="shared" si="219"/>
        <v>#DIV/0!</v>
      </c>
      <c r="CJ124" s="383" t="e">
        <f t="shared" si="219"/>
        <v>#DIV/0!</v>
      </c>
      <c r="CK124" s="383" t="e">
        <f t="shared" si="219"/>
        <v>#DIV/0!</v>
      </c>
      <c r="CL124" s="383" t="e">
        <f t="shared" si="219"/>
        <v>#DIV/0!</v>
      </c>
      <c r="CM124" s="383" t="e">
        <f t="shared" si="219"/>
        <v>#DIV/0!</v>
      </c>
      <c r="CN124" s="383" t="e">
        <f t="shared" si="219"/>
        <v>#DIV/0!</v>
      </c>
      <c r="CO124" s="383" t="e">
        <f t="shared" si="219"/>
        <v>#DIV/0!</v>
      </c>
      <c r="CP124" s="383" t="e">
        <f t="shared" si="219"/>
        <v>#DIV/0!</v>
      </c>
      <c r="CQ124" s="383" t="e">
        <f t="shared" si="219"/>
        <v>#DIV/0!</v>
      </c>
    </row>
    <row r="125" spans="3:95">
      <c r="C125" s="391">
        <v>1</v>
      </c>
      <c r="D125" s="391" t="s">
        <v>1404</v>
      </c>
      <c r="E125" s="391">
        <v>1</v>
      </c>
      <c r="F125" s="391" t="s">
        <v>1404</v>
      </c>
      <c r="G125" s="391">
        <v>1</v>
      </c>
      <c r="H125" s="391" t="s">
        <v>1404</v>
      </c>
      <c r="I125" s="382" t="s">
        <v>1390</v>
      </c>
      <c r="J125" s="382" t="s">
        <v>1390</v>
      </c>
      <c r="K125" s="382" t="s">
        <v>1390</v>
      </c>
      <c r="L125" s="382" t="s">
        <v>1390</v>
      </c>
      <c r="M125" s="391">
        <v>5</v>
      </c>
      <c r="N125" s="391" t="s">
        <v>1404</v>
      </c>
      <c r="O125" s="382" t="s">
        <v>1390</v>
      </c>
      <c r="P125" s="382" t="s">
        <v>1390</v>
      </c>
      <c r="R125" s="386" t="s">
        <v>1399</v>
      </c>
      <c r="S125" s="383" t="e">
        <f t="shared" si="207"/>
        <v>#DIV/0!</v>
      </c>
      <c r="T125" s="383" t="e">
        <f t="shared" si="207"/>
        <v>#DIV/0!</v>
      </c>
      <c r="U125" s="383" t="e">
        <f t="shared" si="207"/>
        <v>#DIV/0!</v>
      </c>
      <c r="V125" s="383" t="e">
        <f t="shared" si="207"/>
        <v>#DIV/0!</v>
      </c>
      <c r="W125" s="383" t="e">
        <f t="shared" si="207"/>
        <v>#DIV/0!</v>
      </c>
      <c r="X125" s="383" t="e">
        <f t="shared" si="207"/>
        <v>#DIV/0!</v>
      </c>
      <c r="Y125" s="383" t="e">
        <f t="shared" si="207"/>
        <v>#DIV/0!</v>
      </c>
      <c r="Z125" s="383" t="e">
        <f t="shared" si="207"/>
        <v>#DIV/0!</v>
      </c>
      <c r="AA125" s="383" t="e">
        <f t="shared" si="207"/>
        <v>#DIV/0!</v>
      </c>
      <c r="AB125" s="383" t="e">
        <f t="shared" si="207"/>
        <v>#DIV/0!</v>
      </c>
      <c r="AC125" s="383" t="e">
        <f t="shared" si="207"/>
        <v>#DIV/0!</v>
      </c>
      <c r="AD125" s="383" t="e">
        <f t="shared" si="207"/>
        <v>#DIV/0!</v>
      </c>
      <c r="AE125" s="386" t="s">
        <v>1400</v>
      </c>
      <c r="AF125" s="383" t="e">
        <f>IF(S125="","",IF(AF$18&gt;=5,"〇",""))</f>
        <v>#DIV/0!</v>
      </c>
      <c r="AG125" s="383" t="e">
        <f t="shared" ref="AG125:AQ132" si="222">IF(T125="","",IF(AG$18&gt;=5,"〇",""))</f>
        <v>#DIV/0!</v>
      </c>
      <c r="AH125" s="383" t="e">
        <f t="shared" si="222"/>
        <v>#DIV/0!</v>
      </c>
      <c r="AI125" s="383" t="e">
        <f t="shared" si="222"/>
        <v>#DIV/0!</v>
      </c>
      <c r="AJ125" s="383" t="e">
        <f t="shared" si="222"/>
        <v>#DIV/0!</v>
      </c>
      <c r="AK125" s="383" t="e">
        <f t="shared" si="222"/>
        <v>#DIV/0!</v>
      </c>
      <c r="AL125" s="383" t="e">
        <f t="shared" si="222"/>
        <v>#DIV/0!</v>
      </c>
      <c r="AM125" s="383" t="e">
        <f t="shared" si="222"/>
        <v>#DIV/0!</v>
      </c>
      <c r="AN125" s="383" t="e">
        <f t="shared" si="222"/>
        <v>#DIV/0!</v>
      </c>
      <c r="AO125" s="383" t="e">
        <f t="shared" si="222"/>
        <v>#DIV/0!</v>
      </c>
      <c r="AP125" s="383" t="e">
        <f t="shared" si="222"/>
        <v>#DIV/0!</v>
      </c>
      <c r="AQ125" s="383" t="e">
        <f t="shared" si="222"/>
        <v>#DIV/0!</v>
      </c>
      <c r="AR125" s="386">
        <v>0</v>
      </c>
      <c r="AS125" s="383" t="e">
        <f t="shared" si="217"/>
        <v>#DIV/0!</v>
      </c>
      <c r="AT125" s="383" t="e">
        <f t="shared" si="217"/>
        <v>#DIV/0!</v>
      </c>
      <c r="AU125" s="383" t="e">
        <f t="shared" si="217"/>
        <v>#DIV/0!</v>
      </c>
      <c r="AV125" s="383" t="e">
        <f t="shared" si="214"/>
        <v>#DIV/0!</v>
      </c>
      <c r="AW125" s="383" t="e">
        <f t="shared" si="214"/>
        <v>#DIV/0!</v>
      </c>
      <c r="AX125" s="383" t="e">
        <f t="shared" si="214"/>
        <v>#DIV/0!</v>
      </c>
      <c r="AY125" s="383" t="e">
        <f t="shared" si="214"/>
        <v>#DIV/0!</v>
      </c>
      <c r="AZ125" s="383" t="e">
        <f t="shared" si="214"/>
        <v>#DIV/0!</v>
      </c>
      <c r="BA125" s="383" t="e">
        <f t="shared" si="214"/>
        <v>#DIV/0!</v>
      </c>
      <c r="BB125" s="383" t="e">
        <f t="shared" si="214"/>
        <v>#DIV/0!</v>
      </c>
      <c r="BC125" s="383" t="e">
        <f t="shared" si="214"/>
        <v>#DIV/0!</v>
      </c>
      <c r="BD125" s="383" t="e">
        <f t="shared" si="214"/>
        <v>#DIV/0!</v>
      </c>
      <c r="BE125" s="386">
        <v>0</v>
      </c>
      <c r="BF125" s="383" t="e">
        <f t="shared" si="209"/>
        <v>#DIV/0!</v>
      </c>
      <c r="BG125" s="383" t="e">
        <f t="shared" si="209"/>
        <v>#DIV/0!</v>
      </c>
      <c r="BH125" s="383" t="e">
        <f t="shared" si="209"/>
        <v>#DIV/0!</v>
      </c>
      <c r="BI125" s="383" t="e">
        <f t="shared" si="209"/>
        <v>#DIV/0!</v>
      </c>
      <c r="BJ125" s="383" t="e">
        <f t="shared" si="209"/>
        <v>#DIV/0!</v>
      </c>
      <c r="BK125" s="383" t="e">
        <f t="shared" si="209"/>
        <v>#DIV/0!</v>
      </c>
      <c r="BL125" s="383" t="e">
        <f t="shared" si="209"/>
        <v>#DIV/0!</v>
      </c>
      <c r="BM125" s="383" t="e">
        <f t="shared" si="209"/>
        <v>#DIV/0!</v>
      </c>
      <c r="BN125" s="383" t="e">
        <f t="shared" si="209"/>
        <v>#DIV/0!</v>
      </c>
      <c r="BO125" s="383" t="e">
        <f t="shared" si="209"/>
        <v>#DIV/0!</v>
      </c>
      <c r="BP125" s="383" t="e">
        <f t="shared" si="209"/>
        <v>#DIV/0!</v>
      </c>
      <c r="BQ125" s="383" t="e">
        <f t="shared" si="209"/>
        <v>#DIV/0!</v>
      </c>
      <c r="BR125" s="386">
        <v>0</v>
      </c>
      <c r="BS125" s="383" t="e">
        <f>IF(BF125="","",IF(BS$18=$BR125,"〇",""))</f>
        <v>#DIV/0!</v>
      </c>
      <c r="BT125" s="383" t="e">
        <f t="shared" ref="BT125:CD126" si="223">IF(BG125="","",IF(BT$18=$BR125,"〇",""))</f>
        <v>#DIV/0!</v>
      </c>
      <c r="BU125" s="383" t="e">
        <f t="shared" si="223"/>
        <v>#DIV/0!</v>
      </c>
      <c r="BV125" s="383" t="e">
        <f t="shared" si="223"/>
        <v>#DIV/0!</v>
      </c>
      <c r="BW125" s="383" t="e">
        <f t="shared" si="223"/>
        <v>#DIV/0!</v>
      </c>
      <c r="BX125" s="383" t="e">
        <f t="shared" si="223"/>
        <v>#DIV/0!</v>
      </c>
      <c r="BY125" s="383" t="e">
        <f t="shared" si="223"/>
        <v>#DIV/0!</v>
      </c>
      <c r="BZ125" s="383" t="e">
        <f t="shared" si="223"/>
        <v>#DIV/0!</v>
      </c>
      <c r="CA125" s="383" t="e">
        <f t="shared" si="223"/>
        <v>#DIV/0!</v>
      </c>
      <c r="CB125" s="383" t="e">
        <f t="shared" si="223"/>
        <v>#DIV/0!</v>
      </c>
      <c r="CC125" s="383" t="e">
        <f t="shared" si="223"/>
        <v>#DIV/0!</v>
      </c>
      <c r="CD125" s="383" t="e">
        <f t="shared" si="223"/>
        <v>#DIV/0!</v>
      </c>
      <c r="CE125" s="386">
        <v>0</v>
      </c>
      <c r="CF125" s="383" t="e">
        <f>IF(BS125="","",IF(CF$18=$CE125,"〇",""))</f>
        <v>#DIV/0!</v>
      </c>
      <c r="CG125" s="383" t="e">
        <f t="shared" ref="CG125:CQ125" si="224">IF(BT125="","",IF(CG$18=$CE125,"〇",""))</f>
        <v>#DIV/0!</v>
      </c>
      <c r="CH125" s="383" t="e">
        <f t="shared" si="224"/>
        <v>#DIV/0!</v>
      </c>
      <c r="CI125" s="383" t="e">
        <f t="shared" si="224"/>
        <v>#DIV/0!</v>
      </c>
      <c r="CJ125" s="383" t="e">
        <f t="shared" si="224"/>
        <v>#DIV/0!</v>
      </c>
      <c r="CK125" s="383" t="e">
        <f t="shared" si="224"/>
        <v>#DIV/0!</v>
      </c>
      <c r="CL125" s="383" t="e">
        <f t="shared" si="224"/>
        <v>#DIV/0!</v>
      </c>
      <c r="CM125" s="383" t="e">
        <f t="shared" si="224"/>
        <v>#DIV/0!</v>
      </c>
      <c r="CN125" s="383" t="e">
        <f t="shared" si="224"/>
        <v>#DIV/0!</v>
      </c>
      <c r="CO125" s="383" t="e">
        <f t="shared" si="224"/>
        <v>#DIV/0!</v>
      </c>
      <c r="CP125" s="383" t="e">
        <f t="shared" si="224"/>
        <v>#DIV/0!</v>
      </c>
      <c r="CQ125" s="383" t="e">
        <f t="shared" si="224"/>
        <v>#DIV/0!</v>
      </c>
    </row>
    <row r="126" spans="3:95">
      <c r="C126" s="391">
        <v>1</v>
      </c>
      <c r="D126" s="391" t="s">
        <v>1404</v>
      </c>
      <c r="E126" s="391">
        <v>1</v>
      </c>
      <c r="F126" s="391" t="s">
        <v>1404</v>
      </c>
      <c r="G126" s="391">
        <v>1</v>
      </c>
      <c r="H126" s="391" t="s">
        <v>1404</v>
      </c>
      <c r="I126" s="387">
        <v>1</v>
      </c>
      <c r="J126" s="387" t="s">
        <v>1393</v>
      </c>
      <c r="K126" s="382" t="s">
        <v>1390</v>
      </c>
      <c r="L126" s="382" t="s">
        <v>1390</v>
      </c>
      <c r="M126" s="391">
        <v>5</v>
      </c>
      <c r="N126" s="391" t="s">
        <v>1404</v>
      </c>
      <c r="O126" s="382" t="s">
        <v>1390</v>
      </c>
      <c r="P126" s="382" t="s">
        <v>1390</v>
      </c>
      <c r="R126" s="386" t="s">
        <v>1399</v>
      </c>
      <c r="S126" s="383" t="e">
        <f t="shared" si="207"/>
        <v>#DIV/0!</v>
      </c>
      <c r="T126" s="383" t="e">
        <f t="shared" si="207"/>
        <v>#DIV/0!</v>
      </c>
      <c r="U126" s="383" t="e">
        <f t="shared" si="207"/>
        <v>#DIV/0!</v>
      </c>
      <c r="V126" s="383" t="e">
        <f t="shared" si="207"/>
        <v>#DIV/0!</v>
      </c>
      <c r="W126" s="383" t="e">
        <f t="shared" si="207"/>
        <v>#DIV/0!</v>
      </c>
      <c r="X126" s="383" t="e">
        <f t="shared" si="207"/>
        <v>#DIV/0!</v>
      </c>
      <c r="Y126" s="383" t="e">
        <f t="shared" si="207"/>
        <v>#DIV/0!</v>
      </c>
      <c r="Z126" s="383" t="e">
        <f t="shared" si="207"/>
        <v>#DIV/0!</v>
      </c>
      <c r="AA126" s="383" t="e">
        <f t="shared" si="207"/>
        <v>#DIV/0!</v>
      </c>
      <c r="AB126" s="383" t="e">
        <f t="shared" si="207"/>
        <v>#DIV/0!</v>
      </c>
      <c r="AC126" s="383" t="e">
        <f t="shared" si="207"/>
        <v>#DIV/0!</v>
      </c>
      <c r="AD126" s="383" t="e">
        <f t="shared" si="207"/>
        <v>#DIV/0!</v>
      </c>
      <c r="AE126" s="386" t="s">
        <v>1400</v>
      </c>
      <c r="AF126" s="383" t="e">
        <f t="shared" ref="AF126:AF132" si="225">IF(S126="","",IF(AF$18&gt;=5,"〇",""))</f>
        <v>#DIV/0!</v>
      </c>
      <c r="AG126" s="383" t="e">
        <f t="shared" si="222"/>
        <v>#DIV/0!</v>
      </c>
      <c r="AH126" s="383" t="e">
        <f t="shared" si="222"/>
        <v>#DIV/0!</v>
      </c>
      <c r="AI126" s="383" t="e">
        <f t="shared" si="222"/>
        <v>#DIV/0!</v>
      </c>
      <c r="AJ126" s="383" t="e">
        <f t="shared" si="222"/>
        <v>#DIV/0!</v>
      </c>
      <c r="AK126" s="383" t="e">
        <f t="shared" si="222"/>
        <v>#DIV/0!</v>
      </c>
      <c r="AL126" s="383" t="e">
        <f t="shared" si="222"/>
        <v>#DIV/0!</v>
      </c>
      <c r="AM126" s="383" t="e">
        <f t="shared" si="222"/>
        <v>#DIV/0!</v>
      </c>
      <c r="AN126" s="383" t="e">
        <f t="shared" si="222"/>
        <v>#DIV/0!</v>
      </c>
      <c r="AO126" s="383" t="e">
        <f t="shared" si="222"/>
        <v>#DIV/0!</v>
      </c>
      <c r="AP126" s="383" t="e">
        <f t="shared" si="222"/>
        <v>#DIV/0!</v>
      </c>
      <c r="AQ126" s="383" t="e">
        <f t="shared" si="222"/>
        <v>#DIV/0!</v>
      </c>
      <c r="AR126" s="386">
        <v>0</v>
      </c>
      <c r="AS126" s="383" t="e">
        <f t="shared" si="217"/>
        <v>#DIV/0!</v>
      </c>
      <c r="AT126" s="383" t="e">
        <f t="shared" si="217"/>
        <v>#DIV/0!</v>
      </c>
      <c r="AU126" s="383" t="e">
        <f t="shared" si="217"/>
        <v>#DIV/0!</v>
      </c>
      <c r="AV126" s="383" t="e">
        <f t="shared" si="214"/>
        <v>#DIV/0!</v>
      </c>
      <c r="AW126" s="383" t="e">
        <f t="shared" si="214"/>
        <v>#DIV/0!</v>
      </c>
      <c r="AX126" s="383" t="e">
        <f t="shared" si="214"/>
        <v>#DIV/0!</v>
      </c>
      <c r="AY126" s="383" t="e">
        <f t="shared" si="214"/>
        <v>#DIV/0!</v>
      </c>
      <c r="AZ126" s="383" t="e">
        <f t="shared" si="214"/>
        <v>#DIV/0!</v>
      </c>
      <c r="BA126" s="383" t="e">
        <f t="shared" si="214"/>
        <v>#DIV/0!</v>
      </c>
      <c r="BB126" s="383" t="e">
        <f t="shared" si="214"/>
        <v>#DIV/0!</v>
      </c>
      <c r="BC126" s="383" t="e">
        <f t="shared" si="214"/>
        <v>#DIV/0!</v>
      </c>
      <c r="BD126" s="383" t="e">
        <f t="shared" si="214"/>
        <v>#DIV/0!</v>
      </c>
      <c r="BE126" s="386">
        <v>0</v>
      </c>
      <c r="BF126" s="383" t="e">
        <f t="shared" si="209"/>
        <v>#DIV/0!</v>
      </c>
      <c r="BG126" s="383" t="e">
        <f t="shared" si="209"/>
        <v>#DIV/0!</v>
      </c>
      <c r="BH126" s="383" t="e">
        <f t="shared" si="209"/>
        <v>#DIV/0!</v>
      </c>
      <c r="BI126" s="383" t="e">
        <f t="shared" si="209"/>
        <v>#DIV/0!</v>
      </c>
      <c r="BJ126" s="383" t="e">
        <f t="shared" si="209"/>
        <v>#DIV/0!</v>
      </c>
      <c r="BK126" s="383" t="e">
        <f t="shared" si="209"/>
        <v>#DIV/0!</v>
      </c>
      <c r="BL126" s="383" t="e">
        <f t="shared" si="209"/>
        <v>#DIV/0!</v>
      </c>
      <c r="BM126" s="383" t="e">
        <f t="shared" si="209"/>
        <v>#DIV/0!</v>
      </c>
      <c r="BN126" s="383" t="e">
        <f t="shared" si="209"/>
        <v>#DIV/0!</v>
      </c>
      <c r="BO126" s="383" t="e">
        <f t="shared" si="209"/>
        <v>#DIV/0!</v>
      </c>
      <c r="BP126" s="383" t="e">
        <f t="shared" si="209"/>
        <v>#DIV/0!</v>
      </c>
      <c r="BQ126" s="383" t="e">
        <f t="shared" si="209"/>
        <v>#DIV/0!</v>
      </c>
      <c r="BR126" s="386">
        <v>0</v>
      </c>
      <c r="BS126" s="383" t="e">
        <f>IF(BF126="","",IF(BS$18=$BR126,"〇",""))</f>
        <v>#DIV/0!</v>
      </c>
      <c r="BT126" s="383" t="e">
        <f t="shared" si="223"/>
        <v>#DIV/0!</v>
      </c>
      <c r="BU126" s="383" t="e">
        <f t="shared" si="223"/>
        <v>#DIV/0!</v>
      </c>
      <c r="BV126" s="383" t="e">
        <f t="shared" si="223"/>
        <v>#DIV/0!</v>
      </c>
      <c r="BW126" s="383" t="e">
        <f t="shared" si="223"/>
        <v>#DIV/0!</v>
      </c>
      <c r="BX126" s="383" t="e">
        <f t="shared" si="223"/>
        <v>#DIV/0!</v>
      </c>
      <c r="BY126" s="383" t="e">
        <f t="shared" si="223"/>
        <v>#DIV/0!</v>
      </c>
      <c r="BZ126" s="383" t="e">
        <f t="shared" si="223"/>
        <v>#DIV/0!</v>
      </c>
      <c r="CA126" s="383" t="e">
        <f t="shared" si="223"/>
        <v>#DIV/0!</v>
      </c>
      <c r="CB126" s="383" t="e">
        <f t="shared" si="223"/>
        <v>#DIV/0!</v>
      </c>
      <c r="CC126" s="383" t="e">
        <f t="shared" si="223"/>
        <v>#DIV/0!</v>
      </c>
      <c r="CD126" s="383" t="e">
        <f t="shared" si="223"/>
        <v>#DIV/0!</v>
      </c>
      <c r="CE126" s="386" t="s">
        <v>1396</v>
      </c>
      <c r="CF126" s="383" t="e">
        <f>IF(BS126="","",IF(CF$18&gt;=1,"〇",""))</f>
        <v>#DIV/0!</v>
      </c>
      <c r="CG126" s="383" t="e">
        <f t="shared" ref="CG126:CQ126" si="226">IF(BT126="","",IF(CG$18&gt;=1,"〇",""))</f>
        <v>#DIV/0!</v>
      </c>
      <c r="CH126" s="383" t="e">
        <f t="shared" si="226"/>
        <v>#DIV/0!</v>
      </c>
      <c r="CI126" s="383" t="e">
        <f t="shared" si="226"/>
        <v>#DIV/0!</v>
      </c>
      <c r="CJ126" s="383" t="e">
        <f t="shared" si="226"/>
        <v>#DIV/0!</v>
      </c>
      <c r="CK126" s="383" t="e">
        <f t="shared" si="226"/>
        <v>#DIV/0!</v>
      </c>
      <c r="CL126" s="383" t="e">
        <f t="shared" si="226"/>
        <v>#DIV/0!</v>
      </c>
      <c r="CM126" s="383" t="e">
        <f t="shared" si="226"/>
        <v>#DIV/0!</v>
      </c>
      <c r="CN126" s="383" t="e">
        <f t="shared" si="226"/>
        <v>#DIV/0!</v>
      </c>
      <c r="CO126" s="383" t="e">
        <f t="shared" si="226"/>
        <v>#DIV/0!</v>
      </c>
      <c r="CP126" s="383" t="e">
        <f t="shared" si="226"/>
        <v>#DIV/0!</v>
      </c>
      <c r="CQ126" s="383" t="e">
        <f t="shared" si="226"/>
        <v>#DIV/0!</v>
      </c>
    </row>
    <row r="127" spans="3:95">
      <c r="C127" s="391">
        <v>1</v>
      </c>
      <c r="D127" s="391" t="s">
        <v>1404</v>
      </c>
      <c r="E127" s="391">
        <v>1</v>
      </c>
      <c r="F127" s="391" t="s">
        <v>1404</v>
      </c>
      <c r="G127" s="391">
        <v>1</v>
      </c>
      <c r="H127" s="391" t="s">
        <v>1404</v>
      </c>
      <c r="I127" s="389">
        <v>1</v>
      </c>
      <c r="J127" s="389" t="s">
        <v>1404</v>
      </c>
      <c r="K127" s="382" t="s">
        <v>1390</v>
      </c>
      <c r="L127" s="382" t="s">
        <v>1390</v>
      </c>
      <c r="M127" s="391">
        <v>5</v>
      </c>
      <c r="N127" s="391" t="s">
        <v>1404</v>
      </c>
      <c r="O127" s="382" t="s">
        <v>1390</v>
      </c>
      <c r="P127" s="382" t="s">
        <v>1390</v>
      </c>
      <c r="R127" s="386" t="s">
        <v>1399</v>
      </c>
      <c r="S127" s="383" t="e">
        <f t="shared" si="207"/>
        <v>#DIV/0!</v>
      </c>
      <c r="T127" s="383" t="e">
        <f t="shared" si="207"/>
        <v>#DIV/0!</v>
      </c>
      <c r="U127" s="383" t="e">
        <f t="shared" si="207"/>
        <v>#DIV/0!</v>
      </c>
      <c r="V127" s="383" t="e">
        <f t="shared" si="207"/>
        <v>#DIV/0!</v>
      </c>
      <c r="W127" s="383" t="e">
        <f t="shared" si="207"/>
        <v>#DIV/0!</v>
      </c>
      <c r="X127" s="383" t="e">
        <f t="shared" si="207"/>
        <v>#DIV/0!</v>
      </c>
      <c r="Y127" s="383" t="e">
        <f t="shared" si="207"/>
        <v>#DIV/0!</v>
      </c>
      <c r="Z127" s="383" t="e">
        <f t="shared" si="207"/>
        <v>#DIV/0!</v>
      </c>
      <c r="AA127" s="383" t="e">
        <f t="shared" si="207"/>
        <v>#DIV/0!</v>
      </c>
      <c r="AB127" s="383" t="e">
        <f t="shared" si="207"/>
        <v>#DIV/0!</v>
      </c>
      <c r="AC127" s="383" t="e">
        <f t="shared" si="207"/>
        <v>#DIV/0!</v>
      </c>
      <c r="AD127" s="383" t="e">
        <f t="shared" si="207"/>
        <v>#DIV/0!</v>
      </c>
      <c r="AE127" s="386" t="s">
        <v>1400</v>
      </c>
      <c r="AF127" s="383" t="e">
        <f t="shared" si="225"/>
        <v>#DIV/0!</v>
      </c>
      <c r="AG127" s="383" t="e">
        <f t="shared" si="222"/>
        <v>#DIV/0!</v>
      </c>
      <c r="AH127" s="383" t="e">
        <f t="shared" si="222"/>
        <v>#DIV/0!</v>
      </c>
      <c r="AI127" s="383" t="e">
        <f t="shared" si="222"/>
        <v>#DIV/0!</v>
      </c>
      <c r="AJ127" s="383" t="e">
        <f t="shared" si="222"/>
        <v>#DIV/0!</v>
      </c>
      <c r="AK127" s="383" t="e">
        <f t="shared" si="222"/>
        <v>#DIV/0!</v>
      </c>
      <c r="AL127" s="383" t="e">
        <f t="shared" si="222"/>
        <v>#DIV/0!</v>
      </c>
      <c r="AM127" s="383" t="e">
        <f t="shared" si="222"/>
        <v>#DIV/0!</v>
      </c>
      <c r="AN127" s="383" t="e">
        <f t="shared" si="222"/>
        <v>#DIV/0!</v>
      </c>
      <c r="AO127" s="383" t="e">
        <f t="shared" si="222"/>
        <v>#DIV/0!</v>
      </c>
      <c r="AP127" s="383" t="e">
        <f t="shared" si="222"/>
        <v>#DIV/0!</v>
      </c>
      <c r="AQ127" s="383" t="e">
        <f t="shared" si="222"/>
        <v>#DIV/0!</v>
      </c>
      <c r="AR127" s="386">
        <v>0</v>
      </c>
      <c r="AS127" s="383" t="e">
        <f t="shared" si="217"/>
        <v>#DIV/0!</v>
      </c>
      <c r="AT127" s="383" t="e">
        <f t="shared" si="217"/>
        <v>#DIV/0!</v>
      </c>
      <c r="AU127" s="383" t="e">
        <f t="shared" si="217"/>
        <v>#DIV/0!</v>
      </c>
      <c r="AV127" s="383" t="e">
        <f t="shared" si="214"/>
        <v>#DIV/0!</v>
      </c>
      <c r="AW127" s="383" t="e">
        <f t="shared" si="214"/>
        <v>#DIV/0!</v>
      </c>
      <c r="AX127" s="383" t="e">
        <f t="shared" si="214"/>
        <v>#DIV/0!</v>
      </c>
      <c r="AY127" s="383" t="e">
        <f t="shared" si="214"/>
        <v>#DIV/0!</v>
      </c>
      <c r="AZ127" s="383" t="e">
        <f t="shared" si="214"/>
        <v>#DIV/0!</v>
      </c>
      <c r="BA127" s="383" t="e">
        <f t="shared" si="214"/>
        <v>#DIV/0!</v>
      </c>
      <c r="BB127" s="383" t="e">
        <f t="shared" si="214"/>
        <v>#DIV/0!</v>
      </c>
      <c r="BC127" s="383" t="e">
        <f t="shared" si="214"/>
        <v>#DIV/0!</v>
      </c>
      <c r="BD127" s="383" t="e">
        <f t="shared" si="214"/>
        <v>#DIV/0!</v>
      </c>
      <c r="BE127" s="386">
        <v>0</v>
      </c>
      <c r="BF127" s="383" t="e">
        <f t="shared" si="209"/>
        <v>#DIV/0!</v>
      </c>
      <c r="BG127" s="383" t="e">
        <f t="shared" si="209"/>
        <v>#DIV/0!</v>
      </c>
      <c r="BH127" s="383" t="e">
        <f t="shared" si="209"/>
        <v>#DIV/0!</v>
      </c>
      <c r="BI127" s="383" t="e">
        <f t="shared" si="209"/>
        <v>#DIV/0!</v>
      </c>
      <c r="BJ127" s="383" t="e">
        <f t="shared" si="209"/>
        <v>#DIV/0!</v>
      </c>
      <c r="BK127" s="383" t="e">
        <f t="shared" si="209"/>
        <v>#DIV/0!</v>
      </c>
      <c r="BL127" s="383" t="e">
        <f t="shared" si="209"/>
        <v>#DIV/0!</v>
      </c>
      <c r="BM127" s="383" t="e">
        <f t="shared" si="209"/>
        <v>#DIV/0!</v>
      </c>
      <c r="BN127" s="383" t="e">
        <f t="shared" si="209"/>
        <v>#DIV/0!</v>
      </c>
      <c r="BO127" s="383" t="e">
        <f t="shared" si="209"/>
        <v>#DIV/0!</v>
      </c>
      <c r="BP127" s="383" t="e">
        <f t="shared" si="209"/>
        <v>#DIV/0!</v>
      </c>
      <c r="BQ127" s="383" t="e">
        <f t="shared" si="209"/>
        <v>#DIV/0!</v>
      </c>
      <c r="BR127" s="386" t="s">
        <v>1396</v>
      </c>
      <c r="BS127" s="383" t="e">
        <f>IF(BF127="","",IF(BS$18&gt;=1,"〇",""))</f>
        <v>#DIV/0!</v>
      </c>
      <c r="BT127" s="383" t="e">
        <f t="shared" ref="BT127:CD127" si="227">IF(BG127="","",IF(BT$18&gt;=1,"〇",""))</f>
        <v>#DIV/0!</v>
      </c>
      <c r="BU127" s="383" t="e">
        <f t="shared" si="227"/>
        <v>#DIV/0!</v>
      </c>
      <c r="BV127" s="383" t="e">
        <f t="shared" si="227"/>
        <v>#DIV/0!</v>
      </c>
      <c r="BW127" s="383" t="e">
        <f t="shared" si="227"/>
        <v>#DIV/0!</v>
      </c>
      <c r="BX127" s="383" t="e">
        <f t="shared" si="227"/>
        <v>#DIV/0!</v>
      </c>
      <c r="BY127" s="383" t="e">
        <f t="shared" si="227"/>
        <v>#DIV/0!</v>
      </c>
      <c r="BZ127" s="383" t="e">
        <f t="shared" si="227"/>
        <v>#DIV/0!</v>
      </c>
      <c r="CA127" s="383" t="e">
        <f t="shared" si="227"/>
        <v>#DIV/0!</v>
      </c>
      <c r="CB127" s="383" t="e">
        <f t="shared" si="227"/>
        <v>#DIV/0!</v>
      </c>
      <c r="CC127" s="383" t="e">
        <f t="shared" si="227"/>
        <v>#DIV/0!</v>
      </c>
      <c r="CD127" s="383" t="e">
        <f t="shared" si="227"/>
        <v>#DIV/0!</v>
      </c>
      <c r="CE127" s="386" t="s">
        <v>1390</v>
      </c>
      <c r="CF127" s="383" t="e">
        <f t="shared" ref="CF127:CQ128" si="228">IF(BS127="","","〇")</f>
        <v>#DIV/0!</v>
      </c>
      <c r="CG127" s="383" t="e">
        <f t="shared" si="228"/>
        <v>#DIV/0!</v>
      </c>
      <c r="CH127" s="383" t="e">
        <f t="shared" si="228"/>
        <v>#DIV/0!</v>
      </c>
      <c r="CI127" s="383" t="e">
        <f t="shared" si="228"/>
        <v>#DIV/0!</v>
      </c>
      <c r="CJ127" s="383" t="e">
        <f t="shared" si="228"/>
        <v>#DIV/0!</v>
      </c>
      <c r="CK127" s="383" t="e">
        <f t="shared" si="228"/>
        <v>#DIV/0!</v>
      </c>
      <c r="CL127" s="383" t="e">
        <f t="shared" si="228"/>
        <v>#DIV/0!</v>
      </c>
      <c r="CM127" s="383" t="e">
        <f t="shared" si="228"/>
        <v>#DIV/0!</v>
      </c>
      <c r="CN127" s="383" t="e">
        <f t="shared" si="228"/>
        <v>#DIV/0!</v>
      </c>
      <c r="CO127" s="383" t="e">
        <f t="shared" si="228"/>
        <v>#DIV/0!</v>
      </c>
      <c r="CP127" s="383" t="e">
        <f t="shared" si="228"/>
        <v>#DIV/0!</v>
      </c>
      <c r="CQ127" s="383" t="e">
        <f t="shared" si="228"/>
        <v>#DIV/0!</v>
      </c>
    </row>
    <row r="128" spans="3:95">
      <c r="C128" s="391">
        <v>1</v>
      </c>
      <c r="D128" s="391" t="s">
        <v>1404</v>
      </c>
      <c r="E128" s="391">
        <v>1</v>
      </c>
      <c r="F128" s="391" t="s">
        <v>1404</v>
      </c>
      <c r="G128" s="391">
        <v>1</v>
      </c>
      <c r="H128" s="391" t="s">
        <v>1404</v>
      </c>
      <c r="I128" s="390">
        <v>1</v>
      </c>
      <c r="J128" s="390" t="s">
        <v>1405</v>
      </c>
      <c r="K128" s="382" t="s">
        <v>1390</v>
      </c>
      <c r="L128" s="382" t="s">
        <v>1390</v>
      </c>
      <c r="M128" s="391">
        <v>5</v>
      </c>
      <c r="N128" s="391" t="s">
        <v>1404</v>
      </c>
      <c r="O128" s="382" t="s">
        <v>1390</v>
      </c>
      <c r="P128" s="382" t="s">
        <v>1390</v>
      </c>
      <c r="R128" s="386" t="s">
        <v>1399</v>
      </c>
      <c r="S128" s="383" t="e">
        <f t="shared" si="207"/>
        <v>#DIV/0!</v>
      </c>
      <c r="T128" s="383" t="e">
        <f t="shared" si="207"/>
        <v>#DIV/0!</v>
      </c>
      <c r="U128" s="383" t="e">
        <f t="shared" si="207"/>
        <v>#DIV/0!</v>
      </c>
      <c r="V128" s="383" t="e">
        <f t="shared" si="207"/>
        <v>#DIV/0!</v>
      </c>
      <c r="W128" s="383" t="e">
        <f t="shared" si="207"/>
        <v>#DIV/0!</v>
      </c>
      <c r="X128" s="383" t="e">
        <f t="shared" si="207"/>
        <v>#DIV/0!</v>
      </c>
      <c r="Y128" s="383" t="e">
        <f t="shared" si="207"/>
        <v>#DIV/0!</v>
      </c>
      <c r="Z128" s="383" t="e">
        <f t="shared" si="207"/>
        <v>#DIV/0!</v>
      </c>
      <c r="AA128" s="383" t="e">
        <f t="shared" si="207"/>
        <v>#DIV/0!</v>
      </c>
      <c r="AB128" s="383" t="e">
        <f t="shared" si="207"/>
        <v>#DIV/0!</v>
      </c>
      <c r="AC128" s="383" t="e">
        <f t="shared" si="207"/>
        <v>#DIV/0!</v>
      </c>
      <c r="AD128" s="383" t="e">
        <f t="shared" si="207"/>
        <v>#DIV/0!</v>
      </c>
      <c r="AE128" s="386" t="s">
        <v>1400</v>
      </c>
      <c r="AF128" s="383" t="e">
        <f t="shared" si="225"/>
        <v>#DIV/0!</v>
      </c>
      <c r="AG128" s="383" t="e">
        <f t="shared" si="222"/>
        <v>#DIV/0!</v>
      </c>
      <c r="AH128" s="383" t="e">
        <f t="shared" si="222"/>
        <v>#DIV/0!</v>
      </c>
      <c r="AI128" s="383" t="e">
        <f t="shared" si="222"/>
        <v>#DIV/0!</v>
      </c>
      <c r="AJ128" s="383" t="e">
        <f t="shared" si="222"/>
        <v>#DIV/0!</v>
      </c>
      <c r="AK128" s="383" t="e">
        <f t="shared" si="222"/>
        <v>#DIV/0!</v>
      </c>
      <c r="AL128" s="383" t="e">
        <f t="shared" si="222"/>
        <v>#DIV/0!</v>
      </c>
      <c r="AM128" s="383" t="e">
        <f t="shared" si="222"/>
        <v>#DIV/0!</v>
      </c>
      <c r="AN128" s="383" t="e">
        <f t="shared" si="222"/>
        <v>#DIV/0!</v>
      </c>
      <c r="AO128" s="383" t="e">
        <f t="shared" si="222"/>
        <v>#DIV/0!</v>
      </c>
      <c r="AP128" s="383" t="e">
        <f t="shared" si="222"/>
        <v>#DIV/0!</v>
      </c>
      <c r="AQ128" s="383" t="e">
        <f t="shared" si="222"/>
        <v>#DIV/0!</v>
      </c>
      <c r="AR128" s="386">
        <v>0</v>
      </c>
      <c r="AS128" s="383" t="e">
        <f t="shared" si="217"/>
        <v>#DIV/0!</v>
      </c>
      <c r="AT128" s="383" t="e">
        <f t="shared" si="217"/>
        <v>#DIV/0!</v>
      </c>
      <c r="AU128" s="383" t="e">
        <f t="shared" si="217"/>
        <v>#DIV/0!</v>
      </c>
      <c r="AV128" s="383" t="e">
        <f t="shared" si="214"/>
        <v>#DIV/0!</v>
      </c>
      <c r="AW128" s="383" t="e">
        <f t="shared" si="214"/>
        <v>#DIV/0!</v>
      </c>
      <c r="AX128" s="383" t="e">
        <f t="shared" si="214"/>
        <v>#DIV/0!</v>
      </c>
      <c r="AY128" s="383" t="e">
        <f t="shared" si="214"/>
        <v>#DIV/0!</v>
      </c>
      <c r="AZ128" s="383" t="e">
        <f t="shared" si="214"/>
        <v>#DIV/0!</v>
      </c>
      <c r="BA128" s="383" t="e">
        <f t="shared" si="214"/>
        <v>#DIV/0!</v>
      </c>
      <c r="BB128" s="383" t="e">
        <f t="shared" si="214"/>
        <v>#DIV/0!</v>
      </c>
      <c r="BC128" s="383" t="e">
        <f t="shared" si="214"/>
        <v>#DIV/0!</v>
      </c>
      <c r="BD128" s="383" t="e">
        <f t="shared" si="214"/>
        <v>#DIV/0!</v>
      </c>
      <c r="BE128" s="386" t="s">
        <v>1396</v>
      </c>
      <c r="BF128" s="383" t="e">
        <f>IF(AS128="","",IF(BF$18&gt;=1,"〇",""))</f>
        <v>#DIV/0!</v>
      </c>
      <c r="BG128" s="383" t="e">
        <f t="shared" ref="BG128:BQ128" si="229">IF(AT128="","",IF(BG$18&gt;=1,"〇",""))</f>
        <v>#DIV/0!</v>
      </c>
      <c r="BH128" s="383" t="e">
        <f t="shared" si="229"/>
        <v>#DIV/0!</v>
      </c>
      <c r="BI128" s="383" t="e">
        <f t="shared" si="229"/>
        <v>#DIV/0!</v>
      </c>
      <c r="BJ128" s="383" t="e">
        <f t="shared" si="229"/>
        <v>#DIV/0!</v>
      </c>
      <c r="BK128" s="383" t="e">
        <f t="shared" si="229"/>
        <v>#DIV/0!</v>
      </c>
      <c r="BL128" s="383" t="e">
        <f t="shared" si="229"/>
        <v>#DIV/0!</v>
      </c>
      <c r="BM128" s="383" t="e">
        <f t="shared" si="229"/>
        <v>#DIV/0!</v>
      </c>
      <c r="BN128" s="383" t="e">
        <f t="shared" si="229"/>
        <v>#DIV/0!</v>
      </c>
      <c r="BO128" s="383" t="e">
        <f t="shared" si="229"/>
        <v>#DIV/0!</v>
      </c>
      <c r="BP128" s="383" t="e">
        <f t="shared" si="229"/>
        <v>#DIV/0!</v>
      </c>
      <c r="BQ128" s="383" t="e">
        <f t="shared" si="229"/>
        <v>#DIV/0!</v>
      </c>
      <c r="BR128" s="386" t="s">
        <v>1390</v>
      </c>
      <c r="BS128" s="383" t="e">
        <f>IF(BF128="","","〇")</f>
        <v>#DIV/0!</v>
      </c>
      <c r="BT128" s="383" t="e">
        <f t="shared" ref="BT128:CD128" si="230">IF(BG128="","","〇")</f>
        <v>#DIV/0!</v>
      </c>
      <c r="BU128" s="383" t="e">
        <f t="shared" si="230"/>
        <v>#DIV/0!</v>
      </c>
      <c r="BV128" s="383" t="e">
        <f t="shared" si="230"/>
        <v>#DIV/0!</v>
      </c>
      <c r="BW128" s="383" t="e">
        <f t="shared" si="230"/>
        <v>#DIV/0!</v>
      </c>
      <c r="BX128" s="383" t="e">
        <f t="shared" si="230"/>
        <v>#DIV/0!</v>
      </c>
      <c r="BY128" s="383" t="e">
        <f t="shared" si="230"/>
        <v>#DIV/0!</v>
      </c>
      <c r="BZ128" s="383" t="e">
        <f t="shared" si="230"/>
        <v>#DIV/0!</v>
      </c>
      <c r="CA128" s="383" t="e">
        <f t="shared" si="230"/>
        <v>#DIV/0!</v>
      </c>
      <c r="CB128" s="383" t="e">
        <f t="shared" si="230"/>
        <v>#DIV/0!</v>
      </c>
      <c r="CC128" s="383" t="e">
        <f t="shared" si="230"/>
        <v>#DIV/0!</v>
      </c>
      <c r="CD128" s="383" t="e">
        <f t="shared" si="230"/>
        <v>#DIV/0!</v>
      </c>
      <c r="CE128" s="386" t="s">
        <v>1390</v>
      </c>
      <c r="CF128" s="383" t="e">
        <f t="shared" si="228"/>
        <v>#DIV/0!</v>
      </c>
      <c r="CG128" s="383" t="e">
        <f t="shared" si="228"/>
        <v>#DIV/0!</v>
      </c>
      <c r="CH128" s="383" t="e">
        <f t="shared" si="228"/>
        <v>#DIV/0!</v>
      </c>
      <c r="CI128" s="383" t="e">
        <f t="shared" si="228"/>
        <v>#DIV/0!</v>
      </c>
      <c r="CJ128" s="383" t="e">
        <f t="shared" si="228"/>
        <v>#DIV/0!</v>
      </c>
      <c r="CK128" s="383" t="e">
        <f t="shared" si="228"/>
        <v>#DIV/0!</v>
      </c>
      <c r="CL128" s="383" t="e">
        <f t="shared" si="228"/>
        <v>#DIV/0!</v>
      </c>
      <c r="CM128" s="383" t="e">
        <f t="shared" si="228"/>
        <v>#DIV/0!</v>
      </c>
      <c r="CN128" s="383" t="e">
        <f t="shared" si="228"/>
        <v>#DIV/0!</v>
      </c>
      <c r="CO128" s="383" t="e">
        <f t="shared" si="228"/>
        <v>#DIV/0!</v>
      </c>
      <c r="CP128" s="383" t="e">
        <f t="shared" si="228"/>
        <v>#DIV/0!</v>
      </c>
      <c r="CQ128" s="383" t="e">
        <f t="shared" si="228"/>
        <v>#DIV/0!</v>
      </c>
    </row>
    <row r="129" spans="3:95">
      <c r="C129" s="391">
        <v>1</v>
      </c>
      <c r="D129" s="391" t="s">
        <v>1404</v>
      </c>
      <c r="E129" s="391">
        <v>1</v>
      </c>
      <c r="F129" s="391" t="s">
        <v>1404</v>
      </c>
      <c r="G129" s="391">
        <v>1</v>
      </c>
      <c r="H129" s="391" t="s">
        <v>1404</v>
      </c>
      <c r="I129" s="382" t="s">
        <v>1390</v>
      </c>
      <c r="J129" s="382" t="s">
        <v>1390</v>
      </c>
      <c r="K129" s="382" t="s">
        <v>1390</v>
      </c>
      <c r="L129" s="382" t="s">
        <v>1390</v>
      </c>
      <c r="M129" s="391">
        <v>5</v>
      </c>
      <c r="N129" s="391" t="s">
        <v>1404</v>
      </c>
      <c r="O129" s="391">
        <v>1</v>
      </c>
      <c r="P129" s="391" t="s">
        <v>1404</v>
      </c>
      <c r="R129" s="386" t="s">
        <v>1399</v>
      </c>
      <c r="S129" s="383" t="e">
        <f t="shared" si="207"/>
        <v>#DIV/0!</v>
      </c>
      <c r="T129" s="383" t="e">
        <f t="shared" si="207"/>
        <v>#DIV/0!</v>
      </c>
      <c r="U129" s="383" t="e">
        <f t="shared" si="207"/>
        <v>#DIV/0!</v>
      </c>
      <c r="V129" s="383" t="e">
        <f t="shared" si="207"/>
        <v>#DIV/0!</v>
      </c>
      <c r="W129" s="383" t="e">
        <f t="shared" si="207"/>
        <v>#DIV/0!</v>
      </c>
      <c r="X129" s="383" t="e">
        <f t="shared" si="207"/>
        <v>#DIV/0!</v>
      </c>
      <c r="Y129" s="383" t="e">
        <f t="shared" si="207"/>
        <v>#DIV/0!</v>
      </c>
      <c r="Z129" s="383" t="e">
        <f t="shared" si="207"/>
        <v>#DIV/0!</v>
      </c>
      <c r="AA129" s="383" t="e">
        <f t="shared" si="207"/>
        <v>#DIV/0!</v>
      </c>
      <c r="AB129" s="383" t="e">
        <f t="shared" si="207"/>
        <v>#DIV/0!</v>
      </c>
      <c r="AC129" s="383" t="e">
        <f t="shared" si="207"/>
        <v>#DIV/0!</v>
      </c>
      <c r="AD129" s="383" t="e">
        <f t="shared" si="207"/>
        <v>#DIV/0!</v>
      </c>
      <c r="AE129" s="386" t="s">
        <v>1400</v>
      </c>
      <c r="AF129" s="383" t="e">
        <f t="shared" si="225"/>
        <v>#DIV/0!</v>
      </c>
      <c r="AG129" s="383" t="e">
        <f t="shared" si="222"/>
        <v>#DIV/0!</v>
      </c>
      <c r="AH129" s="383" t="e">
        <f t="shared" si="222"/>
        <v>#DIV/0!</v>
      </c>
      <c r="AI129" s="383" t="e">
        <f t="shared" si="222"/>
        <v>#DIV/0!</v>
      </c>
      <c r="AJ129" s="383" t="e">
        <f t="shared" si="222"/>
        <v>#DIV/0!</v>
      </c>
      <c r="AK129" s="383" t="e">
        <f t="shared" si="222"/>
        <v>#DIV/0!</v>
      </c>
      <c r="AL129" s="383" t="e">
        <f t="shared" si="222"/>
        <v>#DIV/0!</v>
      </c>
      <c r="AM129" s="383" t="e">
        <f t="shared" si="222"/>
        <v>#DIV/0!</v>
      </c>
      <c r="AN129" s="383" t="e">
        <f t="shared" si="222"/>
        <v>#DIV/0!</v>
      </c>
      <c r="AO129" s="383" t="e">
        <f t="shared" si="222"/>
        <v>#DIV/0!</v>
      </c>
      <c r="AP129" s="383" t="e">
        <f t="shared" si="222"/>
        <v>#DIV/0!</v>
      </c>
      <c r="AQ129" s="383" t="e">
        <f t="shared" si="222"/>
        <v>#DIV/0!</v>
      </c>
      <c r="AR129" s="386">
        <v>1</v>
      </c>
      <c r="AS129" s="383" t="e">
        <f t="shared" si="217"/>
        <v>#DIV/0!</v>
      </c>
      <c r="AT129" s="383" t="e">
        <f t="shared" si="217"/>
        <v>#DIV/0!</v>
      </c>
      <c r="AU129" s="383" t="e">
        <f t="shared" si="217"/>
        <v>#DIV/0!</v>
      </c>
      <c r="AV129" s="383" t="e">
        <f t="shared" si="214"/>
        <v>#DIV/0!</v>
      </c>
      <c r="AW129" s="383" t="e">
        <f t="shared" si="214"/>
        <v>#DIV/0!</v>
      </c>
      <c r="AX129" s="383" t="e">
        <f t="shared" si="214"/>
        <v>#DIV/0!</v>
      </c>
      <c r="AY129" s="383" t="e">
        <f t="shared" si="214"/>
        <v>#DIV/0!</v>
      </c>
      <c r="AZ129" s="383" t="e">
        <f t="shared" si="214"/>
        <v>#DIV/0!</v>
      </c>
      <c r="BA129" s="383" t="e">
        <f t="shared" si="214"/>
        <v>#DIV/0!</v>
      </c>
      <c r="BB129" s="383" t="e">
        <f t="shared" si="214"/>
        <v>#DIV/0!</v>
      </c>
      <c r="BC129" s="383" t="e">
        <f t="shared" si="214"/>
        <v>#DIV/0!</v>
      </c>
      <c r="BD129" s="383" t="e">
        <f t="shared" si="214"/>
        <v>#DIV/0!</v>
      </c>
      <c r="BE129" s="386">
        <v>0</v>
      </c>
      <c r="BF129" s="383" t="e">
        <f t="shared" si="209"/>
        <v>#DIV/0!</v>
      </c>
      <c r="BG129" s="383" t="e">
        <f t="shared" si="209"/>
        <v>#DIV/0!</v>
      </c>
      <c r="BH129" s="383" t="e">
        <f t="shared" si="209"/>
        <v>#DIV/0!</v>
      </c>
      <c r="BI129" s="383" t="e">
        <f t="shared" si="209"/>
        <v>#DIV/0!</v>
      </c>
      <c r="BJ129" s="383" t="e">
        <f t="shared" si="209"/>
        <v>#DIV/0!</v>
      </c>
      <c r="BK129" s="383" t="e">
        <f t="shared" si="209"/>
        <v>#DIV/0!</v>
      </c>
      <c r="BL129" s="383" t="e">
        <f t="shared" si="209"/>
        <v>#DIV/0!</v>
      </c>
      <c r="BM129" s="383" t="e">
        <f t="shared" si="209"/>
        <v>#DIV/0!</v>
      </c>
      <c r="BN129" s="383" t="e">
        <f t="shared" si="209"/>
        <v>#DIV/0!</v>
      </c>
      <c r="BO129" s="383" t="e">
        <f t="shared" si="209"/>
        <v>#DIV/0!</v>
      </c>
      <c r="BP129" s="383" t="e">
        <f t="shared" si="209"/>
        <v>#DIV/0!</v>
      </c>
      <c r="BQ129" s="383" t="e">
        <f t="shared" si="209"/>
        <v>#DIV/0!</v>
      </c>
      <c r="BR129" s="386">
        <v>0</v>
      </c>
      <c r="BS129" s="383" t="e">
        <f>IF(BF129="","",IF(BS$18=$BR129,"〇",""))</f>
        <v>#DIV/0!</v>
      </c>
      <c r="BT129" s="383" t="e">
        <f t="shared" ref="BT129:CD130" si="231">IF(BG129="","",IF(BT$18=$BR129,"〇",""))</f>
        <v>#DIV/0!</v>
      </c>
      <c r="BU129" s="383" t="e">
        <f t="shared" si="231"/>
        <v>#DIV/0!</v>
      </c>
      <c r="BV129" s="383" t="e">
        <f t="shared" si="231"/>
        <v>#DIV/0!</v>
      </c>
      <c r="BW129" s="383" t="e">
        <f t="shared" si="231"/>
        <v>#DIV/0!</v>
      </c>
      <c r="BX129" s="383" t="e">
        <f t="shared" si="231"/>
        <v>#DIV/0!</v>
      </c>
      <c r="BY129" s="383" t="e">
        <f t="shared" si="231"/>
        <v>#DIV/0!</v>
      </c>
      <c r="BZ129" s="383" t="e">
        <f t="shared" si="231"/>
        <v>#DIV/0!</v>
      </c>
      <c r="CA129" s="383" t="e">
        <f t="shared" si="231"/>
        <v>#DIV/0!</v>
      </c>
      <c r="CB129" s="383" t="e">
        <f t="shared" si="231"/>
        <v>#DIV/0!</v>
      </c>
      <c r="CC129" s="383" t="e">
        <f t="shared" si="231"/>
        <v>#DIV/0!</v>
      </c>
      <c r="CD129" s="383" t="e">
        <f t="shared" si="231"/>
        <v>#DIV/0!</v>
      </c>
      <c r="CE129" s="386">
        <v>0</v>
      </c>
      <c r="CF129" s="383" t="e">
        <f>IF(BS129="","",IF(CF$18=$CE129,"〇",""))</f>
        <v>#DIV/0!</v>
      </c>
      <c r="CG129" s="383" t="e">
        <f t="shared" ref="CG129:CQ129" si="232">IF(BT129="","",IF(CG$18=$CE129,"〇",""))</f>
        <v>#DIV/0!</v>
      </c>
      <c r="CH129" s="383" t="e">
        <f t="shared" si="232"/>
        <v>#DIV/0!</v>
      </c>
      <c r="CI129" s="383" t="e">
        <f t="shared" si="232"/>
        <v>#DIV/0!</v>
      </c>
      <c r="CJ129" s="383" t="e">
        <f t="shared" si="232"/>
        <v>#DIV/0!</v>
      </c>
      <c r="CK129" s="383" t="e">
        <f t="shared" si="232"/>
        <v>#DIV/0!</v>
      </c>
      <c r="CL129" s="383" t="e">
        <f t="shared" si="232"/>
        <v>#DIV/0!</v>
      </c>
      <c r="CM129" s="383" t="e">
        <f t="shared" si="232"/>
        <v>#DIV/0!</v>
      </c>
      <c r="CN129" s="383" t="e">
        <f t="shared" si="232"/>
        <v>#DIV/0!</v>
      </c>
      <c r="CO129" s="383" t="e">
        <f t="shared" si="232"/>
        <v>#DIV/0!</v>
      </c>
      <c r="CP129" s="383" t="e">
        <f t="shared" si="232"/>
        <v>#DIV/0!</v>
      </c>
      <c r="CQ129" s="383" t="e">
        <f t="shared" si="232"/>
        <v>#DIV/0!</v>
      </c>
    </row>
    <row r="130" spans="3:95">
      <c r="C130" s="391">
        <v>1</v>
      </c>
      <c r="D130" s="391" t="s">
        <v>1404</v>
      </c>
      <c r="E130" s="391">
        <v>1</v>
      </c>
      <c r="F130" s="391" t="s">
        <v>1404</v>
      </c>
      <c r="G130" s="391">
        <v>1</v>
      </c>
      <c r="H130" s="391" t="s">
        <v>1404</v>
      </c>
      <c r="I130" s="387">
        <v>1</v>
      </c>
      <c r="J130" s="387" t="s">
        <v>1393</v>
      </c>
      <c r="K130" s="382" t="s">
        <v>1390</v>
      </c>
      <c r="L130" s="382" t="s">
        <v>1390</v>
      </c>
      <c r="M130" s="391">
        <v>5</v>
      </c>
      <c r="N130" s="391" t="s">
        <v>1404</v>
      </c>
      <c r="O130" s="391">
        <v>1</v>
      </c>
      <c r="P130" s="391" t="s">
        <v>1404</v>
      </c>
      <c r="R130" s="386" t="s">
        <v>1399</v>
      </c>
      <c r="S130" s="383" t="e">
        <f t="shared" si="207"/>
        <v>#DIV/0!</v>
      </c>
      <c r="T130" s="383" t="e">
        <f t="shared" si="207"/>
        <v>#DIV/0!</v>
      </c>
      <c r="U130" s="383" t="e">
        <f t="shared" si="207"/>
        <v>#DIV/0!</v>
      </c>
      <c r="V130" s="383" t="e">
        <f t="shared" si="207"/>
        <v>#DIV/0!</v>
      </c>
      <c r="W130" s="383" t="e">
        <f t="shared" si="207"/>
        <v>#DIV/0!</v>
      </c>
      <c r="X130" s="383" t="e">
        <f t="shared" si="207"/>
        <v>#DIV/0!</v>
      </c>
      <c r="Y130" s="383" t="e">
        <f t="shared" si="207"/>
        <v>#DIV/0!</v>
      </c>
      <c r="Z130" s="383" t="e">
        <f t="shared" si="207"/>
        <v>#DIV/0!</v>
      </c>
      <c r="AA130" s="383" t="e">
        <f t="shared" si="207"/>
        <v>#DIV/0!</v>
      </c>
      <c r="AB130" s="383" t="e">
        <f t="shared" si="207"/>
        <v>#DIV/0!</v>
      </c>
      <c r="AC130" s="383" t="e">
        <f t="shared" si="207"/>
        <v>#DIV/0!</v>
      </c>
      <c r="AD130" s="383" t="e">
        <f t="shared" si="207"/>
        <v>#DIV/0!</v>
      </c>
      <c r="AE130" s="386" t="s">
        <v>1400</v>
      </c>
      <c r="AF130" s="383" t="e">
        <f t="shared" si="225"/>
        <v>#DIV/0!</v>
      </c>
      <c r="AG130" s="383" t="e">
        <f t="shared" si="222"/>
        <v>#DIV/0!</v>
      </c>
      <c r="AH130" s="383" t="e">
        <f t="shared" si="222"/>
        <v>#DIV/0!</v>
      </c>
      <c r="AI130" s="383" t="e">
        <f t="shared" si="222"/>
        <v>#DIV/0!</v>
      </c>
      <c r="AJ130" s="383" t="e">
        <f t="shared" si="222"/>
        <v>#DIV/0!</v>
      </c>
      <c r="AK130" s="383" t="e">
        <f t="shared" si="222"/>
        <v>#DIV/0!</v>
      </c>
      <c r="AL130" s="383" t="e">
        <f t="shared" si="222"/>
        <v>#DIV/0!</v>
      </c>
      <c r="AM130" s="383" t="e">
        <f t="shared" si="222"/>
        <v>#DIV/0!</v>
      </c>
      <c r="AN130" s="383" t="e">
        <f t="shared" si="222"/>
        <v>#DIV/0!</v>
      </c>
      <c r="AO130" s="383" t="e">
        <f t="shared" si="222"/>
        <v>#DIV/0!</v>
      </c>
      <c r="AP130" s="383" t="e">
        <f t="shared" si="222"/>
        <v>#DIV/0!</v>
      </c>
      <c r="AQ130" s="383" t="e">
        <f t="shared" si="222"/>
        <v>#DIV/0!</v>
      </c>
      <c r="AR130" s="386">
        <v>1</v>
      </c>
      <c r="AS130" s="383" t="e">
        <f t="shared" si="217"/>
        <v>#DIV/0!</v>
      </c>
      <c r="AT130" s="383" t="e">
        <f t="shared" si="217"/>
        <v>#DIV/0!</v>
      </c>
      <c r="AU130" s="383" t="e">
        <f t="shared" si="217"/>
        <v>#DIV/0!</v>
      </c>
      <c r="AV130" s="383" t="e">
        <f t="shared" si="214"/>
        <v>#DIV/0!</v>
      </c>
      <c r="AW130" s="383" t="e">
        <f t="shared" si="214"/>
        <v>#DIV/0!</v>
      </c>
      <c r="AX130" s="383" t="e">
        <f t="shared" si="214"/>
        <v>#DIV/0!</v>
      </c>
      <c r="AY130" s="383" t="e">
        <f t="shared" si="214"/>
        <v>#DIV/0!</v>
      </c>
      <c r="AZ130" s="383" t="e">
        <f t="shared" si="214"/>
        <v>#DIV/0!</v>
      </c>
      <c r="BA130" s="383" t="e">
        <f t="shared" si="214"/>
        <v>#DIV/0!</v>
      </c>
      <c r="BB130" s="383" t="e">
        <f t="shared" si="214"/>
        <v>#DIV/0!</v>
      </c>
      <c r="BC130" s="383" t="e">
        <f t="shared" si="214"/>
        <v>#DIV/0!</v>
      </c>
      <c r="BD130" s="383" t="e">
        <f t="shared" si="214"/>
        <v>#DIV/0!</v>
      </c>
      <c r="BE130" s="386">
        <v>0</v>
      </c>
      <c r="BF130" s="383" t="e">
        <f t="shared" si="209"/>
        <v>#DIV/0!</v>
      </c>
      <c r="BG130" s="383" t="e">
        <f t="shared" si="209"/>
        <v>#DIV/0!</v>
      </c>
      <c r="BH130" s="383" t="e">
        <f t="shared" si="209"/>
        <v>#DIV/0!</v>
      </c>
      <c r="BI130" s="383" t="e">
        <f t="shared" si="209"/>
        <v>#DIV/0!</v>
      </c>
      <c r="BJ130" s="383" t="e">
        <f t="shared" si="209"/>
        <v>#DIV/0!</v>
      </c>
      <c r="BK130" s="383" t="e">
        <f t="shared" si="209"/>
        <v>#DIV/0!</v>
      </c>
      <c r="BL130" s="383" t="e">
        <f t="shared" si="209"/>
        <v>#DIV/0!</v>
      </c>
      <c r="BM130" s="383" t="e">
        <f t="shared" si="209"/>
        <v>#DIV/0!</v>
      </c>
      <c r="BN130" s="383" t="e">
        <f t="shared" si="209"/>
        <v>#DIV/0!</v>
      </c>
      <c r="BO130" s="383" t="e">
        <f t="shared" si="209"/>
        <v>#DIV/0!</v>
      </c>
      <c r="BP130" s="383" t="e">
        <f t="shared" si="209"/>
        <v>#DIV/0!</v>
      </c>
      <c r="BQ130" s="383" t="e">
        <f t="shared" si="209"/>
        <v>#DIV/0!</v>
      </c>
      <c r="BR130" s="386">
        <v>0</v>
      </c>
      <c r="BS130" s="383" t="e">
        <f>IF(BF130="","",IF(BS$18=$BR130,"〇",""))</f>
        <v>#DIV/0!</v>
      </c>
      <c r="BT130" s="383" t="e">
        <f t="shared" si="231"/>
        <v>#DIV/0!</v>
      </c>
      <c r="BU130" s="383" t="e">
        <f t="shared" si="231"/>
        <v>#DIV/0!</v>
      </c>
      <c r="BV130" s="383" t="e">
        <f t="shared" si="231"/>
        <v>#DIV/0!</v>
      </c>
      <c r="BW130" s="383" t="e">
        <f t="shared" si="231"/>
        <v>#DIV/0!</v>
      </c>
      <c r="BX130" s="383" t="e">
        <f t="shared" si="231"/>
        <v>#DIV/0!</v>
      </c>
      <c r="BY130" s="383" t="e">
        <f t="shared" si="231"/>
        <v>#DIV/0!</v>
      </c>
      <c r="BZ130" s="383" t="e">
        <f t="shared" si="231"/>
        <v>#DIV/0!</v>
      </c>
      <c r="CA130" s="383" t="e">
        <f t="shared" si="231"/>
        <v>#DIV/0!</v>
      </c>
      <c r="CB130" s="383" t="e">
        <f t="shared" si="231"/>
        <v>#DIV/0!</v>
      </c>
      <c r="CC130" s="383" t="e">
        <f t="shared" si="231"/>
        <v>#DIV/0!</v>
      </c>
      <c r="CD130" s="383" t="e">
        <f t="shared" si="231"/>
        <v>#DIV/0!</v>
      </c>
      <c r="CE130" s="386" t="s">
        <v>1396</v>
      </c>
      <c r="CF130" s="383" t="e">
        <f>IF(BS130="","",IF(CF$18&gt;=1,"〇",""))</f>
        <v>#DIV/0!</v>
      </c>
      <c r="CG130" s="383" t="e">
        <f t="shared" ref="CG130:CQ130" si="233">IF(BT130="","",IF(CG$18&gt;=1,"〇",""))</f>
        <v>#DIV/0!</v>
      </c>
      <c r="CH130" s="383" t="e">
        <f t="shared" si="233"/>
        <v>#DIV/0!</v>
      </c>
      <c r="CI130" s="383" t="e">
        <f t="shared" si="233"/>
        <v>#DIV/0!</v>
      </c>
      <c r="CJ130" s="383" t="e">
        <f t="shared" si="233"/>
        <v>#DIV/0!</v>
      </c>
      <c r="CK130" s="383" t="e">
        <f t="shared" si="233"/>
        <v>#DIV/0!</v>
      </c>
      <c r="CL130" s="383" t="e">
        <f t="shared" si="233"/>
        <v>#DIV/0!</v>
      </c>
      <c r="CM130" s="383" t="e">
        <f t="shared" si="233"/>
        <v>#DIV/0!</v>
      </c>
      <c r="CN130" s="383" t="e">
        <f t="shared" si="233"/>
        <v>#DIV/0!</v>
      </c>
      <c r="CO130" s="383" t="e">
        <f t="shared" si="233"/>
        <v>#DIV/0!</v>
      </c>
      <c r="CP130" s="383" t="e">
        <f t="shared" si="233"/>
        <v>#DIV/0!</v>
      </c>
      <c r="CQ130" s="383" t="e">
        <f t="shared" si="233"/>
        <v>#DIV/0!</v>
      </c>
    </row>
    <row r="131" spans="3:95">
      <c r="C131" s="391">
        <v>1</v>
      </c>
      <c r="D131" s="391" t="s">
        <v>1404</v>
      </c>
      <c r="E131" s="391">
        <v>1</v>
      </c>
      <c r="F131" s="391" t="s">
        <v>1404</v>
      </c>
      <c r="G131" s="391">
        <v>1</v>
      </c>
      <c r="H131" s="391" t="s">
        <v>1404</v>
      </c>
      <c r="I131" s="389">
        <v>1</v>
      </c>
      <c r="J131" s="389" t="s">
        <v>1404</v>
      </c>
      <c r="K131" s="382" t="s">
        <v>1390</v>
      </c>
      <c r="L131" s="382" t="s">
        <v>1390</v>
      </c>
      <c r="M131" s="391">
        <v>5</v>
      </c>
      <c r="N131" s="391" t="s">
        <v>1404</v>
      </c>
      <c r="O131" s="391">
        <v>1</v>
      </c>
      <c r="P131" s="391" t="s">
        <v>1404</v>
      </c>
      <c r="R131" s="386" t="s">
        <v>1399</v>
      </c>
      <c r="S131" s="383" t="e">
        <f t="shared" si="207"/>
        <v>#DIV/0!</v>
      </c>
      <c r="T131" s="383" t="e">
        <f t="shared" si="207"/>
        <v>#DIV/0!</v>
      </c>
      <c r="U131" s="383" t="e">
        <f t="shared" si="207"/>
        <v>#DIV/0!</v>
      </c>
      <c r="V131" s="383" t="e">
        <f t="shared" si="207"/>
        <v>#DIV/0!</v>
      </c>
      <c r="W131" s="383" t="e">
        <f t="shared" si="207"/>
        <v>#DIV/0!</v>
      </c>
      <c r="X131" s="383" t="e">
        <f t="shared" si="207"/>
        <v>#DIV/0!</v>
      </c>
      <c r="Y131" s="383" t="e">
        <f t="shared" si="207"/>
        <v>#DIV/0!</v>
      </c>
      <c r="Z131" s="383" t="e">
        <f t="shared" si="207"/>
        <v>#DIV/0!</v>
      </c>
      <c r="AA131" s="383" t="e">
        <f t="shared" si="207"/>
        <v>#DIV/0!</v>
      </c>
      <c r="AB131" s="383" t="e">
        <f t="shared" si="207"/>
        <v>#DIV/0!</v>
      </c>
      <c r="AC131" s="383" t="e">
        <f t="shared" si="207"/>
        <v>#DIV/0!</v>
      </c>
      <c r="AD131" s="383" t="e">
        <f t="shared" si="207"/>
        <v>#DIV/0!</v>
      </c>
      <c r="AE131" s="386" t="s">
        <v>1400</v>
      </c>
      <c r="AF131" s="383" t="e">
        <f t="shared" si="225"/>
        <v>#DIV/0!</v>
      </c>
      <c r="AG131" s="383" t="e">
        <f t="shared" si="222"/>
        <v>#DIV/0!</v>
      </c>
      <c r="AH131" s="383" t="e">
        <f t="shared" si="222"/>
        <v>#DIV/0!</v>
      </c>
      <c r="AI131" s="383" t="e">
        <f t="shared" si="222"/>
        <v>#DIV/0!</v>
      </c>
      <c r="AJ131" s="383" t="e">
        <f t="shared" si="222"/>
        <v>#DIV/0!</v>
      </c>
      <c r="AK131" s="383" t="e">
        <f t="shared" si="222"/>
        <v>#DIV/0!</v>
      </c>
      <c r="AL131" s="383" t="e">
        <f t="shared" si="222"/>
        <v>#DIV/0!</v>
      </c>
      <c r="AM131" s="383" t="e">
        <f t="shared" si="222"/>
        <v>#DIV/0!</v>
      </c>
      <c r="AN131" s="383" t="e">
        <f t="shared" si="222"/>
        <v>#DIV/0!</v>
      </c>
      <c r="AO131" s="383" t="e">
        <f t="shared" si="222"/>
        <v>#DIV/0!</v>
      </c>
      <c r="AP131" s="383" t="e">
        <f t="shared" si="222"/>
        <v>#DIV/0!</v>
      </c>
      <c r="AQ131" s="383" t="e">
        <f t="shared" si="222"/>
        <v>#DIV/0!</v>
      </c>
      <c r="AR131" s="386">
        <v>1</v>
      </c>
      <c r="AS131" s="383" t="e">
        <f t="shared" si="217"/>
        <v>#DIV/0!</v>
      </c>
      <c r="AT131" s="383" t="e">
        <f t="shared" si="217"/>
        <v>#DIV/0!</v>
      </c>
      <c r="AU131" s="383" t="e">
        <f t="shared" si="217"/>
        <v>#DIV/0!</v>
      </c>
      <c r="AV131" s="383" t="e">
        <f t="shared" si="214"/>
        <v>#DIV/0!</v>
      </c>
      <c r="AW131" s="383" t="e">
        <f t="shared" si="214"/>
        <v>#DIV/0!</v>
      </c>
      <c r="AX131" s="383" t="e">
        <f t="shared" si="214"/>
        <v>#DIV/0!</v>
      </c>
      <c r="AY131" s="383" t="e">
        <f t="shared" si="214"/>
        <v>#DIV/0!</v>
      </c>
      <c r="AZ131" s="383" t="e">
        <f t="shared" si="214"/>
        <v>#DIV/0!</v>
      </c>
      <c r="BA131" s="383" t="e">
        <f t="shared" si="214"/>
        <v>#DIV/0!</v>
      </c>
      <c r="BB131" s="383" t="e">
        <f t="shared" si="214"/>
        <v>#DIV/0!</v>
      </c>
      <c r="BC131" s="383" t="e">
        <f t="shared" si="214"/>
        <v>#DIV/0!</v>
      </c>
      <c r="BD131" s="383" t="e">
        <f t="shared" si="214"/>
        <v>#DIV/0!</v>
      </c>
      <c r="BE131" s="386">
        <v>0</v>
      </c>
      <c r="BF131" s="383" t="e">
        <f t="shared" si="209"/>
        <v>#DIV/0!</v>
      </c>
      <c r="BG131" s="383" t="e">
        <f t="shared" si="209"/>
        <v>#DIV/0!</v>
      </c>
      <c r="BH131" s="383" t="e">
        <f t="shared" si="209"/>
        <v>#DIV/0!</v>
      </c>
      <c r="BI131" s="383" t="e">
        <f t="shared" si="209"/>
        <v>#DIV/0!</v>
      </c>
      <c r="BJ131" s="383" t="e">
        <f t="shared" si="209"/>
        <v>#DIV/0!</v>
      </c>
      <c r="BK131" s="383" t="e">
        <f t="shared" si="209"/>
        <v>#DIV/0!</v>
      </c>
      <c r="BL131" s="383" t="e">
        <f t="shared" si="209"/>
        <v>#DIV/0!</v>
      </c>
      <c r="BM131" s="383" t="e">
        <f t="shared" si="209"/>
        <v>#DIV/0!</v>
      </c>
      <c r="BN131" s="383" t="e">
        <f t="shared" si="209"/>
        <v>#DIV/0!</v>
      </c>
      <c r="BO131" s="383" t="e">
        <f t="shared" si="209"/>
        <v>#DIV/0!</v>
      </c>
      <c r="BP131" s="383" t="e">
        <f t="shared" si="209"/>
        <v>#DIV/0!</v>
      </c>
      <c r="BQ131" s="383" t="e">
        <f t="shared" si="209"/>
        <v>#DIV/0!</v>
      </c>
      <c r="BR131" s="386" t="s">
        <v>1396</v>
      </c>
      <c r="BS131" s="383" t="e">
        <f>IF(BF131="","",IF(BS$18&gt;=1,"〇",""))</f>
        <v>#DIV/0!</v>
      </c>
      <c r="BT131" s="383" t="e">
        <f t="shared" ref="BT131:CD131" si="234">IF(BG131="","",IF(BT$18&gt;=1,"〇",""))</f>
        <v>#DIV/0!</v>
      </c>
      <c r="BU131" s="383" t="e">
        <f t="shared" si="234"/>
        <v>#DIV/0!</v>
      </c>
      <c r="BV131" s="383" t="e">
        <f t="shared" si="234"/>
        <v>#DIV/0!</v>
      </c>
      <c r="BW131" s="383" t="e">
        <f t="shared" si="234"/>
        <v>#DIV/0!</v>
      </c>
      <c r="BX131" s="383" t="e">
        <f t="shared" si="234"/>
        <v>#DIV/0!</v>
      </c>
      <c r="BY131" s="383" t="e">
        <f t="shared" si="234"/>
        <v>#DIV/0!</v>
      </c>
      <c r="BZ131" s="383" t="e">
        <f t="shared" si="234"/>
        <v>#DIV/0!</v>
      </c>
      <c r="CA131" s="383" t="e">
        <f t="shared" si="234"/>
        <v>#DIV/0!</v>
      </c>
      <c r="CB131" s="383" t="e">
        <f t="shared" si="234"/>
        <v>#DIV/0!</v>
      </c>
      <c r="CC131" s="383" t="e">
        <f t="shared" si="234"/>
        <v>#DIV/0!</v>
      </c>
      <c r="CD131" s="383" t="e">
        <f t="shared" si="234"/>
        <v>#DIV/0!</v>
      </c>
      <c r="CE131" s="386" t="s">
        <v>1390</v>
      </c>
      <c r="CF131" s="383" t="e">
        <f t="shared" ref="CF131:CQ132" si="235">IF(BS131="","","〇")</f>
        <v>#DIV/0!</v>
      </c>
      <c r="CG131" s="383" t="e">
        <f t="shared" si="235"/>
        <v>#DIV/0!</v>
      </c>
      <c r="CH131" s="383" t="e">
        <f t="shared" si="235"/>
        <v>#DIV/0!</v>
      </c>
      <c r="CI131" s="383" t="e">
        <f t="shared" si="235"/>
        <v>#DIV/0!</v>
      </c>
      <c r="CJ131" s="383" t="e">
        <f t="shared" si="235"/>
        <v>#DIV/0!</v>
      </c>
      <c r="CK131" s="383" t="e">
        <f t="shared" si="235"/>
        <v>#DIV/0!</v>
      </c>
      <c r="CL131" s="383" t="e">
        <f t="shared" si="235"/>
        <v>#DIV/0!</v>
      </c>
      <c r="CM131" s="383" t="e">
        <f t="shared" si="235"/>
        <v>#DIV/0!</v>
      </c>
      <c r="CN131" s="383" t="e">
        <f t="shared" si="235"/>
        <v>#DIV/0!</v>
      </c>
      <c r="CO131" s="383" t="e">
        <f t="shared" si="235"/>
        <v>#DIV/0!</v>
      </c>
      <c r="CP131" s="383" t="e">
        <f t="shared" si="235"/>
        <v>#DIV/0!</v>
      </c>
      <c r="CQ131" s="383" t="e">
        <f t="shared" si="235"/>
        <v>#DIV/0!</v>
      </c>
    </row>
    <row r="132" spans="3:95">
      <c r="C132" s="391">
        <v>1</v>
      </c>
      <c r="D132" s="391" t="s">
        <v>1404</v>
      </c>
      <c r="E132" s="391">
        <v>1</v>
      </c>
      <c r="F132" s="391" t="s">
        <v>1404</v>
      </c>
      <c r="G132" s="391">
        <v>1</v>
      </c>
      <c r="H132" s="391" t="s">
        <v>1404</v>
      </c>
      <c r="I132" s="390">
        <v>1</v>
      </c>
      <c r="J132" s="390" t="s">
        <v>1405</v>
      </c>
      <c r="K132" s="382" t="s">
        <v>1390</v>
      </c>
      <c r="L132" s="382" t="s">
        <v>1390</v>
      </c>
      <c r="M132" s="391">
        <v>5</v>
      </c>
      <c r="N132" s="391" t="s">
        <v>1404</v>
      </c>
      <c r="O132" s="391">
        <v>1</v>
      </c>
      <c r="P132" s="391" t="s">
        <v>1404</v>
      </c>
      <c r="R132" s="386" t="s">
        <v>1399</v>
      </c>
      <c r="S132" s="383" t="e">
        <f t="shared" si="207"/>
        <v>#DIV/0!</v>
      </c>
      <c r="T132" s="383" t="e">
        <f t="shared" si="207"/>
        <v>#DIV/0!</v>
      </c>
      <c r="U132" s="383" t="e">
        <f t="shared" si="207"/>
        <v>#DIV/0!</v>
      </c>
      <c r="V132" s="383" t="e">
        <f t="shared" si="207"/>
        <v>#DIV/0!</v>
      </c>
      <c r="W132" s="383" t="e">
        <f t="shared" si="207"/>
        <v>#DIV/0!</v>
      </c>
      <c r="X132" s="383" t="e">
        <f t="shared" si="207"/>
        <v>#DIV/0!</v>
      </c>
      <c r="Y132" s="383" t="e">
        <f t="shared" si="207"/>
        <v>#DIV/0!</v>
      </c>
      <c r="Z132" s="383" t="e">
        <f t="shared" si="207"/>
        <v>#DIV/0!</v>
      </c>
      <c r="AA132" s="383" t="e">
        <f t="shared" si="207"/>
        <v>#DIV/0!</v>
      </c>
      <c r="AB132" s="383" t="e">
        <f t="shared" si="207"/>
        <v>#DIV/0!</v>
      </c>
      <c r="AC132" s="383" t="e">
        <f t="shared" si="207"/>
        <v>#DIV/0!</v>
      </c>
      <c r="AD132" s="383" t="e">
        <f t="shared" si="207"/>
        <v>#DIV/0!</v>
      </c>
      <c r="AE132" s="386" t="s">
        <v>1400</v>
      </c>
      <c r="AF132" s="383" t="e">
        <f t="shared" si="225"/>
        <v>#DIV/0!</v>
      </c>
      <c r="AG132" s="383" t="e">
        <f t="shared" si="222"/>
        <v>#DIV/0!</v>
      </c>
      <c r="AH132" s="383" t="e">
        <f t="shared" si="222"/>
        <v>#DIV/0!</v>
      </c>
      <c r="AI132" s="383" t="e">
        <f t="shared" si="222"/>
        <v>#DIV/0!</v>
      </c>
      <c r="AJ132" s="383" t="e">
        <f t="shared" si="222"/>
        <v>#DIV/0!</v>
      </c>
      <c r="AK132" s="383" t="e">
        <f t="shared" si="222"/>
        <v>#DIV/0!</v>
      </c>
      <c r="AL132" s="383" t="e">
        <f t="shared" si="222"/>
        <v>#DIV/0!</v>
      </c>
      <c r="AM132" s="383" t="e">
        <f t="shared" si="222"/>
        <v>#DIV/0!</v>
      </c>
      <c r="AN132" s="383" t="e">
        <f t="shared" si="222"/>
        <v>#DIV/0!</v>
      </c>
      <c r="AO132" s="383" t="e">
        <f t="shared" si="222"/>
        <v>#DIV/0!</v>
      </c>
      <c r="AP132" s="383" t="e">
        <f t="shared" si="222"/>
        <v>#DIV/0!</v>
      </c>
      <c r="AQ132" s="383" t="e">
        <f t="shared" si="222"/>
        <v>#DIV/0!</v>
      </c>
      <c r="AR132" s="386">
        <v>1</v>
      </c>
      <c r="AS132" s="383" t="e">
        <f t="shared" si="217"/>
        <v>#DIV/0!</v>
      </c>
      <c r="AT132" s="383" t="e">
        <f t="shared" si="217"/>
        <v>#DIV/0!</v>
      </c>
      <c r="AU132" s="383" t="e">
        <f t="shared" si="217"/>
        <v>#DIV/0!</v>
      </c>
      <c r="AV132" s="383" t="e">
        <f t="shared" si="214"/>
        <v>#DIV/0!</v>
      </c>
      <c r="AW132" s="383" t="e">
        <f t="shared" si="214"/>
        <v>#DIV/0!</v>
      </c>
      <c r="AX132" s="383" t="e">
        <f t="shared" si="214"/>
        <v>#DIV/0!</v>
      </c>
      <c r="AY132" s="383" t="e">
        <f t="shared" si="214"/>
        <v>#DIV/0!</v>
      </c>
      <c r="AZ132" s="383" t="e">
        <f t="shared" si="214"/>
        <v>#DIV/0!</v>
      </c>
      <c r="BA132" s="383" t="e">
        <f t="shared" si="214"/>
        <v>#DIV/0!</v>
      </c>
      <c r="BB132" s="383" t="e">
        <f t="shared" si="214"/>
        <v>#DIV/0!</v>
      </c>
      <c r="BC132" s="383" t="e">
        <f t="shared" si="214"/>
        <v>#DIV/0!</v>
      </c>
      <c r="BD132" s="383" t="e">
        <f t="shared" si="214"/>
        <v>#DIV/0!</v>
      </c>
      <c r="BE132" s="386" t="s">
        <v>1396</v>
      </c>
      <c r="BF132" s="383" t="e">
        <f>IF(AS132="","",IF(BF$18&gt;=1,"〇",""))</f>
        <v>#DIV/0!</v>
      </c>
      <c r="BG132" s="383" t="e">
        <f t="shared" ref="BG132:BQ132" si="236">IF(AT132="","",IF(BG$18&gt;=1,"〇",""))</f>
        <v>#DIV/0!</v>
      </c>
      <c r="BH132" s="383" t="e">
        <f t="shared" si="236"/>
        <v>#DIV/0!</v>
      </c>
      <c r="BI132" s="383" t="e">
        <f t="shared" si="236"/>
        <v>#DIV/0!</v>
      </c>
      <c r="BJ132" s="383" t="e">
        <f t="shared" si="236"/>
        <v>#DIV/0!</v>
      </c>
      <c r="BK132" s="383" t="e">
        <f t="shared" si="236"/>
        <v>#DIV/0!</v>
      </c>
      <c r="BL132" s="383" t="e">
        <f t="shared" si="236"/>
        <v>#DIV/0!</v>
      </c>
      <c r="BM132" s="383" t="e">
        <f t="shared" si="236"/>
        <v>#DIV/0!</v>
      </c>
      <c r="BN132" s="383" t="e">
        <f t="shared" si="236"/>
        <v>#DIV/0!</v>
      </c>
      <c r="BO132" s="383" t="e">
        <f t="shared" si="236"/>
        <v>#DIV/0!</v>
      </c>
      <c r="BP132" s="383" t="e">
        <f t="shared" si="236"/>
        <v>#DIV/0!</v>
      </c>
      <c r="BQ132" s="383" t="e">
        <f t="shared" si="236"/>
        <v>#DIV/0!</v>
      </c>
      <c r="BR132" s="386" t="s">
        <v>1390</v>
      </c>
      <c r="BS132" s="383" t="e">
        <f>IF(BF132="","","〇")</f>
        <v>#DIV/0!</v>
      </c>
      <c r="BT132" s="383" t="e">
        <f t="shared" ref="BT132:CD132" si="237">IF(BG132="","","〇")</f>
        <v>#DIV/0!</v>
      </c>
      <c r="BU132" s="383" t="e">
        <f t="shared" si="237"/>
        <v>#DIV/0!</v>
      </c>
      <c r="BV132" s="383" t="e">
        <f t="shared" si="237"/>
        <v>#DIV/0!</v>
      </c>
      <c r="BW132" s="383" t="e">
        <f t="shared" si="237"/>
        <v>#DIV/0!</v>
      </c>
      <c r="BX132" s="383" t="e">
        <f t="shared" si="237"/>
        <v>#DIV/0!</v>
      </c>
      <c r="BY132" s="383" t="e">
        <f t="shared" si="237"/>
        <v>#DIV/0!</v>
      </c>
      <c r="BZ132" s="383" t="e">
        <f t="shared" si="237"/>
        <v>#DIV/0!</v>
      </c>
      <c r="CA132" s="383" t="e">
        <f t="shared" si="237"/>
        <v>#DIV/0!</v>
      </c>
      <c r="CB132" s="383" t="e">
        <f t="shared" si="237"/>
        <v>#DIV/0!</v>
      </c>
      <c r="CC132" s="383" t="e">
        <f t="shared" si="237"/>
        <v>#DIV/0!</v>
      </c>
      <c r="CD132" s="383" t="e">
        <f t="shared" si="237"/>
        <v>#DIV/0!</v>
      </c>
      <c r="CE132" s="386" t="s">
        <v>1390</v>
      </c>
      <c r="CF132" s="383" t="e">
        <f t="shared" si="235"/>
        <v>#DIV/0!</v>
      </c>
      <c r="CG132" s="383" t="e">
        <f t="shared" si="235"/>
        <v>#DIV/0!</v>
      </c>
      <c r="CH132" s="383" t="e">
        <f t="shared" si="235"/>
        <v>#DIV/0!</v>
      </c>
      <c r="CI132" s="383" t="e">
        <f t="shared" si="235"/>
        <v>#DIV/0!</v>
      </c>
      <c r="CJ132" s="383" t="e">
        <f t="shared" si="235"/>
        <v>#DIV/0!</v>
      </c>
      <c r="CK132" s="383" t="e">
        <f t="shared" si="235"/>
        <v>#DIV/0!</v>
      </c>
      <c r="CL132" s="383" t="e">
        <f t="shared" si="235"/>
        <v>#DIV/0!</v>
      </c>
      <c r="CM132" s="383" t="e">
        <f t="shared" si="235"/>
        <v>#DIV/0!</v>
      </c>
      <c r="CN132" s="383" t="e">
        <f t="shared" si="235"/>
        <v>#DIV/0!</v>
      </c>
      <c r="CO132" s="383" t="e">
        <f t="shared" si="235"/>
        <v>#DIV/0!</v>
      </c>
      <c r="CP132" s="383" t="e">
        <f t="shared" si="235"/>
        <v>#DIV/0!</v>
      </c>
      <c r="CQ132" s="383" t="e">
        <f t="shared" si="235"/>
        <v>#DIV/0!</v>
      </c>
    </row>
    <row r="133" spans="3:95">
      <c r="C133" s="375"/>
      <c r="D133" s="375"/>
      <c r="E133" s="375"/>
      <c r="F133" s="375"/>
      <c r="G133" s="375"/>
      <c r="H133" s="375"/>
      <c r="I133" s="375"/>
      <c r="J133" s="375"/>
      <c r="K133" s="375"/>
      <c r="L133" s="375"/>
      <c r="M133" s="375"/>
      <c r="N133" s="375"/>
      <c r="O133" s="375"/>
      <c r="P133" s="375"/>
      <c r="R133" s="386"/>
      <c r="S133" s="386"/>
      <c r="T133" s="386"/>
      <c r="U133" s="386"/>
      <c r="V133" s="386"/>
      <c r="W133" s="386"/>
      <c r="X133" s="386"/>
      <c r="Y133" s="386"/>
      <c r="Z133" s="386"/>
      <c r="AA133" s="386"/>
      <c r="AB133" s="386"/>
      <c r="AC133" s="386"/>
      <c r="AD133" s="386"/>
      <c r="AE133" s="386"/>
      <c r="AF133" s="386"/>
      <c r="AG133" s="386"/>
      <c r="AH133" s="386"/>
      <c r="AI133" s="386"/>
      <c r="AJ133" s="386"/>
      <c r="AK133" s="386"/>
      <c r="AL133" s="386"/>
      <c r="AM133" s="386"/>
      <c r="AN133" s="386"/>
      <c r="AO133" s="386"/>
      <c r="AP133" s="386"/>
      <c r="AQ133" s="386"/>
      <c r="AR133" s="386"/>
      <c r="AS133" s="386"/>
      <c r="AT133" s="386"/>
      <c r="AU133" s="386"/>
      <c r="AV133" s="386"/>
      <c r="AW133" s="386"/>
      <c r="AX133" s="386"/>
      <c r="AY133" s="386"/>
      <c r="AZ133" s="386"/>
      <c r="BA133" s="386"/>
      <c r="BB133" s="386"/>
      <c r="BC133" s="386"/>
      <c r="BD133" s="386"/>
      <c r="BE133" s="386"/>
      <c r="BF133" s="386"/>
      <c r="BG133" s="386"/>
      <c r="BH133" s="386"/>
      <c r="BI133" s="386"/>
      <c r="BJ133" s="386"/>
      <c r="BK133" s="386"/>
      <c r="BL133" s="386"/>
      <c r="BM133" s="386"/>
      <c r="BN133" s="386"/>
      <c r="BO133" s="386"/>
      <c r="BP133" s="386"/>
      <c r="BQ133" s="386"/>
      <c r="BR133" s="386"/>
      <c r="BS133" s="386"/>
      <c r="BT133" s="386"/>
      <c r="BU133" s="386"/>
      <c r="BV133" s="386"/>
      <c r="BW133" s="386"/>
      <c r="BX133" s="386"/>
      <c r="BY133" s="386"/>
      <c r="BZ133" s="386"/>
      <c r="CA133" s="386"/>
      <c r="CB133" s="386"/>
      <c r="CC133" s="386"/>
      <c r="CD133" s="386"/>
      <c r="CE133" s="386"/>
      <c r="CF133" s="386"/>
      <c r="CG133" s="386"/>
      <c r="CH133" s="386"/>
      <c r="CI133" s="386"/>
      <c r="CJ133" s="386"/>
      <c r="CK133" s="386"/>
      <c r="CL133" s="386"/>
      <c r="CM133" s="386"/>
      <c r="CN133" s="386"/>
      <c r="CO133" s="386"/>
      <c r="CP133" s="386"/>
      <c r="CQ133" s="386"/>
    </row>
  </sheetData>
  <sheetProtection algorithmName="SHA-512" hashValue="efTCJxOV2vDCd/rv2khcVO4AY75PE+SaXM9EiEy69NkkxJAMrs8sd0AyA4Twt47/Vln8QkHGBojX36Cn42kjCQ==" saltValue="NkbHC8aaPiLdAMfGD30KCQ==" spinCount="100000" sheet="1" objects="1" scenarios="1"/>
  <mergeCells count="14">
    <mergeCell ref="O2:P2"/>
    <mergeCell ref="C17:D17"/>
    <mergeCell ref="E17:F17"/>
    <mergeCell ref="G17:H17"/>
    <mergeCell ref="I17:J17"/>
    <mergeCell ref="K17:L17"/>
    <mergeCell ref="M17:N17"/>
    <mergeCell ref="O17:P17"/>
    <mergeCell ref="C2:D2"/>
    <mergeCell ref="E2:F2"/>
    <mergeCell ref="G2:H2"/>
    <mergeCell ref="I2:J2"/>
    <mergeCell ref="K2:L2"/>
    <mergeCell ref="M2:N2"/>
  </mergeCells>
  <phoneticPr fontId="1"/>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E0F1F-39C4-4851-A8B0-CA0E2267600E}">
  <sheetPr>
    <tabColor rgb="FFFFFF00"/>
  </sheetPr>
  <dimension ref="A1:Q39"/>
  <sheetViews>
    <sheetView showGridLines="0" view="pageBreakPreview" zoomScaleNormal="100" zoomScaleSheetLayoutView="100" workbookViewId="0">
      <selection activeCell="F7" sqref="F7:H9"/>
    </sheetView>
  </sheetViews>
  <sheetFormatPr defaultColWidth="9" defaultRowHeight="13"/>
  <cols>
    <col min="1" max="1" width="1.33203125" style="136" customWidth="1"/>
    <col min="2" max="2" width="15.83203125" style="136" customWidth="1"/>
    <col min="3" max="3" width="18.75" style="136" customWidth="1"/>
    <col min="4" max="4" width="3.75" style="136" customWidth="1"/>
    <col min="5" max="5" width="20.33203125" style="136" customWidth="1"/>
    <col min="6" max="6" width="3.33203125" style="136" customWidth="1"/>
    <col min="7" max="7" width="18.83203125" style="136" customWidth="1"/>
    <col min="8" max="8" width="4.58203125" style="136" customWidth="1"/>
    <col min="9" max="9" width="6.5" style="136" customWidth="1"/>
    <col min="10" max="11" width="4.75" style="136" customWidth="1"/>
    <col min="12" max="12" width="8" style="136" customWidth="1"/>
    <col min="13" max="13" width="10.25" style="136" customWidth="1"/>
    <col min="14" max="14" width="17.5" style="136" customWidth="1"/>
    <col min="15" max="15" width="5.83203125" style="136" customWidth="1"/>
    <col min="16" max="16" width="5.75" style="136" customWidth="1"/>
    <col min="17" max="17" width="5.58203125" style="136" customWidth="1"/>
    <col min="18" max="16384" width="9" style="136"/>
  </cols>
  <sheetData>
    <row r="1" spans="1:17" ht="20.25" customHeight="1">
      <c r="A1" s="144" t="s">
        <v>477</v>
      </c>
      <c r="B1" s="144"/>
      <c r="C1" s="144" t="s">
        <v>271</v>
      </c>
      <c r="D1" s="144"/>
      <c r="E1" s="144"/>
      <c r="F1" s="144"/>
      <c r="G1" s="144"/>
      <c r="H1" s="144" t="e">
        <f>①基本情報!Q5</f>
        <v>#N/A</v>
      </c>
      <c r="I1" s="36"/>
      <c r="J1" s="36"/>
      <c r="K1" s="36"/>
      <c r="L1" s="36"/>
      <c r="M1" s="36"/>
      <c r="N1" s="36"/>
      <c r="O1" s="36"/>
      <c r="P1" s="36"/>
      <c r="Q1" s="36"/>
    </row>
    <row r="2" spans="1:17" ht="20.25" customHeight="1">
      <c r="A2" s="36"/>
      <c r="B2" s="144"/>
      <c r="C2" s="144"/>
      <c r="D2" s="144"/>
      <c r="E2" s="144"/>
      <c r="F2" s="144"/>
      <c r="G2" s="157">
        <v>46143</v>
      </c>
      <c r="H2" s="144"/>
      <c r="I2" s="36"/>
      <c r="J2" s="36"/>
      <c r="K2" s="36"/>
      <c r="L2" s="36"/>
      <c r="M2" s="36"/>
      <c r="O2" s="36"/>
      <c r="P2" s="36"/>
      <c r="Q2" s="36"/>
    </row>
    <row r="3" spans="1:17" ht="15" customHeight="1">
      <c r="A3" s="36"/>
      <c r="B3" s="144"/>
      <c r="C3" s="144"/>
      <c r="D3" s="144"/>
      <c r="E3" s="144"/>
      <c r="F3" s="144"/>
      <c r="G3" s="144"/>
      <c r="H3" s="144"/>
      <c r="I3" s="36"/>
      <c r="J3" s="36"/>
      <c r="K3" s="36"/>
      <c r="L3" s="36"/>
      <c r="M3" s="36"/>
      <c r="N3" s="36"/>
      <c r="O3" s="36"/>
      <c r="P3" s="36"/>
      <c r="Q3" s="36"/>
    </row>
    <row r="4" spans="1:17" ht="20.25" customHeight="1">
      <c r="A4" s="924" t="s">
        <v>608</v>
      </c>
      <c r="B4" s="924"/>
      <c r="C4" s="924"/>
      <c r="D4" s="924"/>
      <c r="E4" s="924"/>
      <c r="F4" s="924"/>
      <c r="G4" s="924"/>
      <c r="H4" s="924"/>
      <c r="I4" s="36"/>
      <c r="J4" s="36"/>
      <c r="K4" s="36"/>
      <c r="L4" s="36"/>
      <c r="M4" s="36"/>
      <c r="N4" s="36"/>
      <c r="O4" s="36"/>
      <c r="P4" s="36"/>
      <c r="Q4" s="36"/>
    </row>
    <row r="5" spans="1:17" ht="20.25" customHeight="1">
      <c r="A5" s="924" t="s">
        <v>609</v>
      </c>
      <c r="B5" s="924"/>
      <c r="C5" s="924"/>
      <c r="D5" s="924"/>
      <c r="E5" s="924"/>
      <c r="F5" s="924"/>
      <c r="G5" s="924"/>
      <c r="H5" s="924"/>
      <c r="I5" s="36"/>
      <c r="J5" s="36"/>
      <c r="K5" s="36"/>
      <c r="L5" s="36"/>
      <c r="M5" s="36"/>
      <c r="N5" s="36"/>
      <c r="O5" s="36"/>
      <c r="P5" s="36"/>
      <c r="Q5" s="36"/>
    </row>
    <row r="6" spans="1:17" ht="15" customHeight="1">
      <c r="A6" s="36"/>
      <c r="B6" s="144"/>
      <c r="C6" s="144"/>
      <c r="D6" s="144"/>
      <c r="E6" s="144"/>
      <c r="F6" s="144"/>
      <c r="G6" s="144"/>
      <c r="H6" s="144"/>
      <c r="I6" s="36"/>
      <c r="J6" s="36"/>
      <c r="K6" s="36"/>
      <c r="L6" s="36"/>
      <c r="M6" s="36"/>
      <c r="N6" s="36"/>
      <c r="O6" s="36"/>
      <c r="P6" s="36"/>
      <c r="Q6" s="36"/>
    </row>
    <row r="7" spans="1:17" ht="23.15" customHeight="1">
      <c r="A7" s="36"/>
      <c r="B7" s="144" t="s">
        <v>592</v>
      </c>
      <c r="C7" s="158"/>
      <c r="D7" s="158"/>
      <c r="E7" s="144"/>
      <c r="F7" s="926" t="e">
        <f>VLOOKUP($H$1,補助金用基本データ!$B$5:$K$69,10,0)</f>
        <v>#N/A</v>
      </c>
      <c r="G7" s="926"/>
      <c r="H7" s="926"/>
      <c r="I7" s="36"/>
      <c r="J7" s="36"/>
      <c r="K7" s="36"/>
      <c r="L7" s="36"/>
      <c r="M7" s="36"/>
      <c r="N7" s="36"/>
      <c r="O7" s="36"/>
      <c r="P7" s="36"/>
      <c r="Q7" s="36"/>
    </row>
    <row r="8" spans="1:17" ht="17.149999999999999" customHeight="1">
      <c r="A8" s="36"/>
      <c r="B8" s="144"/>
      <c r="C8" s="144"/>
      <c r="D8" s="144"/>
      <c r="E8" s="144"/>
      <c r="F8" s="927"/>
      <c r="G8" s="927"/>
      <c r="H8" s="927"/>
      <c r="I8" s="36"/>
      <c r="J8" s="36"/>
      <c r="K8" s="36"/>
      <c r="L8" s="36"/>
      <c r="M8" s="36"/>
      <c r="N8" s="36"/>
      <c r="O8" s="36"/>
      <c r="P8" s="36"/>
      <c r="Q8" s="36"/>
    </row>
    <row r="9" spans="1:17" ht="30" customHeight="1">
      <c r="A9" s="992" t="str">
        <f>IF(①基本情報!$S$17=1,K22,"")</f>
        <v>概算払いは請求しないことが選択されています。</v>
      </c>
      <c r="B9" s="993"/>
      <c r="C9" s="993"/>
      <c r="D9" s="993"/>
      <c r="E9" s="159" t="s">
        <v>610</v>
      </c>
      <c r="F9" s="927"/>
      <c r="G9" s="927"/>
      <c r="H9" s="927"/>
      <c r="I9" s="36"/>
      <c r="J9" s="36"/>
      <c r="K9" s="36"/>
      <c r="L9" s="36"/>
      <c r="Q9" s="36"/>
    </row>
    <row r="10" spans="1:17" ht="23.15" customHeight="1">
      <c r="A10" s="994" t="str">
        <f>IF(①基本情報!$S$17=1,K23,"")</f>
        <v>概算払いを希望しない場合は、現行の入力で問題ありません。</v>
      </c>
      <c r="B10" s="995"/>
      <c r="C10" s="995"/>
      <c r="D10" s="995"/>
      <c r="E10" s="159" t="s">
        <v>611</v>
      </c>
      <c r="F10" s="929" t="e">
        <f>様式１!J10</f>
        <v>#N/A</v>
      </c>
      <c r="G10" s="920"/>
      <c r="H10" s="920"/>
      <c r="I10" s="36"/>
      <c r="J10" s="36"/>
      <c r="K10" s="36"/>
      <c r="L10" s="36"/>
      <c r="Q10" s="36"/>
    </row>
    <row r="11" spans="1:17" ht="23.15" customHeight="1">
      <c r="A11" s="996" t="str">
        <f>IF(①基本情報!$S$17=1,K24,"")</f>
        <v>概算払いを希望する場合は、「①基本情報」シート【概算払いについて（注意事項）】を確認し、同シートの「Ｌ２０セル」で「概算払いを請求する」を選択してください。</v>
      </c>
      <c r="B11" s="996"/>
      <c r="C11" s="996"/>
      <c r="D11" s="996"/>
      <c r="E11" s="159" t="s">
        <v>612</v>
      </c>
      <c r="F11" s="920" t="e">
        <f>VLOOKUP($H$1,補助金用基本データ!$B$5:$K$69,8,0)&amp;"　"&amp;VLOOKUP($H$1,補助金用基本データ!$B$5:$K$69,9,0)</f>
        <v>#N/A</v>
      </c>
      <c r="G11" s="920"/>
      <c r="H11" s="920"/>
      <c r="I11" s="36"/>
      <c r="J11" s="36"/>
      <c r="K11" s="36"/>
      <c r="L11" s="36" t="s">
        <v>613</v>
      </c>
      <c r="Q11" s="36"/>
    </row>
    <row r="12" spans="1:17" ht="23.15" customHeight="1">
      <c r="A12" s="996"/>
      <c r="B12" s="996"/>
      <c r="C12" s="996"/>
      <c r="D12" s="996"/>
      <c r="E12" s="160" t="s">
        <v>614</v>
      </c>
      <c r="F12" s="922">
        <f>①基本情報!D5</f>
        <v>0</v>
      </c>
      <c r="G12" s="922"/>
      <c r="H12" s="922"/>
      <c r="J12" s="36"/>
      <c r="K12" s="36"/>
      <c r="L12" s="36" t="s">
        <v>613</v>
      </c>
      <c r="Q12" s="36"/>
    </row>
    <row r="13" spans="1:17" ht="23.15" customHeight="1">
      <c r="A13" s="996"/>
      <c r="B13" s="996"/>
      <c r="C13" s="996"/>
      <c r="D13" s="996"/>
      <c r="E13" s="160" t="s">
        <v>1319</v>
      </c>
      <c r="F13" s="922">
        <f>①基本情報!M4</f>
        <v>0</v>
      </c>
      <c r="G13" s="922"/>
      <c r="H13" s="922"/>
      <c r="J13" s="36"/>
      <c r="K13" s="36"/>
      <c r="L13" s="36"/>
      <c r="Q13" s="36"/>
    </row>
    <row r="14" spans="1:17" ht="23.15" customHeight="1">
      <c r="A14" s="340"/>
      <c r="B14" s="340"/>
      <c r="C14" s="340"/>
      <c r="D14" s="340"/>
      <c r="E14" s="144"/>
      <c r="F14" s="144"/>
      <c r="G14" s="144"/>
      <c r="H14" s="144"/>
      <c r="I14" s="36"/>
      <c r="J14" s="36"/>
      <c r="K14" s="36"/>
      <c r="L14" s="36"/>
      <c r="M14" s="36"/>
      <c r="N14" s="36"/>
      <c r="O14" s="36"/>
      <c r="P14" s="36"/>
      <c r="Q14" s="36"/>
    </row>
    <row r="15" spans="1:17" ht="20.25" customHeight="1">
      <c r="B15" s="906" t="s">
        <v>1673</v>
      </c>
      <c r="C15" s="906"/>
      <c r="D15" s="906"/>
      <c r="E15" s="906"/>
      <c r="F15" s="906"/>
      <c r="G15" s="906"/>
      <c r="H15" s="906"/>
      <c r="I15" s="36"/>
      <c r="J15" s="36"/>
      <c r="K15" s="36"/>
      <c r="M15" s="36"/>
      <c r="N15" s="36"/>
      <c r="O15" s="36"/>
      <c r="P15" s="36"/>
      <c r="Q15" s="36"/>
    </row>
    <row r="16" spans="1:17" ht="20.25" customHeight="1">
      <c r="B16" s="906"/>
      <c r="C16" s="906"/>
      <c r="D16" s="906"/>
      <c r="E16" s="906"/>
      <c r="F16" s="906"/>
      <c r="G16" s="906"/>
      <c r="H16" s="906"/>
      <c r="I16" s="36"/>
      <c r="J16" s="36"/>
      <c r="K16" s="36"/>
      <c r="L16" s="36"/>
      <c r="M16" s="36"/>
      <c r="N16" s="36"/>
      <c r="O16" s="36"/>
      <c r="P16" s="36"/>
      <c r="Q16" s="36"/>
    </row>
    <row r="17" spans="1:17" ht="20.25" customHeight="1">
      <c r="A17" s="36"/>
      <c r="B17" s="906"/>
      <c r="C17" s="906"/>
      <c r="D17" s="906"/>
      <c r="E17" s="906"/>
      <c r="F17" s="906"/>
      <c r="G17" s="906"/>
      <c r="H17" s="906"/>
      <c r="I17" s="36"/>
      <c r="J17" s="36"/>
      <c r="K17" s="36"/>
      <c r="L17" s="36"/>
      <c r="M17" s="36"/>
      <c r="N17" s="36"/>
      <c r="O17" s="36"/>
      <c r="P17" s="36"/>
      <c r="Q17" s="36"/>
    </row>
    <row r="18" spans="1:17" ht="20.25" customHeight="1">
      <c r="A18" s="36"/>
      <c r="B18" s="144"/>
      <c r="C18" s="144"/>
      <c r="D18" s="144"/>
      <c r="E18" s="144"/>
      <c r="F18" s="144"/>
      <c r="G18" s="144"/>
      <c r="H18" s="144"/>
      <c r="I18" s="36"/>
      <c r="J18" s="36"/>
      <c r="K18" s="36"/>
      <c r="L18" s="36"/>
      <c r="M18" s="36"/>
      <c r="N18" s="36"/>
      <c r="O18" s="36"/>
      <c r="P18" s="36"/>
      <c r="Q18" s="36"/>
    </row>
    <row r="19" spans="1:17" ht="23.15" customHeight="1">
      <c r="A19" s="144" t="s">
        <v>615</v>
      </c>
      <c r="B19" s="144"/>
      <c r="C19" s="144"/>
      <c r="D19" s="144"/>
      <c r="E19" s="161" t="e">
        <f>SUM(G39)</f>
        <v>#N/A</v>
      </c>
      <c r="F19" s="144"/>
      <c r="G19" s="146" t="s">
        <v>272</v>
      </c>
      <c r="H19" s="146"/>
      <c r="I19" s="36"/>
      <c r="J19" s="908"/>
      <c r="K19" s="908"/>
      <c r="L19" s="908"/>
      <c r="M19" s="908"/>
      <c r="O19" s="36"/>
      <c r="P19" s="36"/>
      <c r="Q19" s="36"/>
    </row>
    <row r="20" spans="1:17" ht="15" customHeight="1" thickBot="1">
      <c r="A20" s="36"/>
      <c r="B20" s="144"/>
      <c r="C20" s="144"/>
      <c r="D20" s="144"/>
      <c r="E20" s="144"/>
      <c r="F20" s="144"/>
      <c r="G20" s="144"/>
      <c r="H20" s="144"/>
      <c r="I20" s="36"/>
      <c r="J20" s="36"/>
      <c r="K20" s="36"/>
      <c r="L20" s="36"/>
      <c r="M20" s="36"/>
      <c r="N20" s="36"/>
      <c r="O20" s="36"/>
      <c r="P20" s="36"/>
      <c r="Q20" s="36"/>
    </row>
    <row r="21" spans="1:17" ht="23.15" customHeight="1">
      <c r="A21" s="36"/>
      <c r="B21" s="162" t="s">
        <v>273</v>
      </c>
      <c r="C21" s="987" t="s">
        <v>276</v>
      </c>
      <c r="D21" s="988"/>
      <c r="E21" s="987" t="s">
        <v>277</v>
      </c>
      <c r="F21" s="988"/>
      <c r="G21" s="989" t="s">
        <v>478</v>
      </c>
      <c r="H21" s="990"/>
      <c r="I21" s="36"/>
      <c r="J21" s="36"/>
      <c r="K21" s="36"/>
      <c r="L21" s="36"/>
      <c r="M21" s="36"/>
      <c r="N21" s="36"/>
      <c r="O21" s="36"/>
      <c r="P21" s="36"/>
      <c r="Q21" s="36"/>
    </row>
    <row r="22" spans="1:17" ht="15" customHeight="1">
      <c r="A22" s="36"/>
      <c r="B22" s="983" t="s">
        <v>734</v>
      </c>
      <c r="C22" s="163"/>
      <c r="D22" s="164"/>
      <c r="E22" s="165" t="s">
        <v>616</v>
      </c>
      <c r="F22" s="166"/>
      <c r="G22" s="163"/>
      <c r="H22" s="167"/>
      <c r="I22" s="36"/>
      <c r="J22" s="36"/>
      <c r="K22" s="136" t="s">
        <v>621</v>
      </c>
      <c r="L22" s="178"/>
      <c r="M22" s="178"/>
      <c r="N22" s="178"/>
      <c r="O22" s="178"/>
      <c r="P22" s="178"/>
      <c r="Q22" s="178"/>
    </row>
    <row r="23" spans="1:17" ht="15" customHeight="1">
      <c r="A23" s="36"/>
      <c r="B23" s="984"/>
      <c r="C23" s="175">
        <f>ROUNDDOWN(様式１!J22*3/4,-3)</f>
        <v>0</v>
      </c>
      <c r="D23" s="168" t="s">
        <v>274</v>
      </c>
      <c r="E23" s="177">
        <v>0</v>
      </c>
      <c r="F23" s="169" t="s">
        <v>274</v>
      </c>
      <c r="G23" s="177">
        <f>ROUNDDOWN(C23*2/3,-3)</f>
        <v>0</v>
      </c>
      <c r="H23" s="170" t="s">
        <v>274</v>
      </c>
      <c r="I23" s="36"/>
      <c r="J23" s="36"/>
      <c r="K23" s="36" t="s">
        <v>1317</v>
      </c>
      <c r="L23" s="178"/>
      <c r="M23" s="178"/>
      <c r="N23" s="178"/>
      <c r="O23" s="178"/>
      <c r="P23" s="178"/>
      <c r="Q23" s="178"/>
    </row>
    <row r="24" spans="1:17" ht="15" customHeight="1">
      <c r="A24" s="36"/>
      <c r="B24" s="983" t="s">
        <v>735</v>
      </c>
      <c r="C24" s="176"/>
      <c r="D24" s="164"/>
      <c r="E24" s="165" t="s">
        <v>616</v>
      </c>
      <c r="F24" s="166"/>
      <c r="G24" s="176"/>
      <c r="H24" s="167"/>
      <c r="I24" s="36"/>
      <c r="J24" s="36"/>
      <c r="K24" s="991" t="s">
        <v>803</v>
      </c>
      <c r="L24" s="991"/>
      <c r="M24" s="991"/>
      <c r="N24" s="991"/>
      <c r="O24" s="991"/>
      <c r="P24" s="991"/>
      <c r="Q24" s="991"/>
    </row>
    <row r="25" spans="1:17" ht="15" customHeight="1">
      <c r="A25" s="36"/>
      <c r="B25" s="984"/>
      <c r="C25" s="175">
        <f>ROUNDDOWN(様式１!J23*3/4,-3)</f>
        <v>0</v>
      </c>
      <c r="D25" s="168" t="s">
        <v>274</v>
      </c>
      <c r="E25" s="177">
        <v>0</v>
      </c>
      <c r="F25" s="169" t="s">
        <v>274</v>
      </c>
      <c r="G25" s="177">
        <f>ROUNDDOWN(C25*2/3,-3)</f>
        <v>0</v>
      </c>
      <c r="H25" s="170" t="s">
        <v>274</v>
      </c>
      <c r="I25" s="36"/>
      <c r="J25" s="36"/>
      <c r="K25" s="991"/>
      <c r="L25" s="991"/>
      <c r="M25" s="991"/>
      <c r="N25" s="991"/>
      <c r="O25" s="991"/>
      <c r="P25" s="991"/>
      <c r="Q25" s="991"/>
    </row>
    <row r="26" spans="1:17" ht="15" customHeight="1">
      <c r="A26" s="36"/>
      <c r="B26" s="983" t="s">
        <v>736</v>
      </c>
      <c r="C26" s="176"/>
      <c r="D26" s="164"/>
      <c r="E26" s="165" t="s">
        <v>616</v>
      </c>
      <c r="F26" s="166"/>
      <c r="G26" s="176"/>
      <c r="H26" s="167"/>
      <c r="I26" s="36"/>
      <c r="J26" s="36"/>
      <c r="K26" s="991"/>
      <c r="L26" s="991"/>
      <c r="M26" s="991"/>
      <c r="N26" s="991"/>
      <c r="O26" s="991"/>
      <c r="P26" s="991"/>
      <c r="Q26" s="991"/>
    </row>
    <row r="27" spans="1:17" ht="15" customHeight="1">
      <c r="A27" s="36"/>
      <c r="B27" s="984"/>
      <c r="C27" s="175">
        <f>ROUNDDOWN(様式１!J24*3/4,-3)</f>
        <v>0</v>
      </c>
      <c r="D27" s="168" t="s">
        <v>274</v>
      </c>
      <c r="E27" s="177">
        <v>0</v>
      </c>
      <c r="F27" s="169" t="s">
        <v>274</v>
      </c>
      <c r="G27" s="177">
        <f>ROUNDDOWN(C27*2/3,-3)</f>
        <v>0</v>
      </c>
      <c r="H27" s="170" t="s">
        <v>274</v>
      </c>
      <c r="I27" s="36"/>
      <c r="J27" s="36"/>
      <c r="K27" s="991"/>
      <c r="L27" s="991"/>
      <c r="M27" s="991"/>
      <c r="N27" s="991"/>
      <c r="O27" s="991"/>
      <c r="P27" s="991"/>
      <c r="Q27" s="991"/>
    </row>
    <row r="28" spans="1:17" ht="15" customHeight="1">
      <c r="A28" s="36"/>
      <c r="B28" s="983" t="s">
        <v>737</v>
      </c>
      <c r="C28" s="176"/>
      <c r="D28" s="164"/>
      <c r="E28" s="165" t="s">
        <v>616</v>
      </c>
      <c r="F28" s="166"/>
      <c r="G28" s="176"/>
      <c r="H28" s="167"/>
      <c r="I28" s="36"/>
      <c r="J28" s="36"/>
      <c r="K28" s="991"/>
      <c r="L28" s="991"/>
      <c r="M28" s="991"/>
      <c r="N28" s="991"/>
      <c r="O28" s="991"/>
      <c r="P28" s="991"/>
      <c r="Q28" s="991"/>
    </row>
    <row r="29" spans="1:17" ht="15" customHeight="1">
      <c r="A29" s="36"/>
      <c r="B29" s="984"/>
      <c r="C29" s="175">
        <f>ROUNDDOWN(様式１!J25*3/4,-3)</f>
        <v>0</v>
      </c>
      <c r="D29" s="168" t="s">
        <v>274</v>
      </c>
      <c r="E29" s="177">
        <v>0</v>
      </c>
      <c r="F29" s="169" t="s">
        <v>274</v>
      </c>
      <c r="G29" s="177">
        <f>ROUNDDOWN(C29*2/3,-3)</f>
        <v>0</v>
      </c>
      <c r="H29" s="170" t="s">
        <v>274</v>
      </c>
      <c r="I29" s="36"/>
      <c r="J29" s="36"/>
      <c r="K29" s="36"/>
      <c r="L29" s="36"/>
      <c r="M29" s="36"/>
      <c r="N29" s="36"/>
      <c r="O29" s="36"/>
      <c r="P29" s="36"/>
      <c r="Q29" s="36"/>
    </row>
    <row r="30" spans="1:17" ht="15" customHeight="1">
      <c r="A30" s="36"/>
      <c r="B30" s="983" t="s">
        <v>738</v>
      </c>
      <c r="C30" s="176"/>
      <c r="D30" s="164"/>
      <c r="E30" s="165" t="s">
        <v>616</v>
      </c>
      <c r="F30" s="166"/>
      <c r="G30" s="176"/>
      <c r="H30" s="167"/>
      <c r="I30" s="36"/>
      <c r="J30" s="36"/>
      <c r="K30" s="36"/>
      <c r="L30" s="36"/>
      <c r="M30" s="36"/>
      <c r="N30" s="36"/>
      <c r="O30" s="36"/>
      <c r="P30" s="36"/>
      <c r="Q30" s="36"/>
    </row>
    <row r="31" spans="1:17" ht="15" customHeight="1">
      <c r="A31" s="36"/>
      <c r="B31" s="984"/>
      <c r="C31" s="175">
        <f>ROUNDDOWN(様式１!J26*3/4,-3)</f>
        <v>0</v>
      </c>
      <c r="D31" s="168" t="s">
        <v>274</v>
      </c>
      <c r="E31" s="177">
        <v>0</v>
      </c>
      <c r="F31" s="169" t="s">
        <v>274</v>
      </c>
      <c r="G31" s="177">
        <f>ROUNDDOWN(C31*2/3,-3)</f>
        <v>0</v>
      </c>
      <c r="H31" s="170" t="s">
        <v>274</v>
      </c>
      <c r="I31" s="36"/>
      <c r="J31" s="36"/>
      <c r="K31" s="36"/>
      <c r="L31" s="36"/>
      <c r="M31" s="36"/>
      <c r="N31" s="36"/>
      <c r="O31" s="36"/>
      <c r="P31" s="36"/>
      <c r="Q31" s="36"/>
    </row>
    <row r="32" spans="1:17" ht="15" customHeight="1">
      <c r="A32" s="36"/>
      <c r="B32" s="983" t="s">
        <v>739</v>
      </c>
      <c r="C32" s="176"/>
      <c r="D32" s="164"/>
      <c r="E32" s="165" t="s">
        <v>616</v>
      </c>
      <c r="F32" s="166"/>
      <c r="G32" s="176"/>
      <c r="H32" s="167"/>
      <c r="I32" s="36"/>
      <c r="J32" s="36"/>
      <c r="K32" s="36"/>
      <c r="L32" s="36"/>
      <c r="M32" s="36"/>
      <c r="N32" s="36"/>
      <c r="O32" s="36"/>
      <c r="P32" s="36"/>
      <c r="Q32" s="36"/>
    </row>
    <row r="33" spans="1:17" ht="15" customHeight="1">
      <c r="A33" s="36"/>
      <c r="B33" s="984"/>
      <c r="C33" s="175">
        <f>ROUNDDOWN(様式１!J27*3/4,-3)</f>
        <v>0</v>
      </c>
      <c r="D33" s="168" t="s">
        <v>274</v>
      </c>
      <c r="E33" s="177">
        <v>0</v>
      </c>
      <c r="F33" s="169" t="s">
        <v>274</v>
      </c>
      <c r="G33" s="177">
        <f>ROUNDDOWN(C33*2/3,-3)</f>
        <v>0</v>
      </c>
      <c r="H33" s="170" t="s">
        <v>274</v>
      </c>
      <c r="I33" s="36"/>
      <c r="J33" s="36"/>
      <c r="K33" s="36"/>
      <c r="L33" s="36"/>
      <c r="M33" s="36"/>
      <c r="N33" s="36"/>
      <c r="O33" s="36"/>
      <c r="P33" s="36"/>
      <c r="Q33" s="36"/>
    </row>
    <row r="34" spans="1:17" ht="15" customHeight="1">
      <c r="A34" s="36"/>
      <c r="B34" s="983" t="s">
        <v>740</v>
      </c>
      <c r="C34" s="176"/>
      <c r="D34" s="164"/>
      <c r="E34" s="165" t="s">
        <v>616</v>
      </c>
      <c r="F34" s="166"/>
      <c r="G34" s="176"/>
      <c r="H34" s="167"/>
      <c r="I34" s="36"/>
      <c r="J34" s="36"/>
      <c r="K34" s="36"/>
      <c r="L34" s="36"/>
      <c r="M34" s="36"/>
      <c r="N34" s="36"/>
      <c r="O34" s="36"/>
      <c r="P34" s="36"/>
      <c r="Q34" s="36"/>
    </row>
    <row r="35" spans="1:17" ht="15" customHeight="1">
      <c r="A35" s="36"/>
      <c r="B35" s="984"/>
      <c r="C35" s="175">
        <f>ROUNDDOWN(様式１!J28*3/4,-3)</f>
        <v>0</v>
      </c>
      <c r="D35" s="168" t="s">
        <v>274</v>
      </c>
      <c r="E35" s="177">
        <v>0</v>
      </c>
      <c r="F35" s="169" t="s">
        <v>274</v>
      </c>
      <c r="G35" s="177">
        <f>ROUNDDOWN(C35*2/3,-3)</f>
        <v>0</v>
      </c>
      <c r="H35" s="170" t="s">
        <v>274</v>
      </c>
      <c r="I35" s="36"/>
      <c r="J35" s="36"/>
      <c r="K35" s="36"/>
      <c r="L35" s="36"/>
      <c r="M35" s="36"/>
      <c r="N35" s="36"/>
      <c r="O35" s="36"/>
      <c r="P35" s="36"/>
      <c r="Q35" s="36"/>
    </row>
    <row r="36" spans="1:17" ht="15" customHeight="1">
      <c r="A36" s="36"/>
      <c r="B36" s="891" t="s">
        <v>1315</v>
      </c>
      <c r="C36" s="176"/>
      <c r="D36" s="164"/>
      <c r="E36" s="165" t="s">
        <v>616</v>
      </c>
      <c r="F36" s="166"/>
      <c r="G36" s="176"/>
      <c r="H36" s="167"/>
      <c r="I36" s="36"/>
      <c r="J36" s="36"/>
      <c r="K36" s="36"/>
      <c r="L36" s="36"/>
      <c r="M36" s="36"/>
      <c r="N36" s="36"/>
      <c r="O36" s="36"/>
      <c r="P36" s="36"/>
      <c r="Q36" s="36"/>
    </row>
    <row r="37" spans="1:17" ht="15" customHeight="1">
      <c r="A37" s="36"/>
      <c r="B37" s="986"/>
      <c r="C37" s="175" t="e">
        <f>様式１!J29</f>
        <v>#N/A</v>
      </c>
      <c r="D37" s="168" t="s">
        <v>274</v>
      </c>
      <c r="E37" s="177">
        <v>0</v>
      </c>
      <c r="F37" s="169" t="s">
        <v>274</v>
      </c>
      <c r="G37" s="175" t="e">
        <f>C37</f>
        <v>#N/A</v>
      </c>
      <c r="H37" s="170" t="s">
        <v>274</v>
      </c>
      <c r="I37" s="36"/>
      <c r="J37" s="36"/>
      <c r="K37" s="36"/>
      <c r="L37" s="36"/>
      <c r="M37" s="36"/>
      <c r="N37" s="36"/>
      <c r="O37" s="36"/>
      <c r="P37" s="36"/>
      <c r="Q37" s="36"/>
    </row>
    <row r="38" spans="1:17" ht="15" customHeight="1">
      <c r="A38" s="36"/>
      <c r="B38" s="983" t="s">
        <v>275</v>
      </c>
      <c r="C38" s="176"/>
      <c r="D38" s="164"/>
      <c r="E38" s="165" t="s">
        <v>616</v>
      </c>
      <c r="F38" s="166"/>
      <c r="G38" s="176"/>
      <c r="H38" s="167"/>
      <c r="I38" s="36"/>
      <c r="J38" s="36"/>
      <c r="K38" s="36"/>
      <c r="L38" s="36"/>
      <c r="M38" s="36"/>
      <c r="N38" s="36"/>
      <c r="O38" s="36"/>
      <c r="P38" s="36"/>
      <c r="Q38" s="36"/>
    </row>
    <row r="39" spans="1:17" ht="15" customHeight="1" thickBot="1">
      <c r="A39" s="36"/>
      <c r="B39" s="985"/>
      <c r="C39" s="316" t="e">
        <f>SUM(C23,C25,C33,C27,C29,C31,C35,C37)</f>
        <v>#N/A</v>
      </c>
      <c r="D39" s="171" t="s">
        <v>274</v>
      </c>
      <c r="E39" s="316">
        <f>SUM(E23,E25,E33,E27,E29,E31,E35)</f>
        <v>0</v>
      </c>
      <c r="F39" s="172" t="s">
        <v>274</v>
      </c>
      <c r="G39" s="316" t="e">
        <f>SUM(G23,G25,G33,G27,G29,G31,G35,G37)</f>
        <v>#N/A</v>
      </c>
      <c r="H39" s="173" t="s">
        <v>274</v>
      </c>
      <c r="I39" s="36"/>
      <c r="J39" s="36"/>
      <c r="K39" s="36"/>
      <c r="L39" s="36"/>
      <c r="M39" s="36"/>
      <c r="N39" s="36"/>
      <c r="O39" s="36"/>
      <c r="P39" s="36"/>
      <c r="Q39" s="36"/>
    </row>
  </sheetData>
  <sheetProtection algorithmName="SHA-512" hashValue="fBIINoGyVzrn/HRUwZujWFSpjdl+bmnKR260s+VgE+owCvILpLKQvBSP/3S6XitqV2lJCkxBAWIThf3Q/SecNA==" saltValue="w1BA4JtKTaSQ0IrlcQHj/A==" spinCount="100000" sheet="1" selectLockedCells="1"/>
  <mergeCells count="25">
    <mergeCell ref="A4:H4"/>
    <mergeCell ref="A5:H5"/>
    <mergeCell ref="F7:H9"/>
    <mergeCell ref="F10:H10"/>
    <mergeCell ref="F11:H11"/>
    <mergeCell ref="A11:D13"/>
    <mergeCell ref="F13:H13"/>
    <mergeCell ref="B22:B23"/>
    <mergeCell ref="F12:H12"/>
    <mergeCell ref="A9:D9"/>
    <mergeCell ref="A10:D10"/>
    <mergeCell ref="B15:H17"/>
    <mergeCell ref="J19:M19"/>
    <mergeCell ref="C21:D21"/>
    <mergeCell ref="E21:F21"/>
    <mergeCell ref="G21:H21"/>
    <mergeCell ref="K24:Q28"/>
    <mergeCell ref="B24:B25"/>
    <mergeCell ref="B32:B33"/>
    <mergeCell ref="B34:B35"/>
    <mergeCell ref="B38:B39"/>
    <mergeCell ref="B26:B27"/>
    <mergeCell ref="B28:B29"/>
    <mergeCell ref="B30:B31"/>
    <mergeCell ref="B36:B37"/>
  </mergeCells>
  <phoneticPr fontId="1"/>
  <pageMargins left="0.78740157480314965" right="0.78740157480314965" top="0.98425196850393704" bottom="0.98425196850393704" header="0.51181102362204722" footer="0.51181102362204722"/>
  <pageSetup paperSize="9" scale="90" orientation="portrait" blackAndWhite="1" r:id="rId1"/>
  <headerFooter alignWithMargins="0"/>
  <drawing r:id="rId2"/>
  <extLst>
    <ext xmlns:x14="http://schemas.microsoft.com/office/spreadsheetml/2009/9/main" uri="{78C0D931-6437-407d-A8EE-F0AAD7539E65}">
      <x14:conditionalFormattings>
        <x14:conditionalFormatting xmlns:xm="http://schemas.microsoft.com/office/excel/2006/main">
          <x14:cfRule type="containsText" priority="3" operator="containsText" id="{944AB904-04A6-4949-8DD9-A3C4AC5988F6}">
            <xm:f>NOT(ISERROR(SEARCH($A$9,A9)))</xm:f>
            <xm:f>$A$9</xm:f>
            <x14:dxf>
              <font>
                <color auto="1"/>
              </font>
              <fill>
                <patternFill>
                  <bgColor rgb="FFFFFF00"/>
                </patternFill>
              </fill>
            </x14:dxf>
          </x14:cfRule>
          <xm:sqref>A11 A14:D14 A9:D10</xm:sqref>
        </x14:conditionalFormatting>
        <x14:conditionalFormatting xmlns:xm="http://schemas.microsoft.com/office/excel/2006/main">
          <x14:cfRule type="containsText" priority="1" operator="containsText" id="{013CABBD-DBAB-405A-8B00-43DD617AEC69}">
            <xm:f>NOT(ISERROR(SEARCH($A$11,A11)))</xm:f>
            <xm:f>$A$11</xm:f>
            <x14:dxf>
              <font>
                <b/>
                <i val="0"/>
                <color theme="0"/>
              </font>
              <fill>
                <patternFill>
                  <bgColor rgb="FFFF0000"/>
                </patternFill>
              </fill>
            </x14:dxf>
          </x14:cfRule>
          <xm:sqref>A11 A14:D14</xm:sqref>
        </x14:conditionalFormatting>
        <x14:conditionalFormatting xmlns:xm="http://schemas.microsoft.com/office/excel/2006/main">
          <x14:cfRule type="containsText" priority="2" operator="containsText" id="{A6E9EB2F-7A41-41AA-9F65-9AE81D697D91}">
            <xm:f>NOT(ISERROR(SEARCH($A$10,A10)))</xm:f>
            <xm:f>$A$10</xm:f>
            <x14:dxf>
              <font>
                <u/>
                <color auto="1"/>
              </font>
              <fill>
                <patternFill>
                  <bgColor rgb="FFFFFF00"/>
                </patternFill>
              </fill>
            </x14:dxf>
          </x14:cfRule>
          <xm:sqref>A10:D10</xm:sqref>
        </x14:conditionalFormatting>
      </x14:conditionalFormatting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D9D2D-AB18-4D06-8F0D-B45FB14EFD5F}">
  <sheetPr>
    <tabColor rgb="FFFF0000"/>
    <pageSetUpPr fitToPage="1"/>
  </sheetPr>
  <dimension ref="B2:G94"/>
  <sheetViews>
    <sheetView view="pageBreakPreview" zoomScaleNormal="100" zoomScaleSheetLayoutView="100" workbookViewId="0">
      <selection activeCell="D6" sqref="D6"/>
    </sheetView>
  </sheetViews>
  <sheetFormatPr defaultColWidth="8.6640625" defaultRowHeight="13"/>
  <cols>
    <col min="1" max="1" width="3.6640625" style="392" customWidth="1"/>
    <col min="2" max="2" width="65.83203125" style="392" customWidth="1"/>
    <col min="3" max="4" width="12.33203125" style="392" customWidth="1"/>
    <col min="5" max="5" width="64.1640625" style="392" bestFit="1" customWidth="1"/>
    <col min="6" max="6" width="8.6640625" style="392"/>
    <col min="7" max="7" width="8.6640625" style="392" customWidth="1"/>
    <col min="8" max="16384" width="8.6640625" style="392"/>
  </cols>
  <sheetData>
    <row r="2" spans="2:7" ht="16.5">
      <c r="B2" s="398" t="str">
        <f>IF(B6="",G4,G2)</f>
        <v>※本市への送付前に、必ず確認を行い、備考の内容に沿って修正してください。</v>
      </c>
      <c r="C2" s="397"/>
      <c r="D2" s="397"/>
      <c r="E2" s="397"/>
      <c r="G2" s="478" t="s">
        <v>1489</v>
      </c>
    </row>
    <row r="3" spans="2:7" ht="16.5">
      <c r="B3" s="398" t="str">
        <f>IF(B6="","",G3)</f>
        <v>※修正方法が不明の場合は、「園の確認欄」にその旨を記載（リストから選択）のうえ、そのまま送付してください。</v>
      </c>
      <c r="C3" s="397"/>
      <c r="D3" s="397"/>
      <c r="E3" s="397"/>
      <c r="G3" s="478" t="s">
        <v>1490</v>
      </c>
    </row>
    <row r="4" spans="2:7">
      <c r="G4" s="478" t="s">
        <v>1491</v>
      </c>
    </row>
    <row r="5" spans="2:7" ht="18" customHeight="1">
      <c r="B5" s="396" t="s">
        <v>1488</v>
      </c>
      <c r="C5" s="396" t="s">
        <v>1487</v>
      </c>
      <c r="D5" s="396" t="s">
        <v>1492</v>
      </c>
      <c r="E5" s="396" t="s">
        <v>1486</v>
      </c>
    </row>
    <row r="6" spans="2:7" ht="27.5" customHeight="1">
      <c r="B6" s="395" t="str" cm="1">
        <f t="array" ref="B6">IFERROR(INDEX(チェックシート!$B$6:$D$113,SMALL(IF(チェックシート!$B$6:$D$113="×",ROW(チェックシート!$B$6:$D$113)-ROW(チェックシート!$B$6)+1),ROWS($B$6:B6)),COLUMN(B6)-COLUMN($B$6)+1),"")</f>
        <v>①基本情報の保育園名が入力されているか</v>
      </c>
      <c r="C6" s="399" t="str" cm="1">
        <f t="array" ref="C6">IFERROR(INDEX(チェックシート!$B$6:$D$113,SMALL(IF(チェックシート!$B$6:$D$113="×",ROW(チェックシート!$B$6:$D$113)-ROW(チェックシート!$B$6)+1),ROWS($B$6:C6)),COLUMN(C6)-COLUMN($B$6)+1),"")</f>
        <v>×</v>
      </c>
      <c r="D6" s="535"/>
      <c r="E6" s="395" t="str" cm="1">
        <f t="array" ref="E6">IFERROR(INDEX(チェックシート!$B$6:$D$113,SMALL(IF(チェックシート!$B$6:$D$113="×",ROW(チェックシート!$B$6:$D$113)-ROW(チェックシート!$B$6)+1),ROWS($B$6:E6)),COLUMN(E6)-COLUMN($B$6)),"")</f>
        <v>入力必須の項目のため、必ず入力してください。</v>
      </c>
    </row>
    <row r="7" spans="2:7" ht="27.5" customHeight="1">
      <c r="B7" s="395" t="str" cm="1">
        <f t="array" ref="B7">IFERROR(INDEX(チェックシート!$B$6:$D$113,SMALL(IF(チェックシート!$B$6:$D$113="×",ROW(チェックシート!$B$6:$D$113)-ROW(チェックシート!$B$6)+1),ROWS($B$6:B7)),COLUMN(B7)-COLUMN($B$6)+1),"")</f>
        <v>①基本情報の園の固有番号が入力されているか</v>
      </c>
      <c r="C7" s="399" t="str" cm="1">
        <f t="array" ref="C7">IFERROR(INDEX(チェックシート!$B$6:$D$113,SMALL(IF(チェックシート!$B$6:$D$113="×",ROW(チェックシート!$B$6:$D$113)-ROW(チェックシート!$B$6)+1),ROWS($B$6:C7)),COLUMN(C7)-COLUMN($B$6)+1),"")</f>
        <v>×</v>
      </c>
      <c r="D7" s="535"/>
      <c r="E7" s="395" t="str" cm="1">
        <f t="array" ref="E7">IFERROR(INDEX(チェックシート!$B$6:$D$113,SMALL(IF(チェックシート!$B$6:$D$113="×",ROW(チェックシート!$B$6:$D$113)-ROW(チェックシート!$B$6)+1),ROWS($B$6:E7)),COLUMN(E7)-COLUMN($B$6)),"")</f>
        <v>入力必須の項目のため、必ず入力してください。</v>
      </c>
    </row>
    <row r="8" spans="2:7" ht="27.5" customHeight="1">
      <c r="B8" s="395" t="str" cm="1">
        <f t="array" ref="B8">IFERROR(INDEX(チェックシート!$B$6:$D$113,SMALL(IF(チェックシート!$B$6:$D$113="×",ROW(チェックシート!$B$6:$D$113)-ROW(チェックシート!$B$6)+1),ROWS($B$6:B8)),COLUMN(B8)-COLUMN($B$6)+1),"")</f>
        <v>①基本情報の作成担当者氏名が入力されているか</v>
      </c>
      <c r="C8" s="399" t="str" cm="1">
        <f t="array" ref="C8">IFERROR(INDEX(チェックシート!$B$6:$D$113,SMALL(IF(チェックシート!$B$6:$D$113="×",ROW(チェックシート!$B$6:$D$113)-ROW(チェックシート!$B$6)+1),ROWS($B$6:C8)),COLUMN(C8)-COLUMN($B$6)+1),"")</f>
        <v>×</v>
      </c>
      <c r="D8" s="535"/>
      <c r="E8" s="395" t="str" cm="1">
        <f t="array" ref="E8">IFERROR(INDEX(チェックシート!$B$6:$D$113,SMALL(IF(チェックシート!$B$6:$D$113="×",ROW(チェックシート!$B$6:$D$113)-ROW(チェックシート!$B$6)+1),ROWS($B$6:E8)),COLUMN(E8)-COLUMN($B$6)),"")</f>
        <v>入力必須の項目のため、必ず入力してください。</v>
      </c>
    </row>
    <row r="9" spans="2:7" ht="27.5" customHeight="1">
      <c r="B9" s="395" t="str" cm="1">
        <f t="array" ref="B9">IFERROR(INDEX(チェックシート!$B$6:$D$113,SMALL(IF(チェックシート!$B$6:$D$113="×",ROW(チェックシート!$B$6:$D$113)-ROW(チェックシート!$B$6)+1),ROWS($B$6:B9)),COLUMN(B9)-COLUMN($B$6)+1),"")</f>
        <v>①基本情報の連絡先が入力されているか</v>
      </c>
      <c r="C9" s="399" t="str" cm="1">
        <f t="array" ref="C9">IFERROR(INDEX(チェックシート!$B$6:$D$113,SMALL(IF(チェックシート!$B$6:$D$113="×",ROW(チェックシート!$B$6:$D$113)-ROW(チェックシート!$B$6)+1),ROWS($B$6:C9)),COLUMN(C9)-COLUMN($B$6)+1),"")</f>
        <v>×</v>
      </c>
      <c r="D9" s="535"/>
      <c r="E9" s="395" t="str" cm="1">
        <f t="array" ref="E9">IFERROR(INDEX(チェックシート!$B$6:$D$113,SMALL(IF(チェックシート!$B$6:$D$113="×",ROW(チェックシート!$B$6:$D$113)-ROW(チェックシート!$B$6)+1),ROWS($B$6:E9)),COLUMN(E9)-COLUMN($B$6)),"")</f>
        <v>入力必須の項目のため、必ず入力してください。</v>
      </c>
    </row>
    <row r="10" spans="2:7" ht="27.5" customHeight="1">
      <c r="B10" s="395" t="str" cm="1">
        <f t="array" ref="B10">IFERROR(INDEX(チェックシート!$B$6:$D$113,SMALL(IF(チェックシート!$B$6:$D$113="×",ROW(チェックシート!$B$6:$D$113)-ROW(チェックシート!$B$6)+1),ROWS($B$6:B10)),COLUMN(B10)-COLUMN($B$6)+1),"")</f>
        <v>①基本情報のうち、保育士配置数が入力されているか</v>
      </c>
      <c r="C10" s="399" t="str" cm="1">
        <f t="array" ref="C10">IFERROR(INDEX(チェックシート!$B$6:$D$113,SMALL(IF(チェックシート!$B$6:$D$113="×",ROW(チェックシート!$B$6:$D$113)-ROW(チェックシート!$B$6)+1),ROWS($B$6:C10)),COLUMN(C10)-COLUMN($B$6)+1),"")</f>
        <v>×</v>
      </c>
      <c r="D10" s="535"/>
      <c r="E10" s="395" t="str" cm="1">
        <f t="array" ref="E10">IFERROR(INDEX(チェックシート!$B$6:$D$113,SMALL(IF(チェックシート!$B$6:$D$113="×",ROW(チェックシート!$B$6:$D$113)-ROW(チェックシート!$B$6)+1),ROWS($B$6:E10)),COLUMN(E10)-COLUMN($B$6)),"")</f>
        <v>入力必須の項目のため、必ず入力してください。
配置されていない場合は「０」を入力してください。</v>
      </c>
    </row>
    <row r="11" spans="2:7" ht="27.5" customHeight="1">
      <c r="B11" s="395" t="str" cm="1">
        <f t="array" ref="B11">IFERROR(INDEX(チェックシート!$B$6:$D$113,SMALL(IF(チェックシート!$B$6:$D$113="×",ROW(チェックシート!$B$6:$D$113)-ROW(チェックシート!$B$6)+1),ROWS($B$6:B11)),COLUMN(B11)-COLUMN($B$6)+1),"")</f>
        <v>①基本情報のうち、医療的ケアに係る看護師等が入力されているか</v>
      </c>
      <c r="C11" s="399" t="str" cm="1">
        <f t="array" ref="C11">IFERROR(INDEX(チェックシート!$B$6:$D$113,SMALL(IF(チェックシート!$B$6:$D$113="×",ROW(チェックシート!$B$6:$D$113)-ROW(チェックシート!$B$6)+1),ROWS($B$6:C11)),COLUMN(C11)-COLUMN($B$6)+1),"")</f>
        <v>×</v>
      </c>
      <c r="D11" s="535"/>
      <c r="E11" s="395" t="str" cm="1">
        <f t="array" ref="E11">IFERROR(INDEX(チェックシート!$B$6:$D$113,SMALL(IF(チェックシート!$B$6:$D$113="×",ROW(チェックシート!$B$6:$D$113)-ROW(チェックシート!$B$6)+1),ROWS($B$6:E11)),COLUMN(E11)-COLUMN($B$6)),"")</f>
        <v>入力必須の項目のため、必ず入力してください。
配置されていない場合は「０」を入力してください。</v>
      </c>
    </row>
    <row r="12" spans="2:7" ht="27.5" customHeight="1">
      <c r="B12" s="395" t="str" cm="1">
        <f t="array" ref="B12">IFERROR(INDEX(チェックシート!$B$6:$D$113,SMALL(IF(チェックシート!$B$6:$D$113="×",ROW(チェックシート!$B$6:$D$113)-ROW(チェックシート!$B$6)+1),ROWS($B$6:B12)),COLUMN(B12)-COLUMN($B$6)+1),"")</f>
        <v>①基本情報の医療的ケアを要する児童数が入力されているか</v>
      </c>
      <c r="C12" s="399" t="str" cm="1">
        <f t="array" ref="C12">IFERROR(INDEX(チェックシート!$B$6:$D$113,SMALL(IF(チェックシート!$B$6:$D$113="×",ROW(チェックシート!$B$6:$D$113)-ROW(チェックシート!$B$6)+1),ROWS($B$6:C12)),COLUMN(C12)-COLUMN($B$6)+1),"")</f>
        <v>×</v>
      </c>
      <c r="D12" s="535"/>
      <c r="E12" s="395" t="str" cm="1">
        <f t="array" ref="E12">IFERROR(INDEX(チェックシート!$B$6:$D$113,SMALL(IF(チェックシート!$B$6:$D$113="×",ROW(チェックシート!$B$6:$D$113)-ROW(チェックシート!$B$6)+1),ROWS($B$6:E12)),COLUMN(E12)-COLUMN($B$6)),"")</f>
        <v>入力必須の項目のため、必ず入力してください。
配置されていない場合は「０」を入力してください。</v>
      </c>
    </row>
    <row r="13" spans="2:7" ht="27.5" customHeight="1">
      <c r="B13" s="395" t="str" cm="1">
        <f t="array" ref="B13">IFERROR(INDEX(チェックシート!$B$6:$D$113,SMALL(IF(チェックシート!$B$6:$D$113="×",ROW(チェックシート!$B$6:$D$113)-ROW(チェックシート!$B$6)+1),ROWS($B$6:B13)),COLUMN(B13)-COLUMN($B$6)+1),"")</f>
        <v>①基本情報の高齢者等活躍促進加算の該当者数が入力されているか</v>
      </c>
      <c r="C13" s="399" t="str" cm="1">
        <f t="array" ref="C13">IFERROR(INDEX(チェックシート!$B$6:$D$113,SMALL(IF(チェックシート!$B$6:$D$113="×",ROW(チェックシート!$B$6:$D$113)-ROW(チェックシート!$B$6)+1),ROWS($B$6:C13)),COLUMN(C13)-COLUMN($B$6)+1),"")</f>
        <v>×</v>
      </c>
      <c r="D13" s="535"/>
      <c r="E13" s="395" t="str" cm="1">
        <f t="array" ref="E13">IFERROR(INDEX(チェックシート!$B$6:$D$113,SMALL(IF(チェックシート!$B$6:$D$113="×",ROW(チェックシート!$B$6:$D$113)-ROW(チェックシート!$B$6)+1),ROWS($B$6:E13)),COLUMN(E13)-COLUMN($B$6)),"")</f>
        <v>入力必須の項目のため、必ず入力してください。
該当者がいない場合は「０」を入力してください。</v>
      </c>
    </row>
    <row r="14" spans="2:7" ht="27.5" customHeight="1">
      <c r="B14" s="395" t="str" cm="1">
        <f t="array" ref="B14">IFERROR(INDEX(チェックシート!$B$6:$D$113,SMALL(IF(チェックシート!$B$6:$D$113="×",ROW(チェックシート!$B$6:$D$113)-ROW(チェックシート!$B$6)+1),ROWS($B$6:B14)),COLUMN(B14)-COLUMN($B$6)+1),"")</f>
        <v>①基本情報の4歳以上児配置改善加算の適用が入力されているか</v>
      </c>
      <c r="C14" s="399" t="str" cm="1">
        <f t="array" ref="C14">IFERROR(INDEX(チェックシート!$B$6:$D$113,SMALL(IF(チェックシート!$B$6:$D$113="×",ROW(チェックシート!$B$6:$D$113)-ROW(チェックシート!$B$6)+1),ROWS($B$6:C14)),COLUMN(C14)-COLUMN($B$6)+1),"")</f>
        <v>×</v>
      </c>
      <c r="D14" s="535"/>
      <c r="E14" s="395" t="str" cm="1">
        <f t="array" ref="E14">IFERROR(INDEX(チェックシート!$B$6:$D$113,SMALL(IF(チェックシート!$B$6:$D$113="×",ROW(チェックシート!$B$6:$D$113)-ROW(チェックシート!$B$6)+1),ROWS($B$6:E14)),COLUMN(E14)-COLUMN($B$6)),"")</f>
        <v>入力必須の項目のため、必ず選択してください。</v>
      </c>
    </row>
    <row r="15" spans="2:7" ht="27.5" customHeight="1">
      <c r="B15" s="395" t="str" cm="1">
        <f t="array" ref="B15">IFERROR(INDEX(チェックシート!$B$6:$D$113,SMALL(IF(チェックシート!$B$6:$D$113="×",ROW(チェックシート!$B$6:$D$113)-ROW(チェックシート!$B$6)+1),ROWS($B$6:B15)),COLUMN(B15)-COLUMN($B$6)+1),"")</f>
        <v>①基本情報の1歳児配置改善加算の適用が入力されているか</v>
      </c>
      <c r="C15" s="399" t="str" cm="1">
        <f t="array" ref="C15">IFERROR(INDEX(チェックシート!$B$6:$D$113,SMALL(IF(チェックシート!$B$6:$D$113="×",ROW(チェックシート!$B$6:$D$113)-ROW(チェックシート!$B$6)+1),ROWS($B$6:C15)),COLUMN(C15)-COLUMN($B$6)+1),"")</f>
        <v>×</v>
      </c>
      <c r="D15" s="535"/>
      <c r="E15" s="395" t="str" cm="1">
        <f t="array" ref="E15">IFERROR(INDEX(チェックシート!$B$6:$D$113,SMALL(IF(チェックシート!$B$6:$D$113="×",ROW(チェックシート!$B$6:$D$113)-ROW(チェックシート!$B$6)+1),ROWS($B$6:E15)),COLUMN(E15)-COLUMN($B$6)),"")</f>
        <v>入力必須の項目のため、必ず選択してください。</v>
      </c>
    </row>
    <row r="16" spans="2:7" ht="27.5" customHeight="1">
      <c r="B16" s="395" t="str" cm="1">
        <f t="array" ref="B16">IFERROR(INDEX(チェックシート!$B$6:$D$113,SMALL(IF(チェックシート!$B$6:$D$113="×",ROW(チェックシート!$B$6:$D$113)-ROW(チェックシート!$B$6)+1),ROWS($B$6:B16)),COLUMN(B16)-COLUMN($B$6)+1),"")</f>
        <v>①基本情報の栄養管理加算の適用内容が入力されているか</v>
      </c>
      <c r="C16" s="399" t="str" cm="1">
        <f t="array" ref="C16">IFERROR(INDEX(チェックシート!$B$6:$D$113,SMALL(IF(チェックシート!$B$6:$D$113="×",ROW(チェックシート!$B$6:$D$113)-ROW(チェックシート!$B$6)+1),ROWS($B$6:C16)),COLUMN(C16)-COLUMN($B$6)+1),"")</f>
        <v>×</v>
      </c>
      <c r="D16" s="535"/>
      <c r="E16" s="395" t="str" cm="1">
        <f t="array" ref="E16">IFERROR(INDEX(チェックシート!$B$6:$D$113,SMALL(IF(チェックシート!$B$6:$D$113="×",ROW(チェックシート!$B$6:$D$113)-ROW(チェックシート!$B$6)+1),ROWS($B$6:E16)),COLUMN(E16)-COLUMN($B$6)),"")</f>
        <v>入力必須の項目のため、必ず選択してください。
摘要がない場合は「-」を選択してください。</v>
      </c>
    </row>
    <row r="17" spans="2:5" ht="27.5" customHeight="1">
      <c r="B17" s="395" t="str" cm="1">
        <f t="array" ref="B17">IFERROR(INDEX(チェックシート!$B$6:$D$113,SMALL(IF(チェックシート!$B$6:$D$113="×",ROW(チェックシート!$B$6:$D$113)-ROW(チェックシート!$B$6)+1),ROWS($B$6:B17)),COLUMN(B17)-COLUMN($B$6)+1),"")</f>
        <v>②-2勤務時間数入力の就業規則に定める月の「常勤時間数」が入力されているか</v>
      </c>
      <c r="C17" s="399" t="str" cm="1">
        <f t="array" ref="C17">IFERROR(INDEX(チェックシート!$B$6:$D$113,SMALL(IF(チェックシート!$B$6:$D$113="×",ROW(チェックシート!$B$6:$D$113)-ROW(チェックシート!$B$6)+1),ROWS($B$6:C17)),COLUMN(C17)-COLUMN($B$6)+1),"")</f>
        <v>×</v>
      </c>
      <c r="D17" s="535"/>
      <c r="E17" s="395" t="str" cm="1">
        <f t="array" ref="E17">IFERROR(INDEX(チェックシート!$B$6:$D$113,SMALL(IF(チェックシート!$B$6:$D$113="×",ROW(チェックシート!$B$6:$D$113)-ROW(チェックシート!$B$6)+1),ROWS($B$6:E17)),COLUMN(E17)-COLUMN($B$6)),"")</f>
        <v>入力必須の項目のため、必ず入力してください。</v>
      </c>
    </row>
    <row r="18" spans="2:5" ht="27.5" customHeight="1">
      <c r="B18" s="395" t="str" cm="1">
        <f t="array" ref="B18">IFERROR(INDEX(チェックシート!$B$6:$D$113,SMALL(IF(チェックシート!$B$6:$D$113="×",ROW(チェックシート!$B$6:$D$113)-ROW(チェックシート!$B$6)+1),ROWS($B$6:B18)),COLUMN(B18)-COLUMN($B$6)+1),"")</f>
        <v>③児童数及び保育士定数の児童数が入力されているか</v>
      </c>
      <c r="C18" s="399" t="str" cm="1">
        <f t="array" ref="C18">IFERROR(INDEX(チェックシート!$B$6:$D$113,SMALL(IF(チェックシート!$B$6:$D$113="×",ROW(チェックシート!$B$6:$D$113)-ROW(チェックシート!$B$6)+1),ROWS($B$6:C18)),COLUMN(C18)-COLUMN($B$6)+1),"")</f>
        <v>×</v>
      </c>
      <c r="D18" s="535"/>
      <c r="E18" s="395" t="str" cm="1">
        <f t="array" ref="E18">IFERROR(INDEX(チェックシート!$B$6:$D$113,SMALL(IF(チェックシート!$B$6:$D$113="×",ROW(チェックシート!$B$6:$D$113)-ROW(チェックシート!$B$6)+1),ROWS($B$6:E18)),COLUMN(E18)-COLUMN($B$6)),"")</f>
        <v>入力必須の項目のため、必ず入力してください。</v>
      </c>
    </row>
    <row r="19" spans="2:5" ht="27.5" customHeight="1">
      <c r="B19" s="395" t="str" cm="1">
        <f t="array" ref="B19">IFERROR(INDEX(チェックシート!$B$6:$D$113,SMALL(IF(チェックシート!$B$6:$D$113="×",ROW(チェックシート!$B$6:$D$113)-ROW(チェックシート!$B$6)+1),ROWS($B$6:B19)),COLUMN(B19)-COLUMN($B$6)+1),"")</f>
        <v/>
      </c>
      <c r="C19" s="399" t="str" cm="1">
        <f t="array" ref="C19">IFERROR(INDEX(チェックシート!$B$6:$D$113,SMALL(IF(チェックシート!$B$6:$D$113="×",ROW(チェックシート!$B$6:$D$113)-ROW(チェックシート!$B$6)+1),ROWS($B$6:C19)),COLUMN(C19)-COLUMN($B$6)+1),"")</f>
        <v/>
      </c>
      <c r="D19" s="535"/>
      <c r="E19" s="395" t="str" cm="1">
        <f t="array" ref="E19">IFERROR(INDEX(チェックシート!$B$6:$D$113,SMALL(IF(チェックシート!$B$6:$D$113="×",ROW(チェックシート!$B$6:$D$113)-ROW(チェックシート!$B$6)+1),ROWS($B$6:E19)),COLUMN(E19)-COLUMN($B$6)),"")</f>
        <v/>
      </c>
    </row>
    <row r="20" spans="2:5" ht="27.5" customHeight="1">
      <c r="B20" s="395" t="str" cm="1">
        <f t="array" ref="B20">IFERROR(INDEX(チェックシート!$B$6:$D$113,SMALL(IF(チェックシート!$B$6:$D$113="×",ROW(チェックシート!$B$6:$D$113)-ROW(チェックシート!$B$6)+1),ROWS($B$6:B20)),COLUMN(B20)-COLUMN($B$6)+1),"")</f>
        <v/>
      </c>
      <c r="C20" s="399" t="str" cm="1">
        <f t="array" ref="C20">IFERROR(INDEX(チェックシート!$B$6:$D$113,SMALL(IF(チェックシート!$B$6:$D$113="×",ROW(チェックシート!$B$6:$D$113)-ROW(チェックシート!$B$6)+1),ROWS($B$6:C20)),COLUMN(C20)-COLUMN($B$6)+1),"")</f>
        <v/>
      </c>
      <c r="D20" s="535"/>
      <c r="E20" s="395" t="str" cm="1">
        <f t="array" ref="E20">IFERROR(INDEX(チェックシート!$B$6:$D$113,SMALL(IF(チェックシート!$B$6:$D$113="×",ROW(チェックシート!$B$6:$D$113)-ROW(チェックシート!$B$6)+1),ROWS($B$6:E20)),COLUMN(E20)-COLUMN($B$6)),"")</f>
        <v/>
      </c>
    </row>
    <row r="21" spans="2:5" ht="27.5" customHeight="1">
      <c r="B21" s="395" t="str" cm="1">
        <f t="array" ref="B21">IFERROR(INDEX(チェックシート!$B$6:$D$113,SMALL(IF(チェックシート!$B$6:$D$113="×",ROW(チェックシート!$B$6:$D$113)-ROW(チェックシート!$B$6)+1),ROWS($B$6:B21)),COLUMN(B21)-COLUMN($B$6)+1),"")</f>
        <v/>
      </c>
      <c r="C21" s="399" t="str" cm="1">
        <f t="array" ref="C21">IFERROR(INDEX(チェックシート!$B$6:$D$113,SMALL(IF(チェックシート!$B$6:$D$113="×",ROW(チェックシート!$B$6:$D$113)-ROW(チェックシート!$B$6)+1),ROWS($B$6:C21)),COLUMN(C21)-COLUMN($B$6)+1),"")</f>
        <v/>
      </c>
      <c r="D21" s="535"/>
      <c r="E21" s="395" t="str" cm="1">
        <f t="array" ref="E21">IFERROR(INDEX(チェックシート!$B$6:$D$113,SMALL(IF(チェックシート!$B$6:$D$113="×",ROW(チェックシート!$B$6:$D$113)-ROW(チェックシート!$B$6)+1),ROWS($B$6:E21)),COLUMN(E21)-COLUMN($B$6)),"")</f>
        <v/>
      </c>
    </row>
    <row r="22" spans="2:5" ht="27.5" customHeight="1">
      <c r="B22" s="395" t="str" cm="1">
        <f t="array" ref="B22">IFERROR(INDEX(チェックシート!$B$6:$D$113,SMALL(IF(チェックシート!$B$6:$D$113="×",ROW(チェックシート!$B$6:$D$113)-ROW(チェックシート!$B$6)+1),ROWS($B$6:B22)),COLUMN(B22)-COLUMN($B$6)+1),"")</f>
        <v/>
      </c>
      <c r="C22" s="399" t="str" cm="1">
        <f t="array" ref="C22">IFERROR(INDEX(チェックシート!$B$6:$D$113,SMALL(IF(チェックシート!$B$6:$D$113="×",ROW(チェックシート!$B$6:$D$113)-ROW(チェックシート!$B$6)+1),ROWS($B$6:C22)),COLUMN(C22)-COLUMN($B$6)+1),"")</f>
        <v/>
      </c>
      <c r="D22" s="535"/>
      <c r="E22" s="395" t="str" cm="1">
        <f t="array" ref="E22">IFERROR(INDEX(チェックシート!$B$6:$D$113,SMALL(IF(チェックシート!$B$6:$D$113="×",ROW(チェックシート!$B$6:$D$113)-ROW(チェックシート!$B$6)+1),ROWS($B$6:E22)),COLUMN(E22)-COLUMN($B$6)),"")</f>
        <v/>
      </c>
    </row>
    <row r="23" spans="2:5" ht="27.5" customHeight="1">
      <c r="B23" s="395" t="str" cm="1">
        <f t="array" ref="B23">IFERROR(INDEX(チェックシート!$B$6:$D$113,SMALL(IF(チェックシート!$B$6:$D$113="×",ROW(チェックシート!$B$6:$D$113)-ROW(チェックシート!$B$6)+1),ROWS($B$6:B23)),COLUMN(B23)-COLUMN($B$6)+1),"")</f>
        <v/>
      </c>
      <c r="C23" s="399" t="str" cm="1">
        <f t="array" ref="C23">IFERROR(INDEX(チェックシート!$B$6:$D$113,SMALL(IF(チェックシート!$B$6:$D$113="×",ROW(チェックシート!$B$6:$D$113)-ROW(チェックシート!$B$6)+1),ROWS($B$6:C23)),COLUMN(C23)-COLUMN($B$6)+1),"")</f>
        <v/>
      </c>
      <c r="D23" s="535"/>
      <c r="E23" s="395" t="str" cm="1">
        <f t="array" ref="E23">IFERROR(INDEX(チェックシート!$B$6:$D$113,SMALL(IF(チェックシート!$B$6:$D$113="×",ROW(チェックシート!$B$6:$D$113)-ROW(チェックシート!$B$6)+1),ROWS($B$6:E23)),COLUMN(E23)-COLUMN($B$6)),"")</f>
        <v/>
      </c>
    </row>
    <row r="24" spans="2:5" ht="27.5" customHeight="1">
      <c r="B24" s="395" t="str" cm="1">
        <f t="array" ref="B24">IFERROR(INDEX(チェックシート!$B$6:$D$113,SMALL(IF(チェックシート!$B$6:$D$113="×",ROW(チェックシート!$B$6:$D$113)-ROW(チェックシート!$B$6)+1),ROWS($B$6:B24)),COLUMN(B24)-COLUMN($B$6)+1),"")</f>
        <v/>
      </c>
      <c r="C24" s="399" t="str" cm="1">
        <f t="array" ref="C24">IFERROR(INDEX(チェックシート!$B$6:$D$113,SMALL(IF(チェックシート!$B$6:$D$113="×",ROW(チェックシート!$B$6:$D$113)-ROW(チェックシート!$B$6)+1),ROWS($B$6:C24)),COLUMN(C24)-COLUMN($B$6)+1),"")</f>
        <v/>
      </c>
      <c r="D24" s="535"/>
      <c r="E24" s="395" t="str" cm="1">
        <f t="array" ref="E24">IFERROR(INDEX(チェックシート!$B$6:$D$113,SMALL(IF(チェックシート!$B$6:$D$113="×",ROW(チェックシート!$B$6:$D$113)-ROW(チェックシート!$B$6)+1),ROWS($B$6:E24)),COLUMN(E24)-COLUMN($B$6)),"")</f>
        <v/>
      </c>
    </row>
    <row r="25" spans="2:5" ht="27.5" customHeight="1">
      <c r="B25" s="395" t="str" cm="1">
        <f t="array" ref="B25">IFERROR(INDEX(チェックシート!$B$6:$D$113,SMALL(IF(チェックシート!$B$6:$D$113="×",ROW(チェックシート!$B$6:$D$113)-ROW(チェックシート!$B$6)+1),ROWS($B$6:B25)),COLUMN(B25)-COLUMN($B$6)+1),"")</f>
        <v/>
      </c>
      <c r="C25" s="399" t="str" cm="1">
        <f t="array" ref="C25">IFERROR(INDEX(チェックシート!$B$6:$D$113,SMALL(IF(チェックシート!$B$6:$D$113="×",ROW(チェックシート!$B$6:$D$113)-ROW(チェックシート!$B$6)+1),ROWS($B$6:C25)),COLUMN(C25)-COLUMN($B$6)+1),"")</f>
        <v/>
      </c>
      <c r="D25" s="535"/>
      <c r="E25" s="395" t="str" cm="1">
        <f t="array" ref="E25">IFERROR(INDEX(チェックシート!$B$6:$D$113,SMALL(IF(チェックシート!$B$6:$D$113="×",ROW(チェックシート!$B$6:$D$113)-ROW(チェックシート!$B$6)+1),ROWS($B$6:E25)),COLUMN(E25)-COLUMN($B$6)),"")</f>
        <v/>
      </c>
    </row>
    <row r="26" spans="2:5" ht="27.5" customHeight="1">
      <c r="B26" s="395" t="str" cm="1">
        <f t="array" ref="B26">IFERROR(INDEX(チェックシート!$B$6:$D$113,SMALL(IF(チェックシート!$B$6:$D$113="×",ROW(チェックシート!$B$6:$D$113)-ROW(チェックシート!$B$6)+1),ROWS($B$6:B26)),COLUMN(B26)-COLUMN($B$6)+1),"")</f>
        <v/>
      </c>
      <c r="C26" s="399" t="str" cm="1">
        <f t="array" ref="C26">IFERROR(INDEX(チェックシート!$B$6:$D$113,SMALL(IF(チェックシート!$B$6:$D$113="×",ROW(チェックシート!$B$6:$D$113)-ROW(チェックシート!$B$6)+1),ROWS($B$6:C26)),COLUMN(C26)-COLUMN($B$6)+1),"")</f>
        <v/>
      </c>
      <c r="D26" s="535"/>
      <c r="E26" s="395" t="str" cm="1">
        <f t="array" ref="E26">IFERROR(INDEX(チェックシート!$B$6:$D$113,SMALL(IF(チェックシート!$B$6:$D$113="×",ROW(チェックシート!$B$6:$D$113)-ROW(チェックシート!$B$6)+1),ROWS($B$6:E26)),COLUMN(E26)-COLUMN($B$6)),"")</f>
        <v/>
      </c>
    </row>
    <row r="27" spans="2:5" ht="27.5" customHeight="1">
      <c r="B27" s="395" t="str" cm="1">
        <f t="array" ref="B27">IFERROR(INDEX(チェックシート!$B$6:$D$113,SMALL(IF(チェックシート!$B$6:$D$113="×",ROW(チェックシート!$B$6:$D$113)-ROW(チェックシート!$B$6)+1),ROWS($B$6:B27)),COLUMN(B27)-COLUMN($B$6)+1),"")</f>
        <v/>
      </c>
      <c r="C27" s="399" t="str" cm="1">
        <f t="array" ref="C27">IFERROR(INDEX(チェックシート!$B$6:$D$113,SMALL(IF(チェックシート!$B$6:$D$113="×",ROW(チェックシート!$B$6:$D$113)-ROW(チェックシート!$B$6)+1),ROWS($B$6:C27)),COLUMN(C27)-COLUMN($B$6)+1),"")</f>
        <v/>
      </c>
      <c r="D27" s="535"/>
      <c r="E27" s="395" t="str" cm="1">
        <f t="array" ref="E27">IFERROR(INDEX(チェックシート!$B$6:$D$113,SMALL(IF(チェックシート!$B$6:$D$113="×",ROW(チェックシート!$B$6:$D$113)-ROW(チェックシート!$B$6)+1),ROWS($B$6:E27)),COLUMN(E27)-COLUMN($B$6)),"")</f>
        <v/>
      </c>
    </row>
    <row r="28" spans="2:5" ht="27.5" customHeight="1">
      <c r="B28" s="395" t="str" cm="1">
        <f t="array" ref="B28">IFERROR(INDEX(チェックシート!$B$6:$D$113,SMALL(IF(チェックシート!$B$6:$D$113="×",ROW(チェックシート!$B$6:$D$113)-ROW(チェックシート!$B$6)+1),ROWS($B$6:B28)),COLUMN(B28)-COLUMN($B$6)+1),"")</f>
        <v/>
      </c>
      <c r="C28" s="399" t="str" cm="1">
        <f t="array" ref="C28">IFERROR(INDEX(チェックシート!$B$6:$D$113,SMALL(IF(チェックシート!$B$6:$D$113="×",ROW(チェックシート!$B$6:$D$113)-ROW(チェックシート!$B$6)+1),ROWS($B$6:C28)),COLUMN(C28)-COLUMN($B$6)+1),"")</f>
        <v/>
      </c>
      <c r="D28" s="535"/>
      <c r="E28" s="395" t="str" cm="1">
        <f t="array" ref="E28">IFERROR(INDEX(チェックシート!$B$6:$D$113,SMALL(IF(チェックシート!$B$6:$D$113="×",ROW(チェックシート!$B$6:$D$113)-ROW(チェックシート!$B$6)+1),ROWS($B$6:E28)),COLUMN(E28)-COLUMN($B$6)),"")</f>
        <v/>
      </c>
    </row>
    <row r="29" spans="2:5" ht="27.5" customHeight="1">
      <c r="B29" s="395" t="str" cm="1">
        <f t="array" ref="B29">IFERROR(INDEX(チェックシート!$B$6:$D$113,SMALL(IF(チェックシート!$B$6:$D$113="×",ROW(チェックシート!$B$6:$D$113)-ROW(チェックシート!$B$6)+1),ROWS($B$6:B29)),COLUMN(B29)-COLUMN($B$6)+1),"")</f>
        <v/>
      </c>
      <c r="C29" s="399" t="str" cm="1">
        <f t="array" ref="C29">IFERROR(INDEX(チェックシート!$B$6:$D$113,SMALL(IF(チェックシート!$B$6:$D$113="×",ROW(チェックシート!$B$6:$D$113)-ROW(チェックシート!$B$6)+1),ROWS($B$6:C29)),COLUMN(C29)-COLUMN($B$6)+1),"")</f>
        <v/>
      </c>
      <c r="D29" s="535"/>
      <c r="E29" s="395" t="str" cm="1">
        <f t="array" ref="E29">IFERROR(INDEX(チェックシート!$B$6:$D$113,SMALL(IF(チェックシート!$B$6:$D$113="×",ROW(チェックシート!$B$6:$D$113)-ROW(チェックシート!$B$6)+1),ROWS($B$6:E29)),COLUMN(E29)-COLUMN($B$6)),"")</f>
        <v/>
      </c>
    </row>
    <row r="30" spans="2:5" ht="27.5" customHeight="1">
      <c r="B30" s="395" t="str" cm="1">
        <f t="array" ref="B30">IFERROR(INDEX(チェックシート!$B$6:$D$113,SMALL(IF(チェックシート!$B$6:$D$113="×",ROW(チェックシート!$B$6:$D$113)-ROW(チェックシート!$B$6)+1),ROWS($B$6:B30)),COLUMN(B30)-COLUMN($B$6)+1),"")</f>
        <v/>
      </c>
      <c r="C30" s="399" t="str" cm="1">
        <f t="array" ref="C30">IFERROR(INDEX(チェックシート!$B$6:$D$113,SMALL(IF(チェックシート!$B$6:$D$113="×",ROW(チェックシート!$B$6:$D$113)-ROW(チェックシート!$B$6)+1),ROWS($B$6:C30)),COLUMN(C30)-COLUMN($B$6)+1),"")</f>
        <v/>
      </c>
      <c r="D30" s="535"/>
      <c r="E30" s="395" t="str" cm="1">
        <f t="array" ref="E30">IFERROR(INDEX(チェックシート!$B$6:$D$113,SMALL(IF(チェックシート!$B$6:$D$113="×",ROW(チェックシート!$B$6:$D$113)-ROW(チェックシート!$B$6)+1),ROWS($B$6:E30)),COLUMN(E30)-COLUMN($B$6)),"")</f>
        <v/>
      </c>
    </row>
    <row r="31" spans="2:5" ht="27.5" customHeight="1">
      <c r="B31" s="395" t="str" cm="1">
        <f t="array" ref="B31">IFERROR(INDEX(チェックシート!$B$6:$D$113,SMALL(IF(チェックシート!$B$6:$D$113="×",ROW(チェックシート!$B$6:$D$113)-ROW(チェックシート!$B$6)+1),ROWS($B$6:B31)),COLUMN(B31)-COLUMN($B$6)+1),"")</f>
        <v/>
      </c>
      <c r="C31" s="399" t="str" cm="1">
        <f t="array" ref="C31">IFERROR(INDEX(チェックシート!$B$6:$D$113,SMALL(IF(チェックシート!$B$6:$D$113="×",ROW(チェックシート!$B$6:$D$113)-ROW(チェックシート!$B$6)+1),ROWS($B$6:C31)),COLUMN(C31)-COLUMN($B$6)+1),"")</f>
        <v/>
      </c>
      <c r="D31" s="535"/>
      <c r="E31" s="395" t="str" cm="1">
        <f t="array" ref="E31">IFERROR(INDEX(チェックシート!$B$6:$D$113,SMALL(IF(チェックシート!$B$6:$D$113="×",ROW(チェックシート!$B$6:$D$113)-ROW(チェックシート!$B$6)+1),ROWS($B$6:E31)),COLUMN(E31)-COLUMN($B$6)),"")</f>
        <v/>
      </c>
    </row>
    <row r="32" spans="2:5" ht="27.5" customHeight="1">
      <c r="B32" s="395" t="str" cm="1">
        <f t="array" ref="B32">IFERROR(INDEX(チェックシート!$B$6:$D$113,SMALL(IF(チェックシート!$B$6:$D$113="×",ROW(チェックシート!$B$6:$D$113)-ROW(チェックシート!$B$6)+1),ROWS($B$6:B32)),COLUMN(B32)-COLUMN($B$6)+1),"")</f>
        <v/>
      </c>
      <c r="C32" s="399" t="str" cm="1">
        <f t="array" ref="C32">IFERROR(INDEX(チェックシート!$B$6:$D$113,SMALL(IF(チェックシート!$B$6:$D$113="×",ROW(チェックシート!$B$6:$D$113)-ROW(チェックシート!$B$6)+1),ROWS($B$6:C32)),COLUMN(C32)-COLUMN($B$6)+1),"")</f>
        <v/>
      </c>
      <c r="D32" s="535"/>
      <c r="E32" s="395" t="str" cm="1">
        <f t="array" ref="E32">IFERROR(INDEX(チェックシート!$B$6:$D$113,SMALL(IF(チェックシート!$B$6:$D$113="×",ROW(チェックシート!$B$6:$D$113)-ROW(チェックシート!$B$6)+1),ROWS($B$6:E32)),COLUMN(E32)-COLUMN($B$6)),"")</f>
        <v/>
      </c>
    </row>
    <row r="33" spans="2:5" ht="27.5" customHeight="1">
      <c r="B33" s="395" t="str" cm="1">
        <f t="array" ref="B33">IFERROR(INDEX(チェックシート!$B$6:$D$113,SMALL(IF(チェックシート!$B$6:$D$113="×",ROW(チェックシート!$B$6:$D$113)-ROW(チェックシート!$B$6)+1),ROWS($B$6:B33)),COLUMN(B33)-COLUMN($B$6)+1),"")</f>
        <v/>
      </c>
      <c r="C33" s="399" t="str" cm="1">
        <f t="array" ref="C33">IFERROR(INDEX(チェックシート!$B$6:$D$113,SMALL(IF(チェックシート!$B$6:$D$113="×",ROW(チェックシート!$B$6:$D$113)-ROW(チェックシート!$B$6)+1),ROWS($B$6:C33)),COLUMN(C33)-COLUMN($B$6)+1),"")</f>
        <v/>
      </c>
      <c r="D33" s="535"/>
      <c r="E33" s="395" t="str" cm="1">
        <f t="array" ref="E33">IFERROR(INDEX(チェックシート!$B$6:$D$113,SMALL(IF(チェックシート!$B$6:$D$113="×",ROW(チェックシート!$B$6:$D$113)-ROW(チェックシート!$B$6)+1),ROWS($B$6:E33)),COLUMN(E33)-COLUMN($B$6)),"")</f>
        <v/>
      </c>
    </row>
    <row r="34" spans="2:5" ht="27.5" customHeight="1">
      <c r="B34" s="395" t="str" cm="1">
        <f t="array" ref="B34">IFERROR(INDEX(チェックシート!$B$6:$D$113,SMALL(IF(チェックシート!$B$6:$D$113="×",ROW(チェックシート!$B$6:$D$113)-ROW(チェックシート!$B$6)+1),ROWS($B$6:B34)),COLUMN(B34)-COLUMN($B$6)+1),"")</f>
        <v/>
      </c>
      <c r="C34" s="399" t="str" cm="1">
        <f t="array" ref="C34">IFERROR(INDEX(チェックシート!$B$6:$D$113,SMALL(IF(チェックシート!$B$6:$D$113="×",ROW(チェックシート!$B$6:$D$113)-ROW(チェックシート!$B$6)+1),ROWS($B$6:C34)),COLUMN(C34)-COLUMN($B$6)+1),"")</f>
        <v/>
      </c>
      <c r="D34" s="535"/>
      <c r="E34" s="395" t="str" cm="1">
        <f t="array" ref="E34">IFERROR(INDEX(チェックシート!$B$6:$D$113,SMALL(IF(チェックシート!$B$6:$D$113="×",ROW(チェックシート!$B$6:$D$113)-ROW(チェックシート!$B$6)+1),ROWS($B$6:E34)),COLUMN(E34)-COLUMN($B$6)),"")</f>
        <v/>
      </c>
    </row>
    <row r="35" spans="2:5" ht="27.5" customHeight="1">
      <c r="B35" s="395" t="str" cm="1">
        <f t="array" ref="B35">IFERROR(INDEX(チェックシート!$B$6:$D$113,SMALL(IF(チェックシート!$B$6:$D$113="×",ROW(チェックシート!$B$6:$D$113)-ROW(チェックシート!$B$6)+1),ROWS($B$6:B35)),COLUMN(B35)-COLUMN($B$6)+1),"")</f>
        <v/>
      </c>
      <c r="C35" s="399" t="str" cm="1">
        <f t="array" ref="C35">IFERROR(INDEX(チェックシート!$B$6:$D$113,SMALL(IF(チェックシート!$B$6:$D$113="×",ROW(チェックシート!$B$6:$D$113)-ROW(チェックシート!$B$6)+1),ROWS($B$6:C35)),COLUMN(C35)-COLUMN($B$6)+1),"")</f>
        <v/>
      </c>
      <c r="D35" s="535"/>
      <c r="E35" s="395" t="str" cm="1">
        <f t="array" ref="E35">IFERROR(INDEX(チェックシート!$B$6:$D$113,SMALL(IF(チェックシート!$B$6:$D$113="×",ROW(チェックシート!$B$6:$D$113)-ROW(チェックシート!$B$6)+1),ROWS($B$6:E35)),COLUMN(E35)-COLUMN($B$6)),"")</f>
        <v/>
      </c>
    </row>
    <row r="36" spans="2:5" ht="27.5" customHeight="1">
      <c r="B36" s="395" t="str" cm="1">
        <f t="array" ref="B36">IFERROR(INDEX(チェックシート!$B$6:$D$113,SMALL(IF(チェックシート!$B$6:$D$113="×",ROW(チェックシート!$B$6:$D$113)-ROW(チェックシート!$B$6)+1),ROWS($B$6:B36)),COLUMN(B36)-COLUMN($B$6)+1),"")</f>
        <v/>
      </c>
      <c r="C36" s="399" t="str" cm="1">
        <f t="array" ref="C36">IFERROR(INDEX(チェックシート!$B$6:$D$113,SMALL(IF(チェックシート!$B$6:$D$113="×",ROW(チェックシート!$B$6:$D$113)-ROW(チェックシート!$B$6)+1),ROWS($B$6:C36)),COLUMN(C36)-COLUMN($B$6)+1),"")</f>
        <v/>
      </c>
      <c r="D36" s="535"/>
      <c r="E36" s="395" t="str" cm="1">
        <f t="array" ref="E36">IFERROR(INDEX(チェックシート!$B$6:$D$113,SMALL(IF(チェックシート!$B$6:$D$113="×",ROW(チェックシート!$B$6:$D$113)-ROW(チェックシート!$B$6)+1),ROWS($B$6:E36)),COLUMN(E36)-COLUMN($B$6)),"")</f>
        <v/>
      </c>
    </row>
    <row r="37" spans="2:5" ht="27.5" customHeight="1">
      <c r="B37" s="395" t="str" cm="1">
        <f t="array" ref="B37">IFERROR(INDEX(チェックシート!$B$6:$D$113,SMALL(IF(チェックシート!$B$6:$D$113="×",ROW(チェックシート!$B$6:$D$113)-ROW(チェックシート!$B$6)+1),ROWS($B$6:B37)),COLUMN(B37)-COLUMN($B$6)+1),"")</f>
        <v/>
      </c>
      <c r="C37" s="399" t="str" cm="1">
        <f t="array" ref="C37">IFERROR(INDEX(チェックシート!$B$6:$D$113,SMALL(IF(チェックシート!$B$6:$D$113="×",ROW(チェックシート!$B$6:$D$113)-ROW(チェックシート!$B$6)+1),ROWS($B$6:C37)),COLUMN(C37)-COLUMN($B$6)+1),"")</f>
        <v/>
      </c>
      <c r="D37" s="535"/>
      <c r="E37" s="395" t="str" cm="1">
        <f t="array" ref="E37">IFERROR(INDEX(チェックシート!$B$6:$D$113,SMALL(IF(チェックシート!$B$6:$D$113="×",ROW(チェックシート!$B$6:$D$113)-ROW(チェックシート!$B$6)+1),ROWS($B$6:E37)),COLUMN(E37)-COLUMN($B$6)),"")</f>
        <v/>
      </c>
    </row>
    <row r="38" spans="2:5" ht="27.5" customHeight="1">
      <c r="B38" s="395" t="str" cm="1">
        <f t="array" ref="B38">IFERROR(INDEX(チェックシート!$B$6:$D$113,SMALL(IF(チェックシート!$B$6:$D$113="×",ROW(チェックシート!$B$6:$D$113)-ROW(チェックシート!$B$6)+1),ROWS($B$6:B38)),COLUMN(B38)-COLUMN($B$6)+1),"")</f>
        <v/>
      </c>
      <c r="C38" s="399" t="str" cm="1">
        <f t="array" ref="C38">IFERROR(INDEX(チェックシート!$B$6:$D$113,SMALL(IF(チェックシート!$B$6:$D$113="×",ROW(チェックシート!$B$6:$D$113)-ROW(チェックシート!$B$6)+1),ROWS($B$6:C38)),COLUMN(C38)-COLUMN($B$6)+1),"")</f>
        <v/>
      </c>
      <c r="D38" s="535"/>
      <c r="E38" s="395" t="str" cm="1">
        <f t="array" ref="E38">IFERROR(INDEX(チェックシート!$B$6:$D$113,SMALL(IF(チェックシート!$B$6:$D$113="×",ROW(チェックシート!$B$6:$D$113)-ROW(チェックシート!$B$6)+1),ROWS($B$6:E38)),COLUMN(E38)-COLUMN($B$6)),"")</f>
        <v/>
      </c>
    </row>
    <row r="39" spans="2:5" ht="27.5" customHeight="1">
      <c r="B39" s="395" t="str" cm="1">
        <f t="array" ref="B39">IFERROR(INDEX(チェックシート!$B$6:$D$113,SMALL(IF(チェックシート!$B$6:$D$113="×",ROW(チェックシート!$B$6:$D$113)-ROW(チェックシート!$B$6)+1),ROWS($B$6:B39)),COLUMN(B39)-COLUMN($B$6)+1),"")</f>
        <v/>
      </c>
      <c r="C39" s="399" t="str" cm="1">
        <f t="array" ref="C39">IFERROR(INDEX(チェックシート!$B$6:$D$113,SMALL(IF(チェックシート!$B$6:$D$113="×",ROW(チェックシート!$B$6:$D$113)-ROW(チェックシート!$B$6)+1),ROWS($B$6:C39)),COLUMN(C39)-COLUMN($B$6)+1),"")</f>
        <v/>
      </c>
      <c r="D39" s="535"/>
      <c r="E39" s="395" t="str" cm="1">
        <f t="array" ref="E39">IFERROR(INDEX(チェックシート!$B$6:$D$113,SMALL(IF(チェックシート!$B$6:$D$113="×",ROW(チェックシート!$B$6:$D$113)-ROW(チェックシート!$B$6)+1),ROWS($B$6:E39)),COLUMN(E39)-COLUMN($B$6)),"")</f>
        <v/>
      </c>
    </row>
    <row r="40" spans="2:5" ht="27.5" customHeight="1">
      <c r="B40" s="395" t="str" cm="1">
        <f t="array" ref="B40">IFERROR(INDEX(チェックシート!$B$6:$D$113,SMALL(IF(チェックシート!$B$6:$D$113="×",ROW(チェックシート!$B$6:$D$113)-ROW(チェックシート!$B$6)+1),ROWS($B$6:B40)),COLUMN(B40)-COLUMN($B$6)+1),"")</f>
        <v/>
      </c>
      <c r="C40" s="399" t="str" cm="1">
        <f t="array" ref="C40">IFERROR(INDEX(チェックシート!$B$6:$D$113,SMALL(IF(チェックシート!$B$6:$D$113="×",ROW(チェックシート!$B$6:$D$113)-ROW(チェックシート!$B$6)+1),ROWS($B$6:C40)),COLUMN(C40)-COLUMN($B$6)+1),"")</f>
        <v/>
      </c>
      <c r="D40" s="535"/>
      <c r="E40" s="395" t="str" cm="1">
        <f t="array" ref="E40">IFERROR(INDEX(チェックシート!$B$6:$D$113,SMALL(IF(チェックシート!$B$6:$D$113="×",ROW(チェックシート!$B$6:$D$113)-ROW(チェックシート!$B$6)+1),ROWS($B$6:E40)),COLUMN(E40)-COLUMN($B$6)),"")</f>
        <v/>
      </c>
    </row>
    <row r="41" spans="2:5" ht="27.5" customHeight="1">
      <c r="B41" s="395" t="str" cm="1">
        <f t="array" ref="B41">IFERROR(INDEX(チェックシート!$B$6:$D$113,SMALL(IF(チェックシート!$B$6:$D$113="×",ROW(チェックシート!$B$6:$D$113)-ROW(チェックシート!$B$6)+1),ROWS($B$6:B41)),COLUMN(B41)-COLUMN($B$6)+1),"")</f>
        <v/>
      </c>
      <c r="C41" s="399" t="str" cm="1">
        <f t="array" ref="C41">IFERROR(INDEX(チェックシート!$B$6:$D$113,SMALL(IF(チェックシート!$B$6:$D$113="×",ROW(チェックシート!$B$6:$D$113)-ROW(チェックシート!$B$6)+1),ROWS($B$6:C41)),COLUMN(C41)-COLUMN($B$6)+1),"")</f>
        <v/>
      </c>
      <c r="D41" s="535"/>
      <c r="E41" s="395" t="str" cm="1">
        <f t="array" ref="E41">IFERROR(INDEX(チェックシート!$B$6:$D$113,SMALL(IF(チェックシート!$B$6:$D$113="×",ROW(チェックシート!$B$6:$D$113)-ROW(チェックシート!$B$6)+1),ROWS($B$6:E41)),COLUMN(E41)-COLUMN($B$6)),"")</f>
        <v/>
      </c>
    </row>
    <row r="42" spans="2:5" ht="27.5" customHeight="1">
      <c r="B42" s="395" t="str" cm="1">
        <f t="array" ref="B42">IFERROR(INDEX(チェックシート!$B$6:$D$113,SMALL(IF(チェックシート!$B$6:$D$113="×",ROW(チェックシート!$B$6:$D$113)-ROW(チェックシート!$B$6)+1),ROWS($B$6:B42)),COLUMN(B42)-COLUMN($B$6)+1),"")</f>
        <v/>
      </c>
      <c r="C42" s="399" t="str" cm="1">
        <f t="array" ref="C42">IFERROR(INDEX(チェックシート!$B$6:$D$113,SMALL(IF(チェックシート!$B$6:$D$113="×",ROW(チェックシート!$B$6:$D$113)-ROW(チェックシート!$B$6)+1),ROWS($B$6:C42)),COLUMN(C42)-COLUMN($B$6)+1),"")</f>
        <v/>
      </c>
      <c r="D42" s="535"/>
      <c r="E42" s="395" t="str" cm="1">
        <f t="array" ref="E42">IFERROR(INDEX(チェックシート!$B$6:$D$113,SMALL(IF(チェックシート!$B$6:$D$113="×",ROW(チェックシート!$B$6:$D$113)-ROW(チェックシート!$B$6)+1),ROWS($B$6:E42)),COLUMN(E42)-COLUMN($B$6)),"")</f>
        <v/>
      </c>
    </row>
    <row r="43" spans="2:5" ht="27.5" customHeight="1">
      <c r="B43" s="395" t="str" cm="1">
        <f t="array" ref="B43">IFERROR(INDEX(チェックシート!$B$6:$D$113,SMALL(IF(チェックシート!$B$6:$D$113="×",ROW(チェックシート!$B$6:$D$113)-ROW(チェックシート!$B$6)+1),ROWS($B$6:B43)),COLUMN(B43)-COLUMN($B$6)+1),"")</f>
        <v/>
      </c>
      <c r="C43" s="399" t="str" cm="1">
        <f t="array" ref="C43">IFERROR(INDEX(チェックシート!$B$6:$D$113,SMALL(IF(チェックシート!$B$6:$D$113="×",ROW(チェックシート!$B$6:$D$113)-ROW(チェックシート!$B$6)+1),ROWS($B$6:C43)),COLUMN(C43)-COLUMN($B$6)+1),"")</f>
        <v/>
      </c>
      <c r="D43" s="535"/>
      <c r="E43" s="395" t="str" cm="1">
        <f t="array" ref="E43">IFERROR(INDEX(チェックシート!$B$6:$D$113,SMALL(IF(チェックシート!$B$6:$D$113="×",ROW(チェックシート!$B$6:$D$113)-ROW(チェックシート!$B$6)+1),ROWS($B$6:E43)),COLUMN(E43)-COLUMN($B$6)),"")</f>
        <v/>
      </c>
    </row>
    <row r="44" spans="2:5" ht="27.5" customHeight="1">
      <c r="B44" s="395" t="str" cm="1">
        <f t="array" ref="B44">IFERROR(INDEX(チェックシート!$B$6:$D$113,SMALL(IF(チェックシート!$B$6:$D$113="×",ROW(チェックシート!$B$6:$D$113)-ROW(チェックシート!$B$6)+1),ROWS($B$6:B44)),COLUMN(B44)-COLUMN($B$6)+1),"")</f>
        <v/>
      </c>
      <c r="C44" s="399" t="str" cm="1">
        <f t="array" ref="C44">IFERROR(INDEX(チェックシート!$B$6:$D$113,SMALL(IF(チェックシート!$B$6:$D$113="×",ROW(チェックシート!$B$6:$D$113)-ROW(チェックシート!$B$6)+1),ROWS($B$6:C44)),COLUMN(C44)-COLUMN($B$6)+1),"")</f>
        <v/>
      </c>
      <c r="D44" s="535"/>
      <c r="E44" s="395" t="str" cm="1">
        <f t="array" ref="E44">IFERROR(INDEX(チェックシート!$B$6:$D$113,SMALL(IF(チェックシート!$B$6:$D$113="×",ROW(チェックシート!$B$6:$D$113)-ROW(チェックシート!$B$6)+1),ROWS($B$6:E44)),COLUMN(E44)-COLUMN($B$6)),"")</f>
        <v/>
      </c>
    </row>
    <row r="45" spans="2:5" ht="27.5" customHeight="1">
      <c r="B45" s="395" t="str" cm="1">
        <f t="array" ref="B45">IFERROR(INDEX(チェックシート!$B$6:$D$113,SMALL(IF(チェックシート!$B$6:$D$113="×",ROW(チェックシート!$B$6:$D$113)-ROW(チェックシート!$B$6)+1),ROWS($B$6:B45)),COLUMN(B45)-COLUMN($B$6)+1),"")</f>
        <v/>
      </c>
      <c r="C45" s="399" t="str" cm="1">
        <f t="array" ref="C45">IFERROR(INDEX(チェックシート!$B$6:$D$113,SMALL(IF(チェックシート!$B$6:$D$113="×",ROW(チェックシート!$B$6:$D$113)-ROW(チェックシート!$B$6)+1),ROWS($B$6:C45)),COLUMN(C45)-COLUMN($B$6)+1),"")</f>
        <v/>
      </c>
      <c r="D45" s="535"/>
      <c r="E45" s="395" t="str" cm="1">
        <f t="array" ref="E45">IFERROR(INDEX(チェックシート!$B$6:$D$113,SMALL(IF(チェックシート!$B$6:$D$113="×",ROW(チェックシート!$B$6:$D$113)-ROW(チェックシート!$B$6)+1),ROWS($B$6:E45)),COLUMN(E45)-COLUMN($B$6)),"")</f>
        <v/>
      </c>
    </row>
    <row r="46" spans="2:5" ht="27.5" customHeight="1">
      <c r="B46" s="395" t="str" cm="1">
        <f t="array" ref="B46">IFERROR(INDEX(チェックシート!$B$6:$D$113,SMALL(IF(チェックシート!$B$6:$D$113="×",ROW(チェックシート!$B$6:$D$113)-ROW(チェックシート!$B$6)+1),ROWS($B$6:B46)),COLUMN(B46)-COLUMN($B$6)+1),"")</f>
        <v/>
      </c>
      <c r="C46" s="399" t="str" cm="1">
        <f t="array" ref="C46">IFERROR(INDEX(チェックシート!$B$6:$D$113,SMALL(IF(チェックシート!$B$6:$D$113="×",ROW(チェックシート!$B$6:$D$113)-ROW(チェックシート!$B$6)+1),ROWS($B$6:C46)),COLUMN(C46)-COLUMN($B$6)+1),"")</f>
        <v/>
      </c>
      <c r="D46" s="535"/>
      <c r="E46" s="395" t="str" cm="1">
        <f t="array" ref="E46">IFERROR(INDEX(チェックシート!$B$6:$D$113,SMALL(IF(チェックシート!$B$6:$D$113="×",ROW(チェックシート!$B$6:$D$113)-ROW(チェックシート!$B$6)+1),ROWS($B$6:E46)),COLUMN(E46)-COLUMN($B$6)),"")</f>
        <v/>
      </c>
    </row>
    <row r="47" spans="2:5" ht="27.5" customHeight="1">
      <c r="B47" s="395" t="str" cm="1">
        <f t="array" ref="B47">IFERROR(INDEX(チェックシート!$B$6:$D$113,SMALL(IF(チェックシート!$B$6:$D$113="×",ROW(チェックシート!$B$6:$D$113)-ROW(チェックシート!$B$6)+1),ROWS($B$6:B47)),COLUMN(B47)-COLUMN($B$6)+1),"")</f>
        <v/>
      </c>
      <c r="C47" s="399" t="str" cm="1">
        <f t="array" ref="C47">IFERROR(INDEX(チェックシート!$B$6:$D$113,SMALL(IF(チェックシート!$B$6:$D$113="×",ROW(チェックシート!$B$6:$D$113)-ROW(チェックシート!$B$6)+1),ROWS($B$6:C47)),COLUMN(C47)-COLUMN($B$6)+1),"")</f>
        <v/>
      </c>
      <c r="D47" s="535"/>
      <c r="E47" s="395" t="str" cm="1">
        <f t="array" ref="E47">IFERROR(INDEX(チェックシート!$B$6:$D$113,SMALL(IF(チェックシート!$B$6:$D$113="×",ROW(チェックシート!$B$6:$D$113)-ROW(チェックシート!$B$6)+1),ROWS($B$6:E47)),COLUMN(E47)-COLUMN($B$6)),"")</f>
        <v/>
      </c>
    </row>
    <row r="48" spans="2:5" ht="27.5" customHeight="1">
      <c r="B48" s="395" t="str" cm="1">
        <f t="array" ref="B48">IFERROR(INDEX(チェックシート!$B$6:$D$113,SMALL(IF(チェックシート!$B$6:$D$113="×",ROW(チェックシート!$B$6:$D$113)-ROW(チェックシート!$B$6)+1),ROWS($B$6:B48)),COLUMN(B48)-COLUMN($B$6)+1),"")</f>
        <v/>
      </c>
      <c r="C48" s="399" t="str" cm="1">
        <f t="array" ref="C48">IFERROR(INDEX(チェックシート!$B$6:$D$113,SMALL(IF(チェックシート!$B$6:$D$113="×",ROW(チェックシート!$B$6:$D$113)-ROW(チェックシート!$B$6)+1),ROWS($B$6:C48)),COLUMN(C48)-COLUMN($B$6)+1),"")</f>
        <v/>
      </c>
      <c r="D48" s="535"/>
      <c r="E48" s="395" t="str" cm="1">
        <f t="array" ref="E48">IFERROR(INDEX(チェックシート!$B$6:$D$113,SMALL(IF(チェックシート!$B$6:$D$113="×",ROW(チェックシート!$B$6:$D$113)-ROW(チェックシート!$B$6)+1),ROWS($B$6:E48)),COLUMN(E48)-COLUMN($B$6)),"")</f>
        <v/>
      </c>
    </row>
    <row r="49" spans="2:5" ht="27.5" customHeight="1">
      <c r="B49" s="395" t="str" cm="1">
        <f t="array" ref="B49">IFERROR(INDEX(チェックシート!$B$6:$D$113,SMALL(IF(チェックシート!$B$6:$D$113="×",ROW(チェックシート!$B$6:$D$113)-ROW(チェックシート!$B$6)+1),ROWS($B$6:B49)),COLUMN(B49)-COLUMN($B$6)+1),"")</f>
        <v/>
      </c>
      <c r="C49" s="399" t="str" cm="1">
        <f t="array" ref="C49">IFERROR(INDEX(チェックシート!$B$6:$D$113,SMALL(IF(チェックシート!$B$6:$D$113="×",ROW(チェックシート!$B$6:$D$113)-ROW(チェックシート!$B$6)+1),ROWS($B$6:C49)),COLUMN(C49)-COLUMN($B$6)+1),"")</f>
        <v/>
      </c>
      <c r="D49" s="535"/>
      <c r="E49" s="395" t="str" cm="1">
        <f t="array" ref="E49">IFERROR(INDEX(チェックシート!$B$6:$D$113,SMALL(IF(チェックシート!$B$6:$D$113="×",ROW(チェックシート!$B$6:$D$113)-ROW(チェックシート!$B$6)+1),ROWS($B$6:E49)),COLUMN(E49)-COLUMN($B$6)),"")</f>
        <v/>
      </c>
    </row>
    <row r="50" spans="2:5" ht="27.5" customHeight="1">
      <c r="B50" s="395" t="str" cm="1">
        <f t="array" ref="B50">IFERROR(INDEX(チェックシート!$B$6:$D$113,SMALL(IF(チェックシート!$B$6:$D$113="×",ROW(チェックシート!$B$6:$D$113)-ROW(チェックシート!$B$6)+1),ROWS($B$6:B50)),COLUMN(B50)-COLUMN($B$6)+1),"")</f>
        <v/>
      </c>
      <c r="C50" s="399" t="str" cm="1">
        <f t="array" ref="C50">IFERROR(INDEX(チェックシート!$B$6:$D$113,SMALL(IF(チェックシート!$B$6:$D$113="×",ROW(チェックシート!$B$6:$D$113)-ROW(チェックシート!$B$6)+1),ROWS($B$6:C50)),COLUMN(C50)-COLUMN($B$6)+1),"")</f>
        <v/>
      </c>
      <c r="D50" s="535"/>
      <c r="E50" s="395" t="str" cm="1">
        <f t="array" ref="E50">IFERROR(INDEX(チェックシート!$B$6:$D$113,SMALL(IF(チェックシート!$B$6:$D$113="×",ROW(チェックシート!$B$6:$D$113)-ROW(チェックシート!$B$6)+1),ROWS($B$6:E50)),COLUMN(E50)-COLUMN($B$6)),"")</f>
        <v/>
      </c>
    </row>
    <row r="51" spans="2:5" ht="27.5" customHeight="1">
      <c r="B51" s="395" t="str" cm="1">
        <f t="array" ref="B51">IFERROR(INDEX(チェックシート!$B$6:$D$113,SMALL(IF(チェックシート!$B$6:$D$113="×",ROW(チェックシート!$B$6:$D$113)-ROW(チェックシート!$B$6)+1),ROWS($B$6:B51)),COLUMN(B51)-COLUMN($B$6)+1),"")</f>
        <v/>
      </c>
      <c r="C51" s="399" t="str" cm="1">
        <f t="array" ref="C51">IFERROR(INDEX(チェックシート!$B$6:$D$113,SMALL(IF(チェックシート!$B$6:$D$113="×",ROW(チェックシート!$B$6:$D$113)-ROW(チェックシート!$B$6)+1),ROWS($B$6:C51)),COLUMN(C51)-COLUMN($B$6)+1),"")</f>
        <v/>
      </c>
      <c r="D51" s="535"/>
      <c r="E51" s="395" t="str" cm="1">
        <f t="array" ref="E51">IFERROR(INDEX(チェックシート!$B$6:$D$113,SMALL(IF(チェックシート!$B$6:$D$113="×",ROW(チェックシート!$B$6:$D$113)-ROW(チェックシート!$B$6)+1),ROWS($B$6:E51)),COLUMN(E51)-COLUMN($B$6)),"")</f>
        <v/>
      </c>
    </row>
    <row r="52" spans="2:5" ht="27.5" customHeight="1">
      <c r="B52" s="395" t="str" cm="1">
        <f t="array" ref="B52">IFERROR(INDEX(チェックシート!$B$6:$D$113,SMALL(IF(チェックシート!$B$6:$D$113="×",ROW(チェックシート!$B$6:$D$113)-ROW(チェックシート!$B$6)+1),ROWS($B$6:B52)),COLUMN(B52)-COLUMN($B$6)+1),"")</f>
        <v/>
      </c>
      <c r="C52" s="399" t="str" cm="1">
        <f t="array" ref="C52">IFERROR(INDEX(チェックシート!$B$6:$D$113,SMALL(IF(チェックシート!$B$6:$D$113="×",ROW(チェックシート!$B$6:$D$113)-ROW(チェックシート!$B$6)+1),ROWS($B$6:C52)),COLUMN(C52)-COLUMN($B$6)+1),"")</f>
        <v/>
      </c>
      <c r="D52" s="535"/>
      <c r="E52" s="395" t="str" cm="1">
        <f t="array" ref="E52">IFERROR(INDEX(チェックシート!$B$6:$D$113,SMALL(IF(チェックシート!$B$6:$D$113="×",ROW(チェックシート!$B$6:$D$113)-ROW(チェックシート!$B$6)+1),ROWS($B$6:E52)),COLUMN(E52)-COLUMN($B$6)),"")</f>
        <v/>
      </c>
    </row>
    <row r="53" spans="2:5" ht="27.5" customHeight="1">
      <c r="B53" s="395" t="str" cm="1">
        <f t="array" ref="B53">IFERROR(INDEX(チェックシート!$B$6:$D$113,SMALL(IF(チェックシート!$B$6:$D$113="×",ROW(チェックシート!$B$6:$D$113)-ROW(チェックシート!$B$6)+1),ROWS($B$6:B53)),COLUMN(B53)-COLUMN($B$6)+1),"")</f>
        <v/>
      </c>
      <c r="C53" s="399" t="str" cm="1">
        <f t="array" ref="C53">IFERROR(INDEX(チェックシート!$B$6:$D$113,SMALL(IF(チェックシート!$B$6:$D$113="×",ROW(チェックシート!$B$6:$D$113)-ROW(チェックシート!$B$6)+1),ROWS($B$6:C53)),COLUMN(C53)-COLUMN($B$6)+1),"")</f>
        <v/>
      </c>
      <c r="D53" s="535"/>
      <c r="E53" s="395" t="str" cm="1">
        <f t="array" ref="E53">IFERROR(INDEX(チェックシート!$B$6:$D$113,SMALL(IF(チェックシート!$B$6:$D$113="×",ROW(チェックシート!$B$6:$D$113)-ROW(チェックシート!$B$6)+1),ROWS($B$6:E53)),COLUMN(E53)-COLUMN($B$6)),"")</f>
        <v/>
      </c>
    </row>
    <row r="54" spans="2:5" ht="27.5" customHeight="1">
      <c r="B54" s="395" t="str" cm="1">
        <f t="array" ref="B54">IFERROR(INDEX(チェックシート!$B$6:$D$113,SMALL(IF(チェックシート!$B$6:$D$113="×",ROW(チェックシート!$B$6:$D$113)-ROW(チェックシート!$B$6)+1),ROWS($B$6:B54)),COLUMN(B54)-COLUMN($B$6)+1),"")</f>
        <v/>
      </c>
      <c r="C54" s="399" t="str" cm="1">
        <f t="array" ref="C54">IFERROR(INDEX(チェックシート!$B$6:$D$113,SMALL(IF(チェックシート!$B$6:$D$113="×",ROW(チェックシート!$B$6:$D$113)-ROW(チェックシート!$B$6)+1),ROWS($B$6:C54)),COLUMN(C54)-COLUMN($B$6)+1),"")</f>
        <v/>
      </c>
      <c r="D54" s="535"/>
      <c r="E54" s="395" t="str" cm="1">
        <f t="array" ref="E54">IFERROR(INDEX(チェックシート!$B$6:$D$113,SMALL(IF(チェックシート!$B$6:$D$113="×",ROW(チェックシート!$B$6:$D$113)-ROW(チェックシート!$B$6)+1),ROWS($B$6:E54)),COLUMN(E54)-COLUMN($B$6)),"")</f>
        <v/>
      </c>
    </row>
    <row r="55" spans="2:5" ht="27.5" customHeight="1">
      <c r="B55" s="395" t="str" cm="1">
        <f t="array" ref="B55">IFERROR(INDEX(チェックシート!$B$6:$D$113,SMALL(IF(チェックシート!$B$6:$D$113="×",ROW(チェックシート!$B$6:$D$113)-ROW(チェックシート!$B$6)+1),ROWS($B$6:B55)),COLUMN(B55)-COLUMN($B$6)+1),"")</f>
        <v/>
      </c>
      <c r="C55" s="399" t="str" cm="1">
        <f t="array" ref="C55">IFERROR(INDEX(チェックシート!$B$6:$D$113,SMALL(IF(チェックシート!$B$6:$D$113="×",ROW(チェックシート!$B$6:$D$113)-ROW(チェックシート!$B$6)+1),ROWS($B$6:C55)),COLUMN(C55)-COLUMN($B$6)+1),"")</f>
        <v/>
      </c>
      <c r="D55" s="535"/>
      <c r="E55" s="395" t="str" cm="1">
        <f t="array" ref="E55">IFERROR(INDEX(チェックシート!$B$6:$D$113,SMALL(IF(チェックシート!$B$6:$D$113="×",ROW(チェックシート!$B$6:$D$113)-ROW(チェックシート!$B$6)+1),ROWS($B$6:E55)),COLUMN(E55)-COLUMN($B$6)),"")</f>
        <v/>
      </c>
    </row>
    <row r="56" spans="2:5" ht="27.5" customHeight="1">
      <c r="B56" s="395" t="str" cm="1">
        <f t="array" ref="B56">IFERROR(INDEX(チェックシート!$B$6:$D$113,SMALL(IF(チェックシート!$B$6:$D$113="×",ROW(チェックシート!$B$6:$D$113)-ROW(チェックシート!$B$6)+1),ROWS($B$6:B56)),COLUMN(B56)-COLUMN($B$6)+1),"")</f>
        <v/>
      </c>
      <c r="C56" s="399" t="str" cm="1">
        <f t="array" ref="C56">IFERROR(INDEX(チェックシート!$B$6:$D$113,SMALL(IF(チェックシート!$B$6:$D$113="×",ROW(チェックシート!$B$6:$D$113)-ROW(チェックシート!$B$6)+1),ROWS($B$6:C56)),COLUMN(C56)-COLUMN($B$6)+1),"")</f>
        <v/>
      </c>
      <c r="D56" s="535"/>
      <c r="E56" s="395" t="str" cm="1">
        <f t="array" ref="E56">IFERROR(INDEX(チェックシート!$B$6:$D$113,SMALL(IF(チェックシート!$B$6:$D$113="×",ROW(チェックシート!$B$6:$D$113)-ROW(チェックシート!$B$6)+1),ROWS($B$6:E56)),COLUMN(E56)-COLUMN($B$6)),"")</f>
        <v/>
      </c>
    </row>
    <row r="57" spans="2:5" ht="27.5" customHeight="1">
      <c r="B57" s="395" t="str" cm="1">
        <f t="array" ref="B57">IFERROR(INDEX(チェックシート!$B$6:$D$113,SMALL(IF(チェックシート!$B$6:$D$113="×",ROW(チェックシート!$B$6:$D$113)-ROW(チェックシート!$B$6)+1),ROWS($B$6:B57)),COLUMN(B57)-COLUMN($B$6)+1),"")</f>
        <v/>
      </c>
      <c r="C57" s="399" t="str" cm="1">
        <f t="array" ref="C57">IFERROR(INDEX(チェックシート!$B$6:$D$113,SMALL(IF(チェックシート!$B$6:$D$113="×",ROW(チェックシート!$B$6:$D$113)-ROW(チェックシート!$B$6)+1),ROWS($B$6:C57)),COLUMN(C57)-COLUMN($B$6)+1),"")</f>
        <v/>
      </c>
      <c r="D57" s="535"/>
      <c r="E57" s="395" t="str" cm="1">
        <f t="array" ref="E57">IFERROR(INDEX(チェックシート!$B$6:$D$113,SMALL(IF(チェックシート!$B$6:$D$113="×",ROW(チェックシート!$B$6:$D$113)-ROW(チェックシート!$B$6)+1),ROWS($B$6:E57)),COLUMN(E57)-COLUMN($B$6)),"")</f>
        <v/>
      </c>
    </row>
    <row r="58" spans="2:5" ht="27.5" customHeight="1">
      <c r="B58" s="395" t="str" cm="1">
        <f t="array" ref="B58">IFERROR(INDEX(チェックシート!$B$6:$D$113,SMALL(IF(チェックシート!$B$6:$D$113="×",ROW(チェックシート!$B$6:$D$113)-ROW(チェックシート!$B$6)+1),ROWS($B$6:B58)),COLUMN(B58)-COLUMN($B$6)+1),"")</f>
        <v/>
      </c>
      <c r="C58" s="399" t="str" cm="1">
        <f t="array" ref="C58">IFERROR(INDEX(チェックシート!$B$6:$D$113,SMALL(IF(チェックシート!$B$6:$D$113="×",ROW(チェックシート!$B$6:$D$113)-ROW(チェックシート!$B$6)+1),ROWS($B$6:C58)),COLUMN(C58)-COLUMN($B$6)+1),"")</f>
        <v/>
      </c>
      <c r="D58" s="535"/>
      <c r="E58" s="395" t="str" cm="1">
        <f t="array" ref="E58">IFERROR(INDEX(チェックシート!$B$6:$D$113,SMALL(IF(チェックシート!$B$6:$D$113="×",ROW(チェックシート!$B$6:$D$113)-ROW(チェックシート!$B$6)+1),ROWS($B$6:E58)),COLUMN(E58)-COLUMN($B$6)),"")</f>
        <v/>
      </c>
    </row>
    <row r="59" spans="2:5" ht="27.5" customHeight="1">
      <c r="B59" s="395" t="str" cm="1">
        <f t="array" ref="B59">IFERROR(INDEX(チェックシート!$B$6:$D$113,SMALL(IF(チェックシート!$B$6:$D$113="×",ROW(チェックシート!$B$6:$D$113)-ROW(チェックシート!$B$6)+1),ROWS($B$6:B59)),COLUMN(B59)-COLUMN($B$6)+1),"")</f>
        <v/>
      </c>
      <c r="C59" s="399" t="str" cm="1">
        <f t="array" ref="C59">IFERROR(INDEX(チェックシート!$B$6:$D$113,SMALL(IF(チェックシート!$B$6:$D$113="×",ROW(チェックシート!$B$6:$D$113)-ROW(チェックシート!$B$6)+1),ROWS($B$6:C59)),COLUMN(C59)-COLUMN($B$6)+1),"")</f>
        <v/>
      </c>
      <c r="D59" s="535"/>
      <c r="E59" s="395" t="str" cm="1">
        <f t="array" ref="E59">IFERROR(INDEX(チェックシート!$B$6:$D$113,SMALL(IF(チェックシート!$B$6:$D$113="×",ROW(チェックシート!$B$6:$D$113)-ROW(チェックシート!$B$6)+1),ROWS($B$6:E59)),COLUMN(E59)-COLUMN($B$6)),"")</f>
        <v/>
      </c>
    </row>
    <row r="60" spans="2:5" ht="27.5" customHeight="1">
      <c r="B60" s="395" t="str" cm="1">
        <f t="array" ref="B60">IFERROR(INDEX(チェックシート!$B$6:$D$113,SMALL(IF(チェックシート!$B$6:$D$113="×",ROW(チェックシート!$B$6:$D$113)-ROW(チェックシート!$B$6)+1),ROWS($B$6:B60)),COLUMN(B60)-COLUMN($B$6)+1),"")</f>
        <v/>
      </c>
      <c r="C60" s="399" t="str" cm="1">
        <f t="array" ref="C60">IFERROR(INDEX(チェックシート!$B$6:$D$113,SMALL(IF(チェックシート!$B$6:$D$113="×",ROW(チェックシート!$B$6:$D$113)-ROW(チェックシート!$B$6)+1),ROWS($B$6:C60)),COLUMN(C60)-COLUMN($B$6)+1),"")</f>
        <v/>
      </c>
      <c r="D60" s="535"/>
      <c r="E60" s="395" t="str" cm="1">
        <f t="array" ref="E60">IFERROR(INDEX(チェックシート!$B$6:$D$113,SMALL(IF(チェックシート!$B$6:$D$113="×",ROW(チェックシート!$B$6:$D$113)-ROW(チェックシート!$B$6)+1),ROWS($B$6:E60)),COLUMN(E60)-COLUMN($B$6)),"")</f>
        <v/>
      </c>
    </row>
    <row r="61" spans="2:5" ht="27.5" customHeight="1">
      <c r="B61" s="395" t="str" cm="1">
        <f t="array" ref="B61">IFERROR(INDEX(チェックシート!$B$6:$D$113,SMALL(IF(チェックシート!$B$6:$D$113="×",ROW(チェックシート!$B$6:$D$113)-ROW(チェックシート!$B$6)+1),ROWS($B$6:B61)),COLUMN(B61)-COLUMN($B$6)+1),"")</f>
        <v/>
      </c>
      <c r="C61" s="399" t="str" cm="1">
        <f t="array" ref="C61">IFERROR(INDEX(チェックシート!$B$6:$D$113,SMALL(IF(チェックシート!$B$6:$D$113="×",ROW(チェックシート!$B$6:$D$113)-ROW(チェックシート!$B$6)+1),ROWS($B$6:C61)),COLUMN(C61)-COLUMN($B$6)+1),"")</f>
        <v/>
      </c>
      <c r="D61" s="535"/>
      <c r="E61" s="395" t="str" cm="1">
        <f t="array" ref="E61">IFERROR(INDEX(チェックシート!$B$6:$D$113,SMALL(IF(チェックシート!$B$6:$D$113="×",ROW(チェックシート!$B$6:$D$113)-ROW(チェックシート!$B$6)+1),ROWS($B$6:E61)),COLUMN(E61)-COLUMN($B$6)),"")</f>
        <v/>
      </c>
    </row>
    <row r="62" spans="2:5" ht="27.5" customHeight="1">
      <c r="B62" s="395" t="str" cm="1">
        <f t="array" ref="B62">IFERROR(INDEX(チェックシート!$B$6:$D$113,SMALL(IF(チェックシート!$B$6:$D$113="×",ROW(チェックシート!$B$6:$D$113)-ROW(チェックシート!$B$6)+1),ROWS($B$6:B62)),COLUMN(B62)-COLUMN($B$6)+1),"")</f>
        <v/>
      </c>
      <c r="C62" s="399" t="str" cm="1">
        <f t="array" ref="C62">IFERROR(INDEX(チェックシート!$B$6:$D$113,SMALL(IF(チェックシート!$B$6:$D$113="×",ROW(チェックシート!$B$6:$D$113)-ROW(チェックシート!$B$6)+1),ROWS($B$6:C62)),COLUMN(C62)-COLUMN($B$6)+1),"")</f>
        <v/>
      </c>
      <c r="D62" s="535"/>
      <c r="E62" s="395" t="str" cm="1">
        <f t="array" ref="E62">IFERROR(INDEX(チェックシート!$B$6:$D$113,SMALL(IF(チェックシート!$B$6:$D$113="×",ROW(チェックシート!$B$6:$D$113)-ROW(チェックシート!$B$6)+1),ROWS($B$6:E62)),COLUMN(E62)-COLUMN($B$6)),"")</f>
        <v/>
      </c>
    </row>
    <row r="63" spans="2:5" ht="27.5" customHeight="1">
      <c r="B63" s="395" t="str" cm="1">
        <f t="array" ref="B63">IFERROR(INDEX(チェックシート!$B$6:$D$113,SMALL(IF(チェックシート!$B$6:$D$113="×",ROW(チェックシート!$B$6:$D$113)-ROW(チェックシート!$B$6)+1),ROWS($B$6:B63)),COLUMN(B63)-COLUMN($B$6)+1),"")</f>
        <v/>
      </c>
      <c r="C63" s="399" t="str" cm="1">
        <f t="array" ref="C63">IFERROR(INDEX(チェックシート!$B$6:$D$113,SMALL(IF(チェックシート!$B$6:$D$113="×",ROW(チェックシート!$B$6:$D$113)-ROW(チェックシート!$B$6)+1),ROWS($B$6:C63)),COLUMN(C63)-COLUMN($B$6)+1),"")</f>
        <v/>
      </c>
      <c r="D63" s="535"/>
      <c r="E63" s="395" t="str" cm="1">
        <f t="array" ref="E63">IFERROR(INDEX(チェックシート!$B$6:$D$113,SMALL(IF(チェックシート!$B$6:$D$113="×",ROW(チェックシート!$B$6:$D$113)-ROW(チェックシート!$B$6)+1),ROWS($B$6:E63)),COLUMN(E63)-COLUMN($B$6)),"")</f>
        <v/>
      </c>
    </row>
    <row r="64" spans="2:5" ht="27.5" customHeight="1">
      <c r="B64" s="395" t="str" cm="1">
        <f t="array" ref="B64">IFERROR(INDEX(チェックシート!$B$6:$D$113,SMALL(IF(チェックシート!$B$6:$D$113="×",ROW(チェックシート!$B$6:$D$113)-ROW(チェックシート!$B$6)+1),ROWS($B$6:B64)),COLUMN(B64)-COLUMN($B$6)+1),"")</f>
        <v/>
      </c>
      <c r="C64" s="399" t="str" cm="1">
        <f t="array" ref="C64">IFERROR(INDEX(チェックシート!$B$6:$D$113,SMALL(IF(チェックシート!$B$6:$D$113="×",ROW(チェックシート!$B$6:$D$113)-ROW(チェックシート!$B$6)+1),ROWS($B$6:C64)),COLUMN(C64)-COLUMN($B$6)+1),"")</f>
        <v/>
      </c>
      <c r="D64" s="535"/>
      <c r="E64" s="395" t="str" cm="1">
        <f t="array" ref="E64">IFERROR(INDEX(チェックシート!$B$6:$D$113,SMALL(IF(チェックシート!$B$6:$D$113="×",ROW(チェックシート!$B$6:$D$113)-ROW(チェックシート!$B$6)+1),ROWS($B$6:E64)),COLUMN(E64)-COLUMN($B$6)),"")</f>
        <v/>
      </c>
    </row>
    <row r="65" spans="2:5" ht="27.5" customHeight="1">
      <c r="B65" s="395" t="str" cm="1">
        <f t="array" ref="B65">IFERROR(INDEX(チェックシート!$B$6:$D$113,SMALL(IF(チェックシート!$B$6:$D$113="×",ROW(チェックシート!$B$6:$D$113)-ROW(チェックシート!$B$6)+1),ROWS($B$6:B65)),COLUMN(B65)-COLUMN($B$6)+1),"")</f>
        <v/>
      </c>
      <c r="C65" s="399" t="str" cm="1">
        <f t="array" ref="C65">IFERROR(INDEX(チェックシート!$B$6:$D$113,SMALL(IF(チェックシート!$B$6:$D$113="×",ROW(チェックシート!$B$6:$D$113)-ROW(チェックシート!$B$6)+1),ROWS($B$6:C65)),COLUMN(C65)-COLUMN($B$6)+1),"")</f>
        <v/>
      </c>
      <c r="D65" s="535"/>
      <c r="E65" s="395" t="str" cm="1">
        <f t="array" ref="E65">IFERROR(INDEX(チェックシート!$B$6:$D$113,SMALL(IF(チェックシート!$B$6:$D$113="×",ROW(チェックシート!$B$6:$D$113)-ROW(チェックシート!$B$6)+1),ROWS($B$6:E65)),COLUMN(E65)-COLUMN($B$6)),"")</f>
        <v/>
      </c>
    </row>
    <row r="66" spans="2:5" ht="27.5" customHeight="1">
      <c r="B66" s="395" t="str" cm="1">
        <f t="array" ref="B66">IFERROR(INDEX(チェックシート!$B$6:$D$113,SMALL(IF(チェックシート!$B$6:$D$113="×",ROW(チェックシート!$B$6:$D$113)-ROW(チェックシート!$B$6)+1),ROWS($B$6:B66)),COLUMN(B66)-COLUMN($B$6)+1),"")</f>
        <v/>
      </c>
      <c r="C66" s="399" t="str" cm="1">
        <f t="array" ref="C66">IFERROR(INDEX(チェックシート!$B$6:$D$113,SMALL(IF(チェックシート!$B$6:$D$113="×",ROW(チェックシート!$B$6:$D$113)-ROW(チェックシート!$B$6)+1),ROWS($B$6:C66)),COLUMN(C66)-COLUMN($B$6)+1),"")</f>
        <v/>
      </c>
      <c r="D66" s="535"/>
      <c r="E66" s="395" t="str" cm="1">
        <f t="array" ref="E66">IFERROR(INDEX(チェックシート!$B$6:$D$113,SMALL(IF(チェックシート!$B$6:$D$113="×",ROW(チェックシート!$B$6:$D$113)-ROW(チェックシート!$B$6)+1),ROWS($B$6:E66)),COLUMN(E66)-COLUMN($B$6)),"")</f>
        <v/>
      </c>
    </row>
    <row r="67" spans="2:5" ht="27.5" customHeight="1">
      <c r="B67" s="395" t="str" cm="1">
        <f t="array" ref="B67">IFERROR(INDEX(チェックシート!$B$6:$D$113,SMALL(IF(チェックシート!$B$6:$D$113="×",ROW(チェックシート!$B$6:$D$113)-ROW(チェックシート!$B$6)+1),ROWS($B$6:B67)),COLUMN(B67)-COLUMN($B$6)+1),"")</f>
        <v/>
      </c>
      <c r="C67" s="399" t="str" cm="1">
        <f t="array" ref="C67">IFERROR(INDEX(チェックシート!$B$6:$D$113,SMALL(IF(チェックシート!$B$6:$D$113="×",ROW(チェックシート!$B$6:$D$113)-ROW(チェックシート!$B$6)+1),ROWS($B$6:C67)),COLUMN(C67)-COLUMN($B$6)+1),"")</f>
        <v/>
      </c>
      <c r="D67" s="535"/>
      <c r="E67" s="395" t="str" cm="1">
        <f t="array" ref="E67">IFERROR(INDEX(チェックシート!$B$6:$D$113,SMALL(IF(チェックシート!$B$6:$D$113="×",ROW(チェックシート!$B$6:$D$113)-ROW(チェックシート!$B$6)+1),ROWS($B$6:E67)),COLUMN(E67)-COLUMN($B$6)),"")</f>
        <v/>
      </c>
    </row>
    <row r="68" spans="2:5" ht="27.5" customHeight="1">
      <c r="B68" s="395" t="str" cm="1">
        <f t="array" ref="B68">IFERROR(INDEX(チェックシート!$B$6:$D$113,SMALL(IF(チェックシート!$B$6:$D$113="×",ROW(チェックシート!$B$6:$D$113)-ROW(チェックシート!$B$6)+1),ROWS($B$6:B68)),COLUMN(B68)-COLUMN($B$6)+1),"")</f>
        <v/>
      </c>
      <c r="C68" s="399" t="str" cm="1">
        <f t="array" ref="C68">IFERROR(INDEX(チェックシート!$B$6:$D$113,SMALL(IF(チェックシート!$B$6:$D$113="×",ROW(チェックシート!$B$6:$D$113)-ROW(チェックシート!$B$6)+1),ROWS($B$6:C68)),COLUMN(C68)-COLUMN($B$6)+1),"")</f>
        <v/>
      </c>
      <c r="D68" s="535"/>
      <c r="E68" s="395" t="str" cm="1">
        <f t="array" ref="E68">IFERROR(INDEX(チェックシート!$B$6:$D$113,SMALL(IF(チェックシート!$B$6:$D$113="×",ROW(チェックシート!$B$6:$D$113)-ROW(チェックシート!$B$6)+1),ROWS($B$6:E68)),COLUMN(E68)-COLUMN($B$6)),"")</f>
        <v/>
      </c>
    </row>
    <row r="69" spans="2:5" ht="27.5" customHeight="1">
      <c r="B69" s="395" t="str" cm="1">
        <f t="array" ref="B69">IFERROR(INDEX(チェックシート!$B$6:$D$113,SMALL(IF(チェックシート!$B$6:$D$113="×",ROW(チェックシート!$B$6:$D$113)-ROW(チェックシート!$B$6)+1),ROWS($B$6:B69)),COLUMN(B69)-COLUMN($B$6)+1),"")</f>
        <v/>
      </c>
      <c r="C69" s="399" t="str" cm="1">
        <f t="array" ref="C69">IFERROR(INDEX(チェックシート!$B$6:$D$113,SMALL(IF(チェックシート!$B$6:$D$113="×",ROW(チェックシート!$B$6:$D$113)-ROW(チェックシート!$B$6)+1),ROWS($B$6:C69)),COLUMN(C69)-COLUMN($B$6)+1),"")</f>
        <v/>
      </c>
      <c r="D69" s="535"/>
      <c r="E69" s="395" t="str" cm="1">
        <f t="array" ref="E69">IFERROR(INDEX(チェックシート!$B$6:$D$113,SMALL(IF(チェックシート!$B$6:$D$113="×",ROW(チェックシート!$B$6:$D$113)-ROW(チェックシート!$B$6)+1),ROWS($B$6:E69)),COLUMN(E69)-COLUMN($B$6)),"")</f>
        <v/>
      </c>
    </row>
    <row r="70" spans="2:5" ht="27.5" customHeight="1">
      <c r="B70" s="395" t="str" cm="1">
        <f t="array" ref="B70">IFERROR(INDEX(チェックシート!$B$6:$D$113,SMALL(IF(チェックシート!$B$6:$D$113="×",ROW(チェックシート!$B$6:$D$113)-ROW(チェックシート!$B$6)+1),ROWS($B$6:B70)),COLUMN(B70)-COLUMN($B$6)+1),"")</f>
        <v/>
      </c>
      <c r="C70" s="399" t="str" cm="1">
        <f t="array" ref="C70">IFERROR(INDEX(チェックシート!$B$6:$D$113,SMALL(IF(チェックシート!$B$6:$D$113="×",ROW(チェックシート!$B$6:$D$113)-ROW(チェックシート!$B$6)+1),ROWS($B$6:C70)),COLUMN(C70)-COLUMN($B$6)+1),"")</f>
        <v/>
      </c>
      <c r="D70" s="535"/>
      <c r="E70" s="395" t="str" cm="1">
        <f t="array" ref="E70">IFERROR(INDEX(チェックシート!$B$6:$D$113,SMALL(IF(チェックシート!$B$6:$D$113="×",ROW(チェックシート!$B$6:$D$113)-ROW(チェックシート!$B$6)+1),ROWS($B$6:E70)),COLUMN(E70)-COLUMN($B$6)),"")</f>
        <v/>
      </c>
    </row>
    <row r="71" spans="2:5" ht="27.5" customHeight="1">
      <c r="B71" s="395" t="str" cm="1">
        <f t="array" ref="B71">IFERROR(INDEX(チェックシート!$B$6:$D$113,SMALL(IF(チェックシート!$B$6:$D$113="×",ROW(チェックシート!$B$6:$D$113)-ROW(チェックシート!$B$6)+1),ROWS($B$6:B71)),COLUMN(B71)-COLUMN($B$6)+1),"")</f>
        <v/>
      </c>
      <c r="C71" s="399" t="str" cm="1">
        <f t="array" ref="C71">IFERROR(INDEX(チェックシート!$B$6:$D$113,SMALL(IF(チェックシート!$B$6:$D$113="×",ROW(チェックシート!$B$6:$D$113)-ROW(チェックシート!$B$6)+1),ROWS($B$6:C71)),COLUMN(C71)-COLUMN($B$6)+1),"")</f>
        <v/>
      </c>
      <c r="D71" s="535"/>
      <c r="E71" s="395" t="str" cm="1">
        <f t="array" ref="E71">IFERROR(INDEX(チェックシート!$B$6:$D$113,SMALL(IF(チェックシート!$B$6:$D$113="×",ROW(チェックシート!$B$6:$D$113)-ROW(チェックシート!$B$6)+1),ROWS($B$6:E71)),COLUMN(E71)-COLUMN($B$6)),"")</f>
        <v/>
      </c>
    </row>
    <row r="72" spans="2:5" ht="27.5" customHeight="1">
      <c r="B72" s="395" t="str" cm="1">
        <f t="array" ref="B72">IFERROR(INDEX(チェックシート!$B$6:$D$113,SMALL(IF(チェックシート!$B$6:$D$113="×",ROW(チェックシート!$B$6:$D$113)-ROW(チェックシート!$B$6)+1),ROWS($B$6:B72)),COLUMN(B72)-COLUMN($B$6)+1),"")</f>
        <v/>
      </c>
      <c r="C72" s="399" t="str" cm="1">
        <f t="array" ref="C72">IFERROR(INDEX(チェックシート!$B$6:$D$113,SMALL(IF(チェックシート!$B$6:$D$113="×",ROW(チェックシート!$B$6:$D$113)-ROW(チェックシート!$B$6)+1),ROWS($B$6:C72)),COLUMN(C72)-COLUMN($B$6)+1),"")</f>
        <v/>
      </c>
      <c r="D72" s="535"/>
      <c r="E72" s="395" t="str" cm="1">
        <f t="array" ref="E72">IFERROR(INDEX(チェックシート!$B$6:$D$113,SMALL(IF(チェックシート!$B$6:$D$113="×",ROW(チェックシート!$B$6:$D$113)-ROW(チェックシート!$B$6)+1),ROWS($B$6:E72)),COLUMN(E72)-COLUMN($B$6)),"")</f>
        <v/>
      </c>
    </row>
    <row r="73" spans="2:5" ht="27.5" customHeight="1">
      <c r="B73" s="395" t="str" cm="1">
        <f t="array" ref="B73">IFERROR(INDEX(チェックシート!$B$6:$D$113,SMALL(IF(チェックシート!$B$6:$D$113="×",ROW(チェックシート!$B$6:$D$113)-ROW(チェックシート!$B$6)+1),ROWS($B$6:B73)),COLUMN(B73)-COLUMN($B$6)+1),"")</f>
        <v/>
      </c>
      <c r="C73" s="399" t="str" cm="1">
        <f t="array" ref="C73">IFERROR(INDEX(チェックシート!$B$6:$D$113,SMALL(IF(チェックシート!$B$6:$D$113="×",ROW(チェックシート!$B$6:$D$113)-ROW(チェックシート!$B$6)+1),ROWS($B$6:C73)),COLUMN(C73)-COLUMN($B$6)+1),"")</f>
        <v/>
      </c>
      <c r="D73" s="535"/>
      <c r="E73" s="395" t="str" cm="1">
        <f t="array" ref="E73">IFERROR(INDEX(チェックシート!$B$6:$D$113,SMALL(IF(チェックシート!$B$6:$D$113="×",ROW(チェックシート!$B$6:$D$113)-ROW(チェックシート!$B$6)+1),ROWS($B$6:E73)),COLUMN(E73)-COLUMN($B$6)),"")</f>
        <v/>
      </c>
    </row>
    <row r="74" spans="2:5" ht="27.5" customHeight="1">
      <c r="B74" s="395" t="str" cm="1">
        <f t="array" ref="B74">IFERROR(INDEX(チェックシート!$B$6:$D$113,SMALL(IF(チェックシート!$B$6:$D$113="×",ROW(チェックシート!$B$6:$D$113)-ROW(チェックシート!$B$6)+1),ROWS($B$6:B74)),COLUMN(B74)-COLUMN($B$6)+1),"")</f>
        <v/>
      </c>
      <c r="C74" s="399" t="str" cm="1">
        <f t="array" ref="C74">IFERROR(INDEX(チェックシート!$B$6:$D$113,SMALL(IF(チェックシート!$B$6:$D$113="×",ROW(チェックシート!$B$6:$D$113)-ROW(チェックシート!$B$6)+1),ROWS($B$6:C74)),COLUMN(C74)-COLUMN($B$6)+1),"")</f>
        <v/>
      </c>
      <c r="D74" s="535"/>
      <c r="E74" s="395" t="str" cm="1">
        <f t="array" ref="E74">IFERROR(INDEX(チェックシート!$B$6:$D$113,SMALL(IF(チェックシート!$B$6:$D$113="×",ROW(チェックシート!$B$6:$D$113)-ROW(チェックシート!$B$6)+1),ROWS($B$6:E74)),COLUMN(E74)-COLUMN($B$6)),"")</f>
        <v/>
      </c>
    </row>
    <row r="75" spans="2:5" ht="27.5" customHeight="1">
      <c r="B75" s="395" t="str" cm="1">
        <f t="array" ref="B75">IFERROR(INDEX(チェックシート!$B$6:$D$113,SMALL(IF(チェックシート!$B$6:$D$113="×",ROW(チェックシート!$B$6:$D$113)-ROW(チェックシート!$B$6)+1),ROWS($B$6:B75)),COLUMN(B75)-COLUMN($B$6)+1),"")</f>
        <v/>
      </c>
      <c r="C75" s="399" t="str" cm="1">
        <f t="array" ref="C75">IFERROR(INDEX(チェックシート!$B$6:$D$113,SMALL(IF(チェックシート!$B$6:$D$113="×",ROW(チェックシート!$B$6:$D$113)-ROW(チェックシート!$B$6)+1),ROWS($B$6:C75)),COLUMN(C75)-COLUMN($B$6)+1),"")</f>
        <v/>
      </c>
      <c r="D75" s="535"/>
      <c r="E75" s="395" t="str" cm="1">
        <f t="array" ref="E75">IFERROR(INDEX(チェックシート!$B$6:$D$113,SMALL(IF(チェックシート!$B$6:$D$113="×",ROW(チェックシート!$B$6:$D$113)-ROW(チェックシート!$B$6)+1),ROWS($B$6:E75)),COLUMN(E75)-COLUMN($B$6)),"")</f>
        <v/>
      </c>
    </row>
    <row r="76" spans="2:5" ht="27.5" customHeight="1">
      <c r="B76" s="395" t="str" cm="1">
        <f t="array" ref="B76">IFERROR(INDEX(チェックシート!$B$6:$D$113,SMALL(IF(チェックシート!$B$6:$D$113="×",ROW(チェックシート!$B$6:$D$113)-ROW(チェックシート!$B$6)+1),ROWS($B$6:B76)),COLUMN(B76)-COLUMN($B$6)+1),"")</f>
        <v/>
      </c>
      <c r="C76" s="399" t="str" cm="1">
        <f t="array" ref="C76">IFERROR(INDEX(チェックシート!$B$6:$D$113,SMALL(IF(チェックシート!$B$6:$D$113="×",ROW(チェックシート!$B$6:$D$113)-ROW(チェックシート!$B$6)+1),ROWS($B$6:C76)),COLUMN(C76)-COLUMN($B$6)+1),"")</f>
        <v/>
      </c>
      <c r="D76" s="535"/>
      <c r="E76" s="395" t="str" cm="1">
        <f t="array" ref="E76">IFERROR(INDEX(チェックシート!$B$6:$D$113,SMALL(IF(チェックシート!$B$6:$D$113="×",ROW(チェックシート!$B$6:$D$113)-ROW(チェックシート!$B$6)+1),ROWS($B$6:E76)),COLUMN(E76)-COLUMN($B$6)),"")</f>
        <v/>
      </c>
    </row>
    <row r="77" spans="2:5" ht="27.5" customHeight="1">
      <c r="B77" s="395" t="str" cm="1">
        <f t="array" ref="B77">IFERROR(INDEX(チェックシート!$B$6:$D$113,SMALL(IF(チェックシート!$B$6:$D$113="×",ROW(チェックシート!$B$6:$D$113)-ROW(チェックシート!$B$6)+1),ROWS($B$6:B77)),COLUMN(B77)-COLUMN($B$6)+1),"")</f>
        <v/>
      </c>
      <c r="C77" s="399" t="str" cm="1">
        <f t="array" ref="C77">IFERROR(INDEX(チェックシート!$B$6:$D$113,SMALL(IF(チェックシート!$B$6:$D$113="×",ROW(チェックシート!$B$6:$D$113)-ROW(チェックシート!$B$6)+1),ROWS($B$6:C77)),COLUMN(C77)-COLUMN($B$6)+1),"")</f>
        <v/>
      </c>
      <c r="D77" s="535"/>
      <c r="E77" s="395" t="str" cm="1">
        <f t="array" ref="E77">IFERROR(INDEX(チェックシート!$B$6:$D$113,SMALL(IF(チェックシート!$B$6:$D$113="×",ROW(チェックシート!$B$6:$D$113)-ROW(チェックシート!$B$6)+1),ROWS($B$6:E77)),COLUMN(E77)-COLUMN($B$6)),"")</f>
        <v/>
      </c>
    </row>
    <row r="78" spans="2:5" ht="27.5" customHeight="1">
      <c r="B78" s="395" t="str" cm="1">
        <f t="array" ref="B78">IFERROR(INDEX(チェックシート!$B$6:$D$113,SMALL(IF(チェックシート!$B$6:$D$113="×",ROW(チェックシート!$B$6:$D$113)-ROW(チェックシート!$B$6)+1),ROWS($B$6:B78)),COLUMN(B78)-COLUMN($B$6)+1),"")</f>
        <v/>
      </c>
      <c r="C78" s="399" t="str" cm="1">
        <f t="array" ref="C78">IFERROR(INDEX(チェックシート!$B$6:$D$113,SMALL(IF(チェックシート!$B$6:$D$113="×",ROW(チェックシート!$B$6:$D$113)-ROW(チェックシート!$B$6)+1),ROWS($B$6:C78)),COLUMN(C78)-COLUMN($B$6)+1),"")</f>
        <v/>
      </c>
      <c r="D78" s="535"/>
      <c r="E78" s="395" t="str" cm="1">
        <f t="array" ref="E78">IFERROR(INDEX(チェックシート!$B$6:$D$113,SMALL(IF(チェックシート!$B$6:$D$113="×",ROW(チェックシート!$B$6:$D$113)-ROW(チェックシート!$B$6)+1),ROWS($B$6:E78)),COLUMN(E78)-COLUMN($B$6)),"")</f>
        <v/>
      </c>
    </row>
    <row r="79" spans="2:5" ht="27.5" customHeight="1">
      <c r="B79" s="395" t="str" cm="1">
        <f t="array" ref="B79">IFERROR(INDEX(チェックシート!$B$6:$D$113,SMALL(IF(チェックシート!$B$6:$D$113="×",ROW(チェックシート!$B$6:$D$113)-ROW(チェックシート!$B$6)+1),ROWS($B$6:B79)),COLUMN(B79)-COLUMN($B$6)+1),"")</f>
        <v/>
      </c>
      <c r="C79" s="399" t="str" cm="1">
        <f t="array" ref="C79">IFERROR(INDEX(チェックシート!$B$6:$D$113,SMALL(IF(チェックシート!$B$6:$D$113="×",ROW(チェックシート!$B$6:$D$113)-ROW(チェックシート!$B$6)+1),ROWS($B$6:C79)),COLUMN(C79)-COLUMN($B$6)+1),"")</f>
        <v/>
      </c>
      <c r="D79" s="535"/>
      <c r="E79" s="395" t="str" cm="1">
        <f t="array" ref="E79">IFERROR(INDEX(チェックシート!$B$6:$D$113,SMALL(IF(チェックシート!$B$6:$D$113="×",ROW(チェックシート!$B$6:$D$113)-ROW(チェックシート!$B$6)+1),ROWS($B$6:E79)),COLUMN(E79)-COLUMN($B$6)),"")</f>
        <v/>
      </c>
    </row>
    <row r="80" spans="2:5" ht="27.5" customHeight="1">
      <c r="B80" s="395" t="str" cm="1">
        <f t="array" ref="B80">IFERROR(INDEX(チェックシート!$B$6:$D$113,SMALL(IF(チェックシート!$B$6:$D$113="×",ROW(チェックシート!$B$6:$D$113)-ROW(チェックシート!$B$6)+1),ROWS($B$6:B80)),COLUMN(B80)-COLUMN($B$6)+1),"")</f>
        <v/>
      </c>
      <c r="C80" s="399" t="str" cm="1">
        <f t="array" ref="C80">IFERROR(INDEX(チェックシート!$B$6:$D$113,SMALL(IF(チェックシート!$B$6:$D$113="×",ROW(チェックシート!$B$6:$D$113)-ROW(チェックシート!$B$6)+1),ROWS($B$6:C80)),COLUMN(C80)-COLUMN($B$6)+1),"")</f>
        <v/>
      </c>
      <c r="D80" s="535"/>
      <c r="E80" s="395" t="str" cm="1">
        <f t="array" ref="E80">IFERROR(INDEX(チェックシート!$B$6:$D$113,SMALL(IF(チェックシート!$B$6:$D$113="×",ROW(チェックシート!$B$6:$D$113)-ROW(チェックシート!$B$6)+1),ROWS($B$6:E80)),COLUMN(E80)-COLUMN($B$6)),"")</f>
        <v/>
      </c>
    </row>
    <row r="81" spans="2:5" ht="27.5" customHeight="1">
      <c r="B81" s="395" t="str" cm="1">
        <f t="array" ref="B81">IFERROR(INDEX(チェックシート!$B$6:$D$113,SMALL(IF(チェックシート!$B$6:$D$113="×",ROW(チェックシート!$B$6:$D$113)-ROW(チェックシート!$B$6)+1),ROWS($B$6:B81)),COLUMN(B81)-COLUMN($B$6)+1),"")</f>
        <v/>
      </c>
      <c r="C81" s="399" t="str" cm="1">
        <f t="array" ref="C81">IFERROR(INDEX(チェックシート!$B$6:$D$113,SMALL(IF(チェックシート!$B$6:$D$113="×",ROW(チェックシート!$B$6:$D$113)-ROW(チェックシート!$B$6)+1),ROWS($B$6:C81)),COLUMN(C81)-COLUMN($B$6)+1),"")</f>
        <v/>
      </c>
      <c r="D81" s="535"/>
      <c r="E81" s="395" t="str" cm="1">
        <f t="array" ref="E81">IFERROR(INDEX(チェックシート!$B$6:$D$113,SMALL(IF(チェックシート!$B$6:$D$113="×",ROW(チェックシート!$B$6:$D$113)-ROW(チェックシート!$B$6)+1),ROWS($B$6:E81)),COLUMN(E81)-COLUMN($B$6)),"")</f>
        <v/>
      </c>
    </row>
    <row r="82" spans="2:5" ht="27.5" customHeight="1">
      <c r="B82" s="395" t="str" cm="1">
        <f t="array" ref="B82">IFERROR(INDEX(チェックシート!$B$6:$D$113,SMALL(IF(チェックシート!$B$6:$D$113="×",ROW(チェックシート!$B$6:$D$113)-ROW(チェックシート!$B$6)+1),ROWS($B$6:B82)),COLUMN(B82)-COLUMN($B$6)+1),"")</f>
        <v/>
      </c>
      <c r="C82" s="399" t="str" cm="1">
        <f t="array" ref="C82">IFERROR(INDEX(チェックシート!$B$6:$D$113,SMALL(IF(チェックシート!$B$6:$D$113="×",ROW(チェックシート!$B$6:$D$113)-ROW(チェックシート!$B$6)+1),ROWS($B$6:C82)),COLUMN(C82)-COLUMN($B$6)+1),"")</f>
        <v/>
      </c>
      <c r="D82" s="535"/>
      <c r="E82" s="395" t="str" cm="1">
        <f t="array" ref="E82">IFERROR(INDEX(チェックシート!$B$6:$D$113,SMALL(IF(チェックシート!$B$6:$D$113="×",ROW(チェックシート!$B$6:$D$113)-ROW(チェックシート!$B$6)+1),ROWS($B$6:E82)),COLUMN(E82)-COLUMN($B$6)),"")</f>
        <v/>
      </c>
    </row>
    <row r="83" spans="2:5" ht="27.5" customHeight="1">
      <c r="B83" s="395" t="str" cm="1">
        <f t="array" ref="B83">IFERROR(INDEX(チェックシート!$B$6:$D$113,SMALL(IF(チェックシート!$B$6:$D$113="×",ROW(チェックシート!$B$6:$D$113)-ROW(チェックシート!$B$6)+1),ROWS($B$6:B83)),COLUMN(B83)-COLUMN($B$6)+1),"")</f>
        <v/>
      </c>
      <c r="C83" s="399" t="str" cm="1">
        <f t="array" ref="C83">IFERROR(INDEX(チェックシート!$B$6:$D$113,SMALL(IF(チェックシート!$B$6:$D$113="×",ROW(チェックシート!$B$6:$D$113)-ROW(チェックシート!$B$6)+1),ROWS($B$6:C83)),COLUMN(C83)-COLUMN($B$6)+1),"")</f>
        <v/>
      </c>
      <c r="D83" s="535"/>
      <c r="E83" s="395" t="str" cm="1">
        <f t="array" ref="E83">IFERROR(INDEX(チェックシート!$B$6:$D$113,SMALL(IF(チェックシート!$B$6:$D$113="×",ROW(チェックシート!$B$6:$D$113)-ROW(チェックシート!$B$6)+1),ROWS($B$6:E83)),COLUMN(E83)-COLUMN($B$6)),"")</f>
        <v/>
      </c>
    </row>
    <row r="84" spans="2:5" ht="27.5" customHeight="1">
      <c r="B84" s="395" t="str" cm="1">
        <f t="array" ref="B84">IFERROR(INDEX(チェックシート!$B$6:$D$113,SMALL(IF(チェックシート!$B$6:$D$113="×",ROW(チェックシート!$B$6:$D$113)-ROW(チェックシート!$B$6)+1),ROWS($B$6:B84)),COLUMN(B84)-COLUMN($B$6)+1),"")</f>
        <v/>
      </c>
      <c r="C84" s="399" t="str" cm="1">
        <f t="array" ref="C84">IFERROR(INDEX(チェックシート!$B$6:$D$113,SMALL(IF(チェックシート!$B$6:$D$113="×",ROW(チェックシート!$B$6:$D$113)-ROW(チェックシート!$B$6)+1),ROWS($B$6:C84)),COLUMN(C84)-COLUMN($B$6)+1),"")</f>
        <v/>
      </c>
      <c r="D84" s="535"/>
      <c r="E84" s="395" t="str" cm="1">
        <f t="array" ref="E84">IFERROR(INDEX(チェックシート!$B$6:$D$113,SMALL(IF(チェックシート!$B$6:$D$113="×",ROW(チェックシート!$B$6:$D$113)-ROW(チェックシート!$B$6)+1),ROWS($B$6:E84)),COLUMN(E84)-COLUMN($B$6)),"")</f>
        <v/>
      </c>
    </row>
    <row r="85" spans="2:5" ht="27.5" customHeight="1">
      <c r="B85" s="395" t="str" cm="1">
        <f t="array" ref="B85">IFERROR(INDEX(チェックシート!$B$6:$D$113,SMALL(IF(チェックシート!$B$6:$D$113="×",ROW(チェックシート!$B$6:$D$113)-ROW(チェックシート!$B$6)+1),ROWS($B$6:B85)),COLUMN(B85)-COLUMN($B$6)+1),"")</f>
        <v/>
      </c>
      <c r="C85" s="399" t="str" cm="1">
        <f t="array" ref="C85">IFERROR(INDEX(チェックシート!$B$6:$D$113,SMALL(IF(チェックシート!$B$6:$D$113="×",ROW(チェックシート!$B$6:$D$113)-ROW(チェックシート!$B$6)+1),ROWS($B$6:C85)),COLUMN(C85)-COLUMN($B$6)+1),"")</f>
        <v/>
      </c>
      <c r="D85" s="535"/>
      <c r="E85" s="395" t="str" cm="1">
        <f t="array" ref="E85">IFERROR(INDEX(チェックシート!$B$6:$D$113,SMALL(IF(チェックシート!$B$6:$D$113="×",ROW(チェックシート!$B$6:$D$113)-ROW(チェックシート!$B$6)+1),ROWS($B$6:E85)),COLUMN(E85)-COLUMN($B$6)),"")</f>
        <v/>
      </c>
    </row>
    <row r="86" spans="2:5" ht="27.5" customHeight="1">
      <c r="B86" s="395" t="str" cm="1">
        <f t="array" ref="B86">IFERROR(INDEX(チェックシート!$B$6:$D$113,SMALL(IF(チェックシート!$B$6:$D$113="×",ROW(チェックシート!$B$6:$D$113)-ROW(チェックシート!$B$6)+1),ROWS($B$6:B86)),COLUMN(B86)-COLUMN($B$6)+1),"")</f>
        <v/>
      </c>
      <c r="C86" s="399" t="str" cm="1">
        <f t="array" ref="C86">IFERROR(INDEX(チェックシート!$B$6:$D$113,SMALL(IF(チェックシート!$B$6:$D$113="×",ROW(チェックシート!$B$6:$D$113)-ROW(チェックシート!$B$6)+1),ROWS($B$6:C86)),COLUMN(C86)-COLUMN($B$6)+1),"")</f>
        <v/>
      </c>
      <c r="D86" s="535"/>
      <c r="E86" s="395" t="str" cm="1">
        <f t="array" ref="E86">IFERROR(INDEX(チェックシート!$B$6:$D$113,SMALL(IF(チェックシート!$B$6:$D$113="×",ROW(チェックシート!$B$6:$D$113)-ROW(チェックシート!$B$6)+1),ROWS($B$6:E86)),COLUMN(E86)-COLUMN($B$6)),"")</f>
        <v/>
      </c>
    </row>
    <row r="87" spans="2:5" ht="27.5" customHeight="1">
      <c r="B87" s="395" t="str" cm="1">
        <f t="array" ref="B87">IFERROR(INDEX(チェックシート!$B$6:$D$113,SMALL(IF(チェックシート!$B$6:$D$113="×",ROW(チェックシート!$B$6:$D$113)-ROW(チェックシート!$B$6)+1),ROWS($B$6:B87)),COLUMN(B87)-COLUMN($B$6)+1),"")</f>
        <v/>
      </c>
      <c r="C87" s="399" t="str" cm="1">
        <f t="array" ref="C87">IFERROR(INDEX(チェックシート!$B$6:$D$113,SMALL(IF(チェックシート!$B$6:$D$113="×",ROW(チェックシート!$B$6:$D$113)-ROW(チェックシート!$B$6)+1),ROWS($B$6:C87)),COLUMN(C87)-COLUMN($B$6)+1),"")</f>
        <v/>
      </c>
      <c r="D87" s="535"/>
      <c r="E87" s="395" t="str" cm="1">
        <f t="array" ref="E87">IFERROR(INDEX(チェックシート!$B$6:$D$113,SMALL(IF(チェックシート!$B$6:$D$113="×",ROW(チェックシート!$B$6:$D$113)-ROW(チェックシート!$B$6)+1),ROWS($B$6:E87)),COLUMN(E87)-COLUMN($B$6)),"")</f>
        <v/>
      </c>
    </row>
    <row r="88" spans="2:5" ht="27.5" customHeight="1">
      <c r="B88" s="395" t="str" cm="1">
        <f t="array" ref="B88">IFERROR(INDEX(チェックシート!$B$6:$D$113,SMALL(IF(チェックシート!$B$6:$D$113="×",ROW(チェックシート!$B$6:$D$113)-ROW(チェックシート!$B$6)+1),ROWS($B$6:B88)),COLUMN(B88)-COLUMN($B$6)+1),"")</f>
        <v/>
      </c>
      <c r="C88" s="399" t="str" cm="1">
        <f t="array" ref="C88">IFERROR(INDEX(チェックシート!$B$6:$D$113,SMALL(IF(チェックシート!$B$6:$D$113="×",ROW(チェックシート!$B$6:$D$113)-ROW(チェックシート!$B$6)+1),ROWS($B$6:C88)),COLUMN(C88)-COLUMN($B$6)+1),"")</f>
        <v/>
      </c>
      <c r="D88" s="535"/>
      <c r="E88" s="395" t="str" cm="1">
        <f t="array" ref="E88">IFERROR(INDEX(チェックシート!$B$6:$D$113,SMALL(IF(チェックシート!$B$6:$D$113="×",ROW(チェックシート!$B$6:$D$113)-ROW(チェックシート!$B$6)+1),ROWS($B$6:E88)),COLUMN(E88)-COLUMN($B$6)),"")</f>
        <v/>
      </c>
    </row>
    <row r="89" spans="2:5" ht="27.5" customHeight="1">
      <c r="B89" s="395" t="str" cm="1">
        <f t="array" ref="B89">IFERROR(INDEX(チェックシート!$B$6:$D$113,SMALL(IF(チェックシート!$B$6:$D$113="×",ROW(チェックシート!$B$6:$D$113)-ROW(チェックシート!$B$6)+1),ROWS($B$6:B89)),COLUMN(B89)-COLUMN($B$6)+1),"")</f>
        <v/>
      </c>
      <c r="C89" s="399" t="str" cm="1">
        <f t="array" ref="C89">IFERROR(INDEX(チェックシート!$B$6:$D$113,SMALL(IF(チェックシート!$B$6:$D$113="×",ROW(チェックシート!$B$6:$D$113)-ROW(チェックシート!$B$6)+1),ROWS($B$6:C89)),COLUMN(C89)-COLUMN($B$6)+1),"")</f>
        <v/>
      </c>
      <c r="D89" s="535"/>
      <c r="E89" s="395" t="str" cm="1">
        <f t="array" ref="E89">IFERROR(INDEX(チェックシート!$B$6:$D$113,SMALL(IF(チェックシート!$B$6:$D$113="×",ROW(チェックシート!$B$6:$D$113)-ROW(チェックシート!$B$6)+1),ROWS($B$6:E89)),COLUMN(E89)-COLUMN($B$6)),"")</f>
        <v/>
      </c>
    </row>
    <row r="90" spans="2:5" ht="27.5" customHeight="1">
      <c r="B90" s="395" t="str" cm="1">
        <f t="array" ref="B90">IFERROR(INDEX(チェックシート!$B$6:$D$113,SMALL(IF(チェックシート!$B$6:$D$113="×",ROW(チェックシート!$B$6:$D$113)-ROW(チェックシート!$B$6)+1),ROWS($B$6:B90)),COLUMN(B90)-COLUMN($B$6)+1),"")</f>
        <v/>
      </c>
      <c r="C90" s="399" t="str" cm="1">
        <f t="array" ref="C90">IFERROR(INDEX(チェックシート!$B$6:$D$113,SMALL(IF(チェックシート!$B$6:$D$113="×",ROW(チェックシート!$B$6:$D$113)-ROW(チェックシート!$B$6)+1),ROWS($B$6:C90)),COLUMN(C90)-COLUMN($B$6)+1),"")</f>
        <v/>
      </c>
      <c r="D90" s="535"/>
      <c r="E90" s="395" t="str" cm="1">
        <f t="array" ref="E90">IFERROR(INDEX(チェックシート!$B$6:$D$113,SMALL(IF(チェックシート!$B$6:$D$113="×",ROW(チェックシート!$B$6:$D$113)-ROW(チェックシート!$B$6)+1),ROWS($B$6:E90)),COLUMN(E90)-COLUMN($B$6)),"")</f>
        <v/>
      </c>
    </row>
    <row r="91" spans="2:5" ht="27.5" customHeight="1">
      <c r="B91" s="395" t="str" cm="1">
        <f t="array" ref="B91">IFERROR(INDEX(チェックシート!$B$6:$D$113,SMALL(IF(チェックシート!$B$6:$D$113="×",ROW(チェックシート!$B$6:$D$113)-ROW(チェックシート!$B$6)+1),ROWS($B$6:B91)),COLUMN(B91)-COLUMN($B$6)+1),"")</f>
        <v/>
      </c>
      <c r="C91" s="399" t="str" cm="1">
        <f t="array" ref="C91">IFERROR(INDEX(チェックシート!$B$6:$D$113,SMALL(IF(チェックシート!$B$6:$D$113="×",ROW(チェックシート!$B$6:$D$113)-ROW(チェックシート!$B$6)+1),ROWS($B$6:C91)),COLUMN(C91)-COLUMN($B$6)+1),"")</f>
        <v/>
      </c>
      <c r="D91" s="535"/>
      <c r="E91" s="395" t="str" cm="1">
        <f t="array" ref="E91">IFERROR(INDEX(チェックシート!$B$6:$D$113,SMALL(IF(チェックシート!$B$6:$D$113="×",ROW(チェックシート!$B$6:$D$113)-ROW(チェックシート!$B$6)+1),ROWS($B$6:E91)),COLUMN(E91)-COLUMN($B$6)),"")</f>
        <v/>
      </c>
    </row>
    <row r="92" spans="2:5" ht="27.5" customHeight="1">
      <c r="B92" s="395" t="str" cm="1">
        <f t="array" ref="B92">IFERROR(INDEX(チェックシート!$B$6:$D$113,SMALL(IF(チェックシート!$B$6:$D$113="×",ROW(チェックシート!$B$6:$D$113)-ROW(チェックシート!$B$6)+1),ROWS($B$6:B92)),COLUMN(B92)-COLUMN($B$6)+1),"")</f>
        <v/>
      </c>
      <c r="C92" s="399" t="str" cm="1">
        <f t="array" ref="C92">IFERROR(INDEX(チェックシート!$B$6:$D$113,SMALL(IF(チェックシート!$B$6:$D$113="×",ROW(チェックシート!$B$6:$D$113)-ROW(チェックシート!$B$6)+1),ROWS($B$6:C92)),COLUMN(C92)-COLUMN($B$6)+1),"")</f>
        <v/>
      </c>
      <c r="D92" s="535"/>
      <c r="E92" s="395" t="str" cm="1">
        <f t="array" ref="E92">IFERROR(INDEX(チェックシート!$B$6:$D$113,SMALL(IF(チェックシート!$B$6:$D$113="×",ROW(チェックシート!$B$6:$D$113)-ROW(チェックシート!$B$6)+1),ROWS($B$6:E92)),COLUMN(E92)-COLUMN($B$6)),"")</f>
        <v/>
      </c>
    </row>
    <row r="93" spans="2:5" ht="27.5" customHeight="1">
      <c r="B93" s="395" t="str" cm="1">
        <f t="array" ref="B93">IFERROR(INDEX(チェックシート!$B$6:$D$113,SMALL(IF(チェックシート!$B$6:$D$113="×",ROW(チェックシート!$B$6:$D$113)-ROW(チェックシート!$B$6)+1),ROWS($B$6:B93)),COLUMN(B93)-COLUMN($B$6)+1),"")</f>
        <v/>
      </c>
      <c r="C93" s="399" t="str" cm="1">
        <f t="array" ref="C93">IFERROR(INDEX(チェックシート!$B$6:$D$113,SMALL(IF(チェックシート!$B$6:$D$113="×",ROW(チェックシート!$B$6:$D$113)-ROW(チェックシート!$B$6)+1),ROWS($B$6:C93)),COLUMN(C93)-COLUMN($B$6)+1),"")</f>
        <v/>
      </c>
      <c r="D93" s="535"/>
      <c r="E93" s="395" t="str" cm="1">
        <f t="array" ref="E93">IFERROR(INDEX(チェックシート!$B$6:$D$113,SMALL(IF(チェックシート!$B$6:$D$113="×",ROW(チェックシート!$B$6:$D$113)-ROW(チェックシート!$B$6)+1),ROWS($B$6:E93)),COLUMN(E93)-COLUMN($B$6)),"")</f>
        <v/>
      </c>
    </row>
    <row r="94" spans="2:5" ht="27.5" customHeight="1">
      <c r="B94" s="395" t="str" cm="1">
        <f t="array" ref="B94">IFERROR(INDEX(チェックシート!$B$6:$D$113,SMALL(IF(チェックシート!$B$6:$D$113="×",ROW(チェックシート!$B$6:$D$113)-ROW(チェックシート!$B$6)+1),ROWS($B$6:B94)),COLUMN(B94)-COLUMN($B$6)+1),"")</f>
        <v/>
      </c>
      <c r="C94" s="399" t="str" cm="1">
        <f t="array" ref="C94">IFERROR(INDEX(チェックシート!$B$6:$D$113,SMALL(IF(チェックシート!$B$6:$D$113="×",ROW(チェックシート!$B$6:$D$113)-ROW(チェックシート!$B$6)+1),ROWS($B$6:C94)),COLUMN(C94)-COLUMN($B$6)+1),"")</f>
        <v/>
      </c>
      <c r="D94" s="535"/>
      <c r="E94" s="395" t="str" cm="1">
        <f t="array" ref="E94">IFERROR(INDEX(チェックシート!$B$6:$D$113,SMALL(IF(チェックシート!$B$6:$D$113="×",ROW(チェックシート!$B$6:$D$113)-ROW(チェックシート!$B$6)+1),ROWS($B$6:E94)),COLUMN(E94)-COLUMN($B$6)),"")</f>
        <v/>
      </c>
    </row>
  </sheetData>
  <sheetProtection algorithmName="SHA-512" hashValue="zcLRjNACncug1WSZchA4hQ6y+91Hj3uvWgAA2P1i7n45ApORuyMjRZBtE7BYWkEuhc5G5oCIpUO9aIe0cvEAZw==" saltValue="uELSpK7cCegFzRCwQ/hovg==" spinCount="100000" sheet="1" objects="1" scenarios="1" selectLockedCells="1"/>
  <protectedRanges>
    <protectedRange sqref="D6:D94" name="範囲1"/>
  </protectedRanges>
  <phoneticPr fontId="1"/>
  <conditionalFormatting sqref="B6:E94">
    <cfRule type="expression" dxfId="3" priority="1">
      <formula>$B6=""</formula>
    </cfRule>
  </conditionalFormatting>
  <dataValidations count="1">
    <dataValidation type="list" allowBlank="1" showInputMessage="1" showErrorMessage="1" sqref="D6:D94" xr:uid="{1192FF87-92E5-48C6-816B-EAF8A8DD2E6F}">
      <formula1>"確認したが、修正方法不明"</formula1>
    </dataValidation>
  </dataValidations>
  <pageMargins left="0.7" right="0.7" top="0.75" bottom="0.75" header="0.3" footer="0.3"/>
  <pageSetup paperSize="9" scale="28" orientation="portrait"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A16FF-E623-4225-8EEA-2E056916B0F7}">
  <sheetPr>
    <tabColor rgb="FFFF0000"/>
    <pageSetUpPr fitToPage="1"/>
  </sheetPr>
  <dimension ref="B2:D117"/>
  <sheetViews>
    <sheetView view="pageBreakPreview" zoomScale="90" zoomScaleNormal="100" zoomScaleSheetLayoutView="90" workbookViewId="0">
      <selection activeCell="D17" sqref="D17"/>
    </sheetView>
  </sheetViews>
  <sheetFormatPr defaultColWidth="8.6640625" defaultRowHeight="13"/>
  <cols>
    <col min="1" max="1" width="3.6640625" style="392" customWidth="1"/>
    <col min="2" max="2" width="65.83203125" style="392" customWidth="1"/>
    <col min="3" max="3" width="12.33203125" style="392" customWidth="1"/>
    <col min="4" max="4" width="64.1640625" style="392" bestFit="1" customWidth="1"/>
    <col min="5" max="16384" width="8.6640625" style="392"/>
  </cols>
  <sheetData>
    <row r="2" spans="2:4" ht="16.5">
      <c r="B2" s="398"/>
      <c r="C2" s="397"/>
      <c r="D2" s="397"/>
    </row>
    <row r="3" spans="2:4" ht="16.5">
      <c r="B3" s="398"/>
      <c r="C3" s="397"/>
      <c r="D3" s="397"/>
    </row>
    <row r="5" spans="2:4" ht="18" customHeight="1">
      <c r="B5" s="396" t="s">
        <v>1488</v>
      </c>
      <c r="C5" s="396" t="s">
        <v>1487</v>
      </c>
      <c r="D5" s="396" t="s">
        <v>1486</v>
      </c>
    </row>
    <row r="6" spans="2:4" ht="24" customHeight="1">
      <c r="B6" s="393" t="s">
        <v>1485</v>
      </c>
      <c r="C6" s="394" t="str">
        <f>IF(①基本情報!D5&lt;&gt;"","〇","×")</f>
        <v>×</v>
      </c>
      <c r="D6" s="393" t="s">
        <v>1416</v>
      </c>
    </row>
    <row r="7" spans="2:4" ht="24" customHeight="1">
      <c r="B7" s="393" t="s">
        <v>1484</v>
      </c>
      <c r="C7" s="394" t="str">
        <f>IF(①基本情報!M4&lt;&gt;"","〇","×")</f>
        <v>×</v>
      </c>
      <c r="D7" s="393" t="s">
        <v>1416</v>
      </c>
    </row>
    <row r="8" spans="2:4" ht="24" customHeight="1">
      <c r="B8" s="393" t="s">
        <v>1483</v>
      </c>
      <c r="C8" s="394" t="str">
        <f>IF(①基本情報!L8&lt;&gt;"","〇","×")</f>
        <v>×</v>
      </c>
      <c r="D8" s="393" t="s">
        <v>1416</v>
      </c>
    </row>
    <row r="9" spans="2:4" ht="24" customHeight="1">
      <c r="B9" s="393" t="s">
        <v>1482</v>
      </c>
      <c r="C9" s="394" t="str">
        <f>IF(①基本情報!L9&lt;&gt;"","〇","×")</f>
        <v>×</v>
      </c>
      <c r="D9" s="393" t="s">
        <v>1416</v>
      </c>
    </row>
    <row r="10" spans="2:4" ht="24" customHeight="1">
      <c r="B10" s="393" t="s">
        <v>1688</v>
      </c>
      <c r="C10" s="394" t="str">
        <f>IF(①基本情報!F28&lt;&gt;"","〇","×")</f>
        <v>×</v>
      </c>
      <c r="D10" s="395" t="s">
        <v>1695</v>
      </c>
    </row>
    <row r="11" spans="2:4" ht="24" customHeight="1">
      <c r="B11" s="393" t="s">
        <v>1689</v>
      </c>
      <c r="C11" s="394" t="str">
        <f>IF(①基本情報!F29&lt;&gt;"","〇","×")</f>
        <v>×</v>
      </c>
      <c r="D11" s="395" t="s">
        <v>1695</v>
      </c>
    </row>
    <row r="12" spans="2:4" ht="24" customHeight="1">
      <c r="B12" s="393" t="s">
        <v>1690</v>
      </c>
      <c r="C12" s="394" t="str">
        <f>IF(①基本情報!F30&lt;&gt;"","〇","×")</f>
        <v>×</v>
      </c>
      <c r="D12" s="395" t="s">
        <v>1695</v>
      </c>
    </row>
    <row r="13" spans="2:4" ht="24" customHeight="1">
      <c r="B13" s="393" t="s">
        <v>1691</v>
      </c>
      <c r="C13" s="394" t="str">
        <f>IF(①基本情報!F32&lt;&gt;"","〇","×")</f>
        <v>×</v>
      </c>
      <c r="D13" s="395" t="s">
        <v>1696</v>
      </c>
    </row>
    <row r="14" spans="2:4" ht="24" customHeight="1">
      <c r="B14" s="393" t="s">
        <v>1692</v>
      </c>
      <c r="C14" s="394" t="str">
        <f>IF(①基本情報!F34&lt;&gt;"","〇","×")</f>
        <v>×</v>
      </c>
      <c r="D14" s="393" t="s">
        <v>1697</v>
      </c>
    </row>
    <row r="15" spans="2:4" ht="24" customHeight="1">
      <c r="B15" s="393" t="s">
        <v>1693</v>
      </c>
      <c r="C15" s="394" t="str">
        <f>IF(①基本情報!F35&lt;&gt;"","〇","×")</f>
        <v>×</v>
      </c>
      <c r="D15" s="393" t="s">
        <v>1697</v>
      </c>
    </row>
    <row r="16" spans="2:4" ht="24" customHeight="1">
      <c r="B16" s="393" t="s">
        <v>1694</v>
      </c>
      <c r="C16" s="394" t="str">
        <f>IF(①基本情報!F37&lt;&gt;"","〇","×")</f>
        <v>×</v>
      </c>
      <c r="D16" s="395" t="s">
        <v>1698</v>
      </c>
    </row>
    <row r="17" spans="2:4" ht="24" customHeight="1">
      <c r="B17" s="393" t="s">
        <v>1481</v>
      </c>
      <c r="C17" s="394" t="str">
        <f>'②-1職員名簿'!BO3</f>
        <v>〇</v>
      </c>
      <c r="D17" s="393" t="s">
        <v>1416</v>
      </c>
    </row>
    <row r="18" spans="2:4" ht="24" customHeight="1">
      <c r="B18" s="393" t="s">
        <v>1480</v>
      </c>
      <c r="C18" s="394" t="str">
        <f>IF(AND('②-1職員名簿'!BP3="〇",'②-1職員名簿'!BQ3="〇"),"〇","×")</f>
        <v>〇</v>
      </c>
      <c r="D18" s="393" t="s">
        <v>1416</v>
      </c>
    </row>
    <row r="19" spans="2:4" ht="24" customHeight="1">
      <c r="B19" s="393" t="s">
        <v>1479</v>
      </c>
      <c r="C19" s="394" t="str">
        <f>'②-1職員名簿'!BR3</f>
        <v>〇</v>
      </c>
      <c r="D19" s="393" t="s">
        <v>1416</v>
      </c>
    </row>
    <row r="20" spans="2:4" ht="24" customHeight="1">
      <c r="B20" s="393" t="s">
        <v>1478</v>
      </c>
      <c r="C20" s="394" t="str">
        <f>'②-1職員名簿'!BY3</f>
        <v>〇</v>
      </c>
      <c r="D20" s="393" t="s">
        <v>1416</v>
      </c>
    </row>
    <row r="21" spans="2:4" ht="24" customHeight="1">
      <c r="B21" s="393" t="s">
        <v>1477</v>
      </c>
      <c r="C21" s="394" t="str">
        <f>'②-1職員名簿'!BZ3</f>
        <v>〇</v>
      </c>
      <c r="D21" s="393" t="s">
        <v>1416</v>
      </c>
    </row>
    <row r="22" spans="2:4" ht="24" customHeight="1">
      <c r="B22" s="393" t="s">
        <v>1476</v>
      </c>
      <c r="C22" s="394" t="str">
        <f>'②-1職員名簿'!CC3</f>
        <v>〇</v>
      </c>
      <c r="D22" s="393" t="s">
        <v>1416</v>
      </c>
    </row>
    <row r="23" spans="2:4" ht="24" customHeight="1">
      <c r="B23" s="393" t="s">
        <v>1517</v>
      </c>
      <c r="C23" s="394" t="str">
        <f>'②-1職員名簿'!BS3</f>
        <v>〇</v>
      </c>
      <c r="D23" s="395" t="s">
        <v>1526</v>
      </c>
    </row>
    <row r="24" spans="2:4" ht="24" customHeight="1">
      <c r="B24" s="393" t="s">
        <v>1475</v>
      </c>
      <c r="C24" s="394" t="str">
        <f>'②-1職員名簿'!BT3</f>
        <v>〇</v>
      </c>
      <c r="D24" s="393" t="s">
        <v>1474</v>
      </c>
    </row>
    <row r="25" spans="2:4" ht="24" customHeight="1">
      <c r="B25" s="393" t="s">
        <v>1473</v>
      </c>
      <c r="C25" s="394" t="str">
        <f>'②-1職員名簿'!BU3</f>
        <v>〇</v>
      </c>
      <c r="D25" s="393" t="s">
        <v>1472</v>
      </c>
    </row>
    <row r="26" spans="2:4" ht="24" customHeight="1">
      <c r="B26" s="393" t="s">
        <v>1471</v>
      </c>
      <c r="C26" s="394" t="str">
        <f>'②-1職員名簿'!BV3</f>
        <v>〇</v>
      </c>
      <c r="D26" s="393" t="s">
        <v>1470</v>
      </c>
    </row>
    <row r="27" spans="2:4" ht="24" customHeight="1">
      <c r="B27" s="393" t="s">
        <v>1469</v>
      </c>
      <c r="C27" s="394" t="str">
        <f>'②-1職員名簿'!BW3</f>
        <v>〇</v>
      </c>
      <c r="D27" s="393" t="s">
        <v>1468</v>
      </c>
    </row>
    <row r="28" spans="2:4" ht="24" customHeight="1">
      <c r="B28" s="393" t="s">
        <v>1518</v>
      </c>
      <c r="C28" s="394" t="str">
        <f>'②-1職員名簿'!CI3</f>
        <v>〇</v>
      </c>
      <c r="D28" s="395" t="s">
        <v>1519</v>
      </c>
    </row>
    <row r="29" spans="2:4" ht="24" customHeight="1">
      <c r="B29" s="393" t="s">
        <v>1467</v>
      </c>
      <c r="C29" s="394" t="str">
        <f>'②-1職員名簿'!CJ3</f>
        <v>〇</v>
      </c>
      <c r="D29" s="395" t="s">
        <v>1466</v>
      </c>
    </row>
    <row r="30" spans="2:4" ht="24" customHeight="1">
      <c r="B30" s="393" t="s">
        <v>1465</v>
      </c>
      <c r="C30" s="394" t="str">
        <f>'②-1職員名簿'!CK3</f>
        <v>〇</v>
      </c>
      <c r="D30" s="395" t="s">
        <v>1464</v>
      </c>
    </row>
    <row r="31" spans="2:4" ht="24" customHeight="1">
      <c r="B31" s="393" t="s">
        <v>1463</v>
      </c>
      <c r="C31" s="394" t="str">
        <f>'②-1職員名簿'!CL3</f>
        <v>〇</v>
      </c>
      <c r="D31" s="395" t="s">
        <v>1462</v>
      </c>
    </row>
    <row r="32" spans="2:4" ht="24" customHeight="1">
      <c r="B32" s="393" t="s">
        <v>1461</v>
      </c>
      <c r="C32" s="394" t="str">
        <f>'②-1職員名簿'!CM3</f>
        <v>〇</v>
      </c>
      <c r="D32" s="395" t="s">
        <v>1460</v>
      </c>
    </row>
    <row r="33" spans="2:4" ht="24" customHeight="1">
      <c r="B33" s="393" t="s">
        <v>1459</v>
      </c>
      <c r="C33" s="394" t="str">
        <f>'②-1職員名簿'!CN3</f>
        <v>〇</v>
      </c>
      <c r="D33" s="395" t="s">
        <v>1458</v>
      </c>
    </row>
    <row r="34" spans="2:4" ht="24" customHeight="1">
      <c r="B34" s="393" t="s">
        <v>1457</v>
      </c>
      <c r="C34" s="394" t="str">
        <f>'②-1職員名簿'!BX3</f>
        <v>〇</v>
      </c>
      <c r="D34" s="393" t="s">
        <v>1456</v>
      </c>
    </row>
    <row r="35" spans="2:4" ht="24" customHeight="1">
      <c r="B35" s="393" t="s">
        <v>1455</v>
      </c>
      <c r="C35" s="394" t="str">
        <f>'②-1職員名簿'!CA3</f>
        <v>〇</v>
      </c>
      <c r="D35" s="393" t="s">
        <v>1454</v>
      </c>
    </row>
    <row r="36" spans="2:4" ht="24" customHeight="1">
      <c r="B36" s="393" t="s">
        <v>1453</v>
      </c>
      <c r="C36" s="394" t="str">
        <f>'②-1職員名簿'!CB3</f>
        <v>〇</v>
      </c>
      <c r="D36" s="393" t="s">
        <v>1452</v>
      </c>
    </row>
    <row r="37" spans="2:4" ht="24" customHeight="1">
      <c r="B37" s="393" t="s">
        <v>1451</v>
      </c>
      <c r="C37" s="394" t="str">
        <f>'②-1職員名簿'!CD3</f>
        <v>〇</v>
      </c>
      <c r="D37" s="393" t="s">
        <v>1450</v>
      </c>
    </row>
    <row r="38" spans="2:4" ht="24" customHeight="1">
      <c r="B38" s="393" t="s">
        <v>1520</v>
      </c>
      <c r="C38" s="394" t="str">
        <f>'②-1職員名簿'!CE3</f>
        <v>〇</v>
      </c>
      <c r="D38" s="393" t="s">
        <v>1523</v>
      </c>
    </row>
    <row r="39" spans="2:4" ht="24" customHeight="1">
      <c r="B39" s="393" t="s">
        <v>1521</v>
      </c>
      <c r="C39" s="394" t="str">
        <f>'②-1職員名簿'!CF3</f>
        <v>〇</v>
      </c>
      <c r="D39" s="393" t="s">
        <v>1524</v>
      </c>
    </row>
    <row r="40" spans="2:4" ht="24" customHeight="1">
      <c r="B40" s="393" t="s">
        <v>1522</v>
      </c>
      <c r="C40" s="394" t="str">
        <f>'②-1職員名簿'!CG3</f>
        <v>〇</v>
      </c>
      <c r="D40" s="395" t="s">
        <v>1525</v>
      </c>
    </row>
    <row r="41" spans="2:4" ht="24" customHeight="1">
      <c r="B41" s="393" t="s">
        <v>1449</v>
      </c>
      <c r="C41" s="394" t="str">
        <f>'②-1職員名簿'!CH3</f>
        <v>〇</v>
      </c>
      <c r="D41" s="393" t="s">
        <v>1448</v>
      </c>
    </row>
    <row r="42" spans="2:4" ht="24" customHeight="1">
      <c r="B42" s="393" t="s">
        <v>1447</v>
      </c>
      <c r="C42" s="394" t="str">
        <f>'②-1職員名簿'!CP3</f>
        <v>〇</v>
      </c>
      <c r="D42" s="393" t="s">
        <v>1446</v>
      </c>
    </row>
    <row r="43" spans="2:4" ht="24" customHeight="1">
      <c r="B43" s="393" t="s">
        <v>1445</v>
      </c>
      <c r="C43" s="394" t="str">
        <f>'②-1職員名簿'!CQ3</f>
        <v>〇</v>
      </c>
      <c r="D43" s="393" t="s">
        <v>1444</v>
      </c>
    </row>
    <row r="44" spans="2:4" ht="24" customHeight="1">
      <c r="B44" s="393" t="s">
        <v>1443</v>
      </c>
      <c r="C44" s="394" t="str">
        <f>'②-1職員名簿'!CS7</f>
        <v>〇</v>
      </c>
      <c r="D44" s="393" t="s">
        <v>1442</v>
      </c>
    </row>
    <row r="45" spans="2:4" ht="24" customHeight="1">
      <c r="B45" s="393" t="s">
        <v>1441</v>
      </c>
      <c r="C45" s="394" t="str">
        <f>'②-1職員名簿'!CT7</f>
        <v>〇</v>
      </c>
      <c r="D45" s="393" t="s">
        <v>1440</v>
      </c>
    </row>
    <row r="46" spans="2:4" ht="26">
      <c r="B46" s="393" t="s">
        <v>1439</v>
      </c>
      <c r="C46" s="394" t="str">
        <f>'②-1職員名簿'!CU7</f>
        <v>〇</v>
      </c>
      <c r="D46" s="395" t="s">
        <v>1438</v>
      </c>
    </row>
    <row r="47" spans="2:4" ht="24.5" customHeight="1">
      <c r="B47" s="393" t="s">
        <v>1437</v>
      </c>
      <c r="C47" s="394" t="str">
        <f>'②-1職員名簿'!CV7</f>
        <v>〇</v>
      </c>
      <c r="D47" s="393" t="s">
        <v>1436</v>
      </c>
    </row>
    <row r="48" spans="2:4" ht="24.5" customHeight="1">
      <c r="B48" s="393" t="s">
        <v>1435</v>
      </c>
      <c r="C48" s="394" t="str">
        <f>IF('②-2勤務時間数入力'!AJ5&gt;0,"×","〇")</f>
        <v>〇</v>
      </c>
      <c r="D48" s="395" t="s">
        <v>1434</v>
      </c>
    </row>
    <row r="49" spans="2:4" ht="24.5" customHeight="1">
      <c r="B49" s="393" t="s">
        <v>1433</v>
      </c>
      <c r="C49" s="394" t="str">
        <f>'②-1職員名簿'!CO3</f>
        <v>〇</v>
      </c>
      <c r="D49" s="395" t="s">
        <v>1586</v>
      </c>
    </row>
    <row r="50" spans="2:4" ht="24.5" customHeight="1">
      <c r="B50" s="393" t="s">
        <v>1432</v>
      </c>
      <c r="C50" s="394" t="str">
        <f>IF('②-2勤務時間数入力'!F5&lt;&gt;"","〇","×")</f>
        <v>×</v>
      </c>
      <c r="D50" s="393" t="s">
        <v>1416</v>
      </c>
    </row>
    <row r="51" spans="2:4" ht="24.5" customHeight="1">
      <c r="B51" s="393" t="s">
        <v>1583</v>
      </c>
      <c r="C51" s="394" t="str">
        <f>'②-2勤務時間数入力'!AM5</f>
        <v>〇</v>
      </c>
      <c r="D51" s="393" t="s">
        <v>1584</v>
      </c>
    </row>
    <row r="52" spans="2:4" ht="24.5" customHeight="1">
      <c r="B52" s="393" t="s">
        <v>1580</v>
      </c>
      <c r="C52" s="394" t="str">
        <f>'②-2勤務時間数入力'!AO5</f>
        <v>〇</v>
      </c>
      <c r="D52" s="393" t="s">
        <v>1585</v>
      </c>
    </row>
    <row r="53" spans="2:4" ht="24.5" customHeight="1">
      <c r="B53" s="393" t="s">
        <v>1431</v>
      </c>
      <c r="C53" s="394" t="str">
        <f>IF(COUNTBLANK('③児童数及び職員定数 (2)-(1)'!B10:E21)+COUNTBLANK('③児童数及び職員定数 (2)-(1)'!G10:H21)&gt;0,"×","〇")</f>
        <v>×</v>
      </c>
      <c r="D53" s="393" t="s">
        <v>1416</v>
      </c>
    </row>
    <row r="54" spans="2:4" ht="24.5" customHeight="1">
      <c r="B54" s="393" t="s">
        <v>1430</v>
      </c>
      <c r="C54" s="394" t="str">
        <f>⑤基本加算１!V4</f>
        <v>〇</v>
      </c>
      <c r="D54" s="393" t="s">
        <v>1416</v>
      </c>
    </row>
    <row r="55" spans="2:4" ht="24.5" customHeight="1">
      <c r="B55" s="393" t="s">
        <v>1429</v>
      </c>
      <c r="C55" s="394" t="str">
        <f>⑤基本加算１!W4</f>
        <v>〇</v>
      </c>
      <c r="D55" s="393" t="s">
        <v>1416</v>
      </c>
    </row>
    <row r="56" spans="2:4" ht="24.5" customHeight="1">
      <c r="B56" s="393" t="s">
        <v>1428</v>
      </c>
      <c r="C56" s="394" t="str">
        <f>⑥基本加算２!W4</f>
        <v>〇</v>
      </c>
      <c r="D56" s="393" t="s">
        <v>1416</v>
      </c>
    </row>
    <row r="57" spans="2:4" ht="24.5" customHeight="1">
      <c r="B57" s="393" t="s">
        <v>1427</v>
      </c>
      <c r="C57" s="394" t="str">
        <f>⑥基本加算２!X4</f>
        <v>〇</v>
      </c>
      <c r="D57" s="393" t="s">
        <v>1416</v>
      </c>
    </row>
    <row r="58" spans="2:4" ht="24.5" customHeight="1">
      <c r="B58" s="393" t="s">
        <v>1426</v>
      </c>
      <c r="C58" s="394" t="str">
        <f>⑦基本加算３!W4</f>
        <v>〇</v>
      </c>
      <c r="D58" s="393" t="s">
        <v>1416</v>
      </c>
    </row>
    <row r="59" spans="2:4" ht="24.5" customHeight="1">
      <c r="B59" s="393" t="s">
        <v>1555</v>
      </c>
      <c r="C59" s="394" t="str">
        <f>⑦基本加算３!X4</f>
        <v>〇</v>
      </c>
      <c r="D59" s="393" t="s">
        <v>1416</v>
      </c>
    </row>
    <row r="60" spans="2:4" ht="24.5" customHeight="1">
      <c r="B60" s="393" t="s">
        <v>1425</v>
      </c>
      <c r="C60" s="394" t="str">
        <f>⑧一般加算１!AA4</f>
        <v>〇</v>
      </c>
      <c r="D60" s="393" t="s">
        <v>1416</v>
      </c>
    </row>
    <row r="61" spans="2:4" ht="24.5" customHeight="1">
      <c r="B61" s="393" t="s">
        <v>1424</v>
      </c>
      <c r="C61" s="394" t="str">
        <f>⑧一般加算１!AB4</f>
        <v>〇</v>
      </c>
      <c r="D61" s="393" t="s">
        <v>1416</v>
      </c>
    </row>
    <row r="62" spans="2:4" ht="24.5" customHeight="1">
      <c r="B62" s="393" t="s">
        <v>1423</v>
      </c>
      <c r="C62" s="394" t="str">
        <f>⑧一般加算１!AC4</f>
        <v>〇</v>
      </c>
      <c r="D62" s="393" t="s">
        <v>1416</v>
      </c>
    </row>
    <row r="63" spans="2:4" ht="24.5" customHeight="1">
      <c r="B63" s="393" t="s">
        <v>1422</v>
      </c>
      <c r="C63" s="394" t="str">
        <f>⑧一般加算１!AD4</f>
        <v>〇</v>
      </c>
      <c r="D63" s="395" t="s">
        <v>1421</v>
      </c>
    </row>
    <row r="64" spans="2:4" ht="24.5" customHeight="1">
      <c r="B64" s="393" t="s">
        <v>1556</v>
      </c>
      <c r="C64" s="394" t="str">
        <f>⑨一般加算２!AA4</f>
        <v>〇</v>
      </c>
      <c r="D64" s="393" t="s">
        <v>1416</v>
      </c>
    </row>
    <row r="65" spans="2:4" ht="24.5" customHeight="1">
      <c r="B65" s="393" t="s">
        <v>1557</v>
      </c>
      <c r="C65" s="394" t="str">
        <f>⑨一般加算２!AB4</f>
        <v>〇</v>
      </c>
      <c r="D65" s="393" t="s">
        <v>1416</v>
      </c>
    </row>
    <row r="66" spans="2:4" ht="24.5" customHeight="1">
      <c r="B66" s="393" t="s">
        <v>1558</v>
      </c>
      <c r="C66" s="394" t="str">
        <f>⑨一般加算２!AC4</f>
        <v>〇</v>
      </c>
      <c r="D66" s="393" t="s">
        <v>1416</v>
      </c>
    </row>
    <row r="67" spans="2:4" ht="24.5" customHeight="1">
      <c r="B67" s="393" t="s">
        <v>1559</v>
      </c>
      <c r="C67" s="394" t="str">
        <f>⑨一般加算２!AD4</f>
        <v>〇</v>
      </c>
      <c r="D67" s="395" t="s">
        <v>1421</v>
      </c>
    </row>
    <row r="68" spans="2:4" ht="24.5" customHeight="1">
      <c r="B68" s="393" t="s">
        <v>1420</v>
      </c>
      <c r="C68" s="394" t="str">
        <f>⑩特定加算１!W4</f>
        <v>〇</v>
      </c>
      <c r="D68" s="393" t="s">
        <v>1416</v>
      </c>
    </row>
    <row r="69" spans="2:4" ht="24.5" customHeight="1">
      <c r="B69" s="393" t="s">
        <v>1419</v>
      </c>
      <c r="C69" s="394" t="str">
        <f>⑩特定加算１!X4</f>
        <v>〇</v>
      </c>
      <c r="D69" s="393" t="s">
        <v>1416</v>
      </c>
    </row>
    <row r="70" spans="2:4" ht="24.5" customHeight="1">
      <c r="B70" s="393" t="s">
        <v>1418</v>
      </c>
      <c r="C70" s="394" t="str">
        <f>⑪特定加算２!W4</f>
        <v>〇</v>
      </c>
      <c r="D70" s="393" t="s">
        <v>1416</v>
      </c>
    </row>
    <row r="71" spans="2:4" ht="24.5" customHeight="1">
      <c r="B71" s="393" t="s">
        <v>1417</v>
      </c>
      <c r="C71" s="394" t="str">
        <f>⑪特定加算２!X4</f>
        <v>〇</v>
      </c>
      <c r="D71" s="393" t="s">
        <v>1416</v>
      </c>
    </row>
    <row r="72" spans="2:4" ht="30.5" customHeight="1">
      <c r="B72" s="393" t="s">
        <v>1575</v>
      </c>
      <c r="C72" s="394" t="str">
        <f>⑫公定価格加算分!Q20</f>
        <v>〇</v>
      </c>
      <c r="D72" s="395" t="s">
        <v>1576</v>
      </c>
    </row>
    <row r="73" spans="2:4" ht="24.5" customHeight="1">
      <c r="B73" s="393"/>
      <c r="C73" s="394"/>
      <c r="D73" s="395"/>
    </row>
    <row r="74" spans="2:4" ht="24.5" customHeight="1">
      <c r="B74" s="393"/>
      <c r="C74" s="394"/>
      <c r="D74" s="395"/>
    </row>
    <row r="75" spans="2:4" ht="24.5" customHeight="1">
      <c r="B75" s="393"/>
      <c r="C75" s="394"/>
      <c r="D75" s="393"/>
    </row>
    <row r="76" spans="2:4" ht="24.5" customHeight="1">
      <c r="B76" s="393"/>
      <c r="C76" s="394"/>
      <c r="D76" s="393"/>
    </row>
    <row r="77" spans="2:4" ht="24.5" customHeight="1">
      <c r="B77" s="393"/>
      <c r="C77" s="394"/>
      <c r="D77" s="393"/>
    </row>
    <row r="78" spans="2:4" ht="24.5" customHeight="1">
      <c r="B78" s="393"/>
      <c r="C78" s="394"/>
      <c r="D78" s="393"/>
    </row>
    <row r="79" spans="2:4" ht="24.5" customHeight="1">
      <c r="B79" s="393"/>
      <c r="C79" s="394"/>
      <c r="D79" s="393"/>
    </row>
    <row r="80" spans="2:4" ht="24.5" customHeight="1">
      <c r="B80" s="393"/>
      <c r="C80" s="394"/>
      <c r="D80" s="393"/>
    </row>
    <row r="81" spans="2:4" ht="24.5" customHeight="1">
      <c r="B81" s="393"/>
      <c r="C81" s="394"/>
      <c r="D81" s="393"/>
    </row>
    <row r="82" spans="2:4" ht="24.5" customHeight="1">
      <c r="B82" s="393"/>
      <c r="C82" s="394"/>
      <c r="D82" s="393"/>
    </row>
    <row r="83" spans="2:4" ht="24.5" customHeight="1">
      <c r="B83" s="393"/>
      <c r="C83" s="394"/>
      <c r="D83" s="393"/>
    </row>
    <row r="84" spans="2:4" ht="24.5" customHeight="1">
      <c r="B84" s="393"/>
      <c r="C84" s="394"/>
      <c r="D84" s="393"/>
    </row>
    <row r="85" spans="2:4" ht="24.5" customHeight="1">
      <c r="B85" s="393"/>
      <c r="C85" s="394"/>
      <c r="D85" s="393"/>
    </row>
    <row r="86" spans="2:4" ht="24.5" customHeight="1">
      <c r="B86" s="393"/>
      <c r="C86" s="394"/>
      <c r="D86" s="393"/>
    </row>
    <row r="87" spans="2:4" ht="24.5" customHeight="1">
      <c r="B87" s="393"/>
      <c r="C87" s="394"/>
      <c r="D87" s="393"/>
    </row>
    <row r="88" spans="2:4" ht="24.5" customHeight="1">
      <c r="B88" s="393"/>
      <c r="C88" s="394"/>
      <c r="D88" s="393"/>
    </row>
    <row r="89" spans="2:4" ht="24.5" customHeight="1">
      <c r="B89" s="393"/>
      <c r="C89" s="394"/>
      <c r="D89" s="393"/>
    </row>
    <row r="90" spans="2:4" ht="24.5" customHeight="1">
      <c r="B90" s="393"/>
      <c r="C90" s="394"/>
      <c r="D90" s="393"/>
    </row>
    <row r="91" spans="2:4" ht="24.5" customHeight="1">
      <c r="B91" s="393"/>
      <c r="C91" s="394"/>
      <c r="D91" s="393"/>
    </row>
    <row r="92" spans="2:4" ht="24.5" customHeight="1">
      <c r="B92" s="393"/>
      <c r="C92" s="394"/>
      <c r="D92" s="393"/>
    </row>
    <row r="93" spans="2:4" ht="24.5" customHeight="1">
      <c r="B93" s="393"/>
      <c r="C93" s="394"/>
      <c r="D93" s="393"/>
    </row>
    <row r="94" spans="2:4" ht="24.5" customHeight="1">
      <c r="B94" s="393"/>
      <c r="C94" s="394"/>
      <c r="D94" s="393"/>
    </row>
    <row r="95" spans="2:4" ht="24.5" customHeight="1">
      <c r="B95" s="393"/>
      <c r="C95" s="394"/>
      <c r="D95" s="393"/>
    </row>
    <row r="96" spans="2:4" ht="24.5" customHeight="1">
      <c r="B96" s="393"/>
      <c r="C96" s="394"/>
      <c r="D96" s="393"/>
    </row>
    <row r="97" spans="2:4" ht="24.5" customHeight="1">
      <c r="B97" s="393"/>
      <c r="C97" s="394"/>
      <c r="D97" s="393"/>
    </row>
    <row r="98" spans="2:4" ht="24.5" customHeight="1">
      <c r="B98" s="393"/>
      <c r="C98" s="394"/>
      <c r="D98" s="393"/>
    </row>
    <row r="99" spans="2:4" ht="24.5" customHeight="1">
      <c r="B99" s="393"/>
      <c r="C99" s="394"/>
      <c r="D99" s="393"/>
    </row>
    <row r="100" spans="2:4" ht="24.5" customHeight="1">
      <c r="B100" s="393"/>
      <c r="C100" s="394"/>
      <c r="D100" s="393"/>
    </row>
    <row r="101" spans="2:4" ht="24.5" customHeight="1">
      <c r="B101" s="393"/>
      <c r="C101" s="394"/>
      <c r="D101" s="393"/>
    </row>
    <row r="102" spans="2:4" ht="24.5" customHeight="1">
      <c r="B102" s="393"/>
      <c r="C102" s="394"/>
      <c r="D102" s="393"/>
    </row>
    <row r="103" spans="2:4" ht="24.5" customHeight="1">
      <c r="B103" s="393"/>
      <c r="C103" s="394"/>
      <c r="D103" s="393"/>
    </row>
    <row r="104" spans="2:4" ht="24.5" customHeight="1">
      <c r="B104" s="393"/>
      <c r="C104" s="394"/>
      <c r="D104" s="393"/>
    </row>
    <row r="105" spans="2:4" ht="24.5" customHeight="1">
      <c r="B105" s="393"/>
      <c r="C105" s="394"/>
      <c r="D105" s="393"/>
    </row>
    <row r="106" spans="2:4" ht="24.5" customHeight="1">
      <c r="B106" s="393"/>
      <c r="C106" s="394"/>
      <c r="D106" s="393"/>
    </row>
    <row r="107" spans="2:4" ht="24.5" customHeight="1">
      <c r="B107" s="393"/>
      <c r="C107" s="394"/>
      <c r="D107" s="393"/>
    </row>
    <row r="108" spans="2:4" ht="24.5" customHeight="1">
      <c r="B108" s="393"/>
      <c r="C108" s="394"/>
      <c r="D108" s="393"/>
    </row>
    <row r="109" spans="2:4" ht="24.5" customHeight="1">
      <c r="B109" s="393"/>
      <c r="C109" s="394"/>
      <c r="D109" s="393"/>
    </row>
    <row r="110" spans="2:4" ht="24.5" customHeight="1">
      <c r="B110" s="393"/>
      <c r="C110" s="394"/>
      <c r="D110" s="393"/>
    </row>
    <row r="111" spans="2:4" ht="24.5" customHeight="1">
      <c r="B111" s="393"/>
      <c r="C111" s="394"/>
      <c r="D111" s="393"/>
    </row>
    <row r="112" spans="2:4" ht="24.5" customHeight="1">
      <c r="B112" s="393"/>
      <c r="C112" s="394"/>
      <c r="D112" s="393"/>
    </row>
    <row r="113" spans="2:4" ht="24.5" customHeight="1">
      <c r="B113" s="393"/>
      <c r="C113" s="394"/>
      <c r="D113" s="393"/>
    </row>
    <row r="114" spans="2:4" ht="24.5" customHeight="1">
      <c r="B114" s="393"/>
      <c r="C114" s="394"/>
      <c r="D114" s="393"/>
    </row>
    <row r="115" spans="2:4" ht="24.5" customHeight="1">
      <c r="B115" s="393"/>
      <c r="C115" s="394"/>
      <c r="D115" s="393"/>
    </row>
    <row r="116" spans="2:4" ht="24.5" customHeight="1">
      <c r="B116" s="393"/>
      <c r="C116" s="394"/>
      <c r="D116" s="393"/>
    </row>
    <row r="117" spans="2:4" ht="24.5" customHeight="1">
      <c r="B117" s="393"/>
      <c r="C117" s="394"/>
      <c r="D117" s="393"/>
    </row>
  </sheetData>
  <sheetProtection selectLockedCells="1"/>
  <phoneticPr fontId="1"/>
  <pageMargins left="0.7" right="0.7" top="0.75" bottom="0.75" header="0.3" footer="0.3"/>
  <pageSetup paperSize="9" scale="25" orientation="portrait"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6F0E1-4B67-4637-B56A-98D6E4B8709A}">
  <sheetPr>
    <tabColor rgb="FF7030A0"/>
  </sheetPr>
  <dimension ref="A1:Q46"/>
  <sheetViews>
    <sheetView showGridLines="0" view="pageBreakPreview" zoomScale="85" zoomScaleNormal="100" zoomScaleSheetLayoutView="85" workbookViewId="0">
      <selection activeCell="F7" sqref="F7:H9"/>
    </sheetView>
  </sheetViews>
  <sheetFormatPr defaultRowHeight="13"/>
  <cols>
    <col min="1" max="1" width="0.58203125" style="136" customWidth="1"/>
    <col min="2" max="2" width="19.33203125" style="136" customWidth="1"/>
    <col min="3" max="3" width="18" style="136" customWidth="1"/>
    <col min="4" max="4" width="3" style="136" customWidth="1"/>
    <col min="5" max="5" width="20.08203125" style="136" customWidth="1"/>
    <col min="6" max="6" width="3.33203125" style="136" customWidth="1"/>
    <col min="7" max="7" width="19.25" style="136" customWidth="1"/>
    <col min="8" max="8" width="5.33203125" style="136" customWidth="1"/>
    <col min="9" max="9" width="6.5" style="136" customWidth="1"/>
    <col min="10" max="11" width="4.75" style="136" customWidth="1"/>
    <col min="12" max="12" width="8" style="136" customWidth="1"/>
    <col min="13" max="13" width="10.25" style="136" customWidth="1"/>
    <col min="14" max="14" width="17.5" style="136" customWidth="1"/>
    <col min="15" max="15" width="5.83203125" style="136" customWidth="1"/>
    <col min="16" max="16" width="5.75" style="136" customWidth="1"/>
    <col min="17" max="17" width="5.58203125" style="136" customWidth="1"/>
    <col min="18" max="256" width="9" style="136"/>
    <col min="257" max="257" width="0.58203125" style="136" customWidth="1"/>
    <col min="258" max="258" width="19.33203125" style="136" customWidth="1"/>
    <col min="259" max="259" width="18" style="136" customWidth="1"/>
    <col min="260" max="260" width="3" style="136" customWidth="1"/>
    <col min="261" max="261" width="20.08203125" style="136" customWidth="1"/>
    <col min="262" max="262" width="3.33203125" style="136" customWidth="1"/>
    <col min="263" max="263" width="19.25" style="136" customWidth="1"/>
    <col min="264" max="264" width="5.33203125" style="136" customWidth="1"/>
    <col min="265" max="265" width="6.5" style="136" customWidth="1"/>
    <col min="266" max="267" width="4.75" style="136" customWidth="1"/>
    <col min="268" max="268" width="8" style="136" customWidth="1"/>
    <col min="269" max="269" width="10.25" style="136" customWidth="1"/>
    <col min="270" max="270" width="17.5" style="136" customWidth="1"/>
    <col min="271" max="271" width="5.83203125" style="136" customWidth="1"/>
    <col min="272" max="272" width="5.75" style="136" customWidth="1"/>
    <col min="273" max="273" width="5.58203125" style="136" customWidth="1"/>
    <col min="274" max="512" width="9" style="136"/>
    <col min="513" max="513" width="0.58203125" style="136" customWidth="1"/>
    <col min="514" max="514" width="19.33203125" style="136" customWidth="1"/>
    <col min="515" max="515" width="18" style="136" customWidth="1"/>
    <col min="516" max="516" width="3" style="136" customWidth="1"/>
    <col min="517" max="517" width="20.08203125" style="136" customWidth="1"/>
    <col min="518" max="518" width="3.33203125" style="136" customWidth="1"/>
    <col min="519" max="519" width="19.25" style="136" customWidth="1"/>
    <col min="520" max="520" width="5.33203125" style="136" customWidth="1"/>
    <col min="521" max="521" width="6.5" style="136" customWidth="1"/>
    <col min="522" max="523" width="4.75" style="136" customWidth="1"/>
    <col min="524" max="524" width="8" style="136" customWidth="1"/>
    <col min="525" max="525" width="10.25" style="136" customWidth="1"/>
    <col min="526" max="526" width="17.5" style="136" customWidth="1"/>
    <col min="527" max="527" width="5.83203125" style="136" customWidth="1"/>
    <col min="528" max="528" width="5.75" style="136" customWidth="1"/>
    <col min="529" max="529" width="5.58203125" style="136" customWidth="1"/>
    <col min="530" max="768" width="9" style="136"/>
    <col min="769" max="769" width="0.58203125" style="136" customWidth="1"/>
    <col min="770" max="770" width="19.33203125" style="136" customWidth="1"/>
    <col min="771" max="771" width="18" style="136" customWidth="1"/>
    <col min="772" max="772" width="3" style="136" customWidth="1"/>
    <col min="773" max="773" width="20.08203125" style="136" customWidth="1"/>
    <col min="774" max="774" width="3.33203125" style="136" customWidth="1"/>
    <col min="775" max="775" width="19.25" style="136" customWidth="1"/>
    <col min="776" max="776" width="5.33203125" style="136" customWidth="1"/>
    <col min="777" max="777" width="6.5" style="136" customWidth="1"/>
    <col min="778" max="779" width="4.75" style="136" customWidth="1"/>
    <col min="780" max="780" width="8" style="136" customWidth="1"/>
    <col min="781" max="781" width="10.25" style="136" customWidth="1"/>
    <col min="782" max="782" width="17.5" style="136" customWidth="1"/>
    <col min="783" max="783" width="5.83203125" style="136" customWidth="1"/>
    <col min="784" max="784" width="5.75" style="136" customWidth="1"/>
    <col min="785" max="785" width="5.58203125" style="136" customWidth="1"/>
    <col min="786" max="1024" width="9" style="136"/>
    <col min="1025" max="1025" width="0.58203125" style="136" customWidth="1"/>
    <col min="1026" max="1026" width="19.33203125" style="136" customWidth="1"/>
    <col min="1027" max="1027" width="18" style="136" customWidth="1"/>
    <col min="1028" max="1028" width="3" style="136" customWidth="1"/>
    <col min="1029" max="1029" width="20.08203125" style="136" customWidth="1"/>
    <col min="1030" max="1030" width="3.33203125" style="136" customWidth="1"/>
    <col min="1031" max="1031" width="19.25" style="136" customWidth="1"/>
    <col min="1032" max="1032" width="5.33203125" style="136" customWidth="1"/>
    <col min="1033" max="1033" width="6.5" style="136" customWidth="1"/>
    <col min="1034" max="1035" width="4.75" style="136" customWidth="1"/>
    <col min="1036" max="1036" width="8" style="136" customWidth="1"/>
    <col min="1037" max="1037" width="10.25" style="136" customWidth="1"/>
    <col min="1038" max="1038" width="17.5" style="136" customWidth="1"/>
    <col min="1039" max="1039" width="5.83203125" style="136" customWidth="1"/>
    <col min="1040" max="1040" width="5.75" style="136" customWidth="1"/>
    <col min="1041" max="1041" width="5.58203125" style="136" customWidth="1"/>
    <col min="1042" max="1280" width="9" style="136"/>
    <col min="1281" max="1281" width="0.58203125" style="136" customWidth="1"/>
    <col min="1282" max="1282" width="19.33203125" style="136" customWidth="1"/>
    <col min="1283" max="1283" width="18" style="136" customWidth="1"/>
    <col min="1284" max="1284" width="3" style="136" customWidth="1"/>
    <col min="1285" max="1285" width="20.08203125" style="136" customWidth="1"/>
    <col min="1286" max="1286" width="3.33203125" style="136" customWidth="1"/>
    <col min="1287" max="1287" width="19.25" style="136" customWidth="1"/>
    <col min="1288" max="1288" width="5.33203125" style="136" customWidth="1"/>
    <col min="1289" max="1289" width="6.5" style="136" customWidth="1"/>
    <col min="1290" max="1291" width="4.75" style="136" customWidth="1"/>
    <col min="1292" max="1292" width="8" style="136" customWidth="1"/>
    <col min="1293" max="1293" width="10.25" style="136" customWidth="1"/>
    <col min="1294" max="1294" width="17.5" style="136" customWidth="1"/>
    <col min="1295" max="1295" width="5.83203125" style="136" customWidth="1"/>
    <col min="1296" max="1296" width="5.75" style="136" customWidth="1"/>
    <col min="1297" max="1297" width="5.58203125" style="136" customWidth="1"/>
    <col min="1298" max="1536" width="9" style="136"/>
    <col min="1537" max="1537" width="0.58203125" style="136" customWidth="1"/>
    <col min="1538" max="1538" width="19.33203125" style="136" customWidth="1"/>
    <col min="1539" max="1539" width="18" style="136" customWidth="1"/>
    <col min="1540" max="1540" width="3" style="136" customWidth="1"/>
    <col min="1541" max="1541" width="20.08203125" style="136" customWidth="1"/>
    <col min="1542" max="1542" width="3.33203125" style="136" customWidth="1"/>
    <col min="1543" max="1543" width="19.25" style="136" customWidth="1"/>
    <col min="1544" max="1544" width="5.33203125" style="136" customWidth="1"/>
    <col min="1545" max="1545" width="6.5" style="136" customWidth="1"/>
    <col min="1546" max="1547" width="4.75" style="136" customWidth="1"/>
    <col min="1548" max="1548" width="8" style="136" customWidth="1"/>
    <col min="1549" max="1549" width="10.25" style="136" customWidth="1"/>
    <col min="1550" max="1550" width="17.5" style="136" customWidth="1"/>
    <col min="1551" max="1551" width="5.83203125" style="136" customWidth="1"/>
    <col min="1552" max="1552" width="5.75" style="136" customWidth="1"/>
    <col min="1553" max="1553" width="5.58203125" style="136" customWidth="1"/>
    <col min="1554" max="1792" width="9" style="136"/>
    <col min="1793" max="1793" width="0.58203125" style="136" customWidth="1"/>
    <col min="1794" max="1794" width="19.33203125" style="136" customWidth="1"/>
    <col min="1795" max="1795" width="18" style="136" customWidth="1"/>
    <col min="1796" max="1796" width="3" style="136" customWidth="1"/>
    <col min="1797" max="1797" width="20.08203125" style="136" customWidth="1"/>
    <col min="1798" max="1798" width="3.33203125" style="136" customWidth="1"/>
    <col min="1799" max="1799" width="19.25" style="136" customWidth="1"/>
    <col min="1800" max="1800" width="5.33203125" style="136" customWidth="1"/>
    <col min="1801" max="1801" width="6.5" style="136" customWidth="1"/>
    <col min="1802" max="1803" width="4.75" style="136" customWidth="1"/>
    <col min="1804" max="1804" width="8" style="136" customWidth="1"/>
    <col min="1805" max="1805" width="10.25" style="136" customWidth="1"/>
    <col min="1806" max="1806" width="17.5" style="136" customWidth="1"/>
    <col min="1807" max="1807" width="5.83203125" style="136" customWidth="1"/>
    <col min="1808" max="1808" width="5.75" style="136" customWidth="1"/>
    <col min="1809" max="1809" width="5.58203125" style="136" customWidth="1"/>
    <col min="1810" max="2048" width="9" style="136"/>
    <col min="2049" max="2049" width="0.58203125" style="136" customWidth="1"/>
    <col min="2050" max="2050" width="19.33203125" style="136" customWidth="1"/>
    <col min="2051" max="2051" width="18" style="136" customWidth="1"/>
    <col min="2052" max="2052" width="3" style="136" customWidth="1"/>
    <col min="2053" max="2053" width="20.08203125" style="136" customWidth="1"/>
    <col min="2054" max="2054" width="3.33203125" style="136" customWidth="1"/>
    <col min="2055" max="2055" width="19.25" style="136" customWidth="1"/>
    <col min="2056" max="2056" width="5.33203125" style="136" customWidth="1"/>
    <col min="2057" max="2057" width="6.5" style="136" customWidth="1"/>
    <col min="2058" max="2059" width="4.75" style="136" customWidth="1"/>
    <col min="2060" max="2060" width="8" style="136" customWidth="1"/>
    <col min="2061" max="2061" width="10.25" style="136" customWidth="1"/>
    <col min="2062" max="2062" width="17.5" style="136" customWidth="1"/>
    <col min="2063" max="2063" width="5.83203125" style="136" customWidth="1"/>
    <col min="2064" max="2064" width="5.75" style="136" customWidth="1"/>
    <col min="2065" max="2065" width="5.58203125" style="136" customWidth="1"/>
    <col min="2066" max="2304" width="9" style="136"/>
    <col min="2305" max="2305" width="0.58203125" style="136" customWidth="1"/>
    <col min="2306" max="2306" width="19.33203125" style="136" customWidth="1"/>
    <col min="2307" max="2307" width="18" style="136" customWidth="1"/>
    <col min="2308" max="2308" width="3" style="136" customWidth="1"/>
    <col min="2309" max="2309" width="20.08203125" style="136" customWidth="1"/>
    <col min="2310" max="2310" width="3.33203125" style="136" customWidth="1"/>
    <col min="2311" max="2311" width="19.25" style="136" customWidth="1"/>
    <col min="2312" max="2312" width="5.33203125" style="136" customWidth="1"/>
    <col min="2313" max="2313" width="6.5" style="136" customWidth="1"/>
    <col min="2314" max="2315" width="4.75" style="136" customWidth="1"/>
    <col min="2316" max="2316" width="8" style="136" customWidth="1"/>
    <col min="2317" max="2317" width="10.25" style="136" customWidth="1"/>
    <col min="2318" max="2318" width="17.5" style="136" customWidth="1"/>
    <col min="2319" max="2319" width="5.83203125" style="136" customWidth="1"/>
    <col min="2320" max="2320" width="5.75" style="136" customWidth="1"/>
    <col min="2321" max="2321" width="5.58203125" style="136" customWidth="1"/>
    <col min="2322" max="2560" width="9" style="136"/>
    <col min="2561" max="2561" width="0.58203125" style="136" customWidth="1"/>
    <col min="2562" max="2562" width="19.33203125" style="136" customWidth="1"/>
    <col min="2563" max="2563" width="18" style="136" customWidth="1"/>
    <col min="2564" max="2564" width="3" style="136" customWidth="1"/>
    <col min="2565" max="2565" width="20.08203125" style="136" customWidth="1"/>
    <col min="2566" max="2566" width="3.33203125" style="136" customWidth="1"/>
    <col min="2567" max="2567" width="19.25" style="136" customWidth="1"/>
    <col min="2568" max="2568" width="5.33203125" style="136" customWidth="1"/>
    <col min="2569" max="2569" width="6.5" style="136" customWidth="1"/>
    <col min="2570" max="2571" width="4.75" style="136" customWidth="1"/>
    <col min="2572" max="2572" width="8" style="136" customWidth="1"/>
    <col min="2573" max="2573" width="10.25" style="136" customWidth="1"/>
    <col min="2574" max="2574" width="17.5" style="136" customWidth="1"/>
    <col min="2575" max="2575" width="5.83203125" style="136" customWidth="1"/>
    <col min="2576" max="2576" width="5.75" style="136" customWidth="1"/>
    <col min="2577" max="2577" width="5.58203125" style="136" customWidth="1"/>
    <col min="2578" max="2816" width="9" style="136"/>
    <col min="2817" max="2817" width="0.58203125" style="136" customWidth="1"/>
    <col min="2818" max="2818" width="19.33203125" style="136" customWidth="1"/>
    <col min="2819" max="2819" width="18" style="136" customWidth="1"/>
    <col min="2820" max="2820" width="3" style="136" customWidth="1"/>
    <col min="2821" max="2821" width="20.08203125" style="136" customWidth="1"/>
    <col min="2822" max="2822" width="3.33203125" style="136" customWidth="1"/>
    <col min="2823" max="2823" width="19.25" style="136" customWidth="1"/>
    <col min="2824" max="2824" width="5.33203125" style="136" customWidth="1"/>
    <col min="2825" max="2825" width="6.5" style="136" customWidth="1"/>
    <col min="2826" max="2827" width="4.75" style="136" customWidth="1"/>
    <col min="2828" max="2828" width="8" style="136" customWidth="1"/>
    <col min="2829" max="2829" width="10.25" style="136" customWidth="1"/>
    <col min="2830" max="2830" width="17.5" style="136" customWidth="1"/>
    <col min="2831" max="2831" width="5.83203125" style="136" customWidth="1"/>
    <col min="2832" max="2832" width="5.75" style="136" customWidth="1"/>
    <col min="2833" max="2833" width="5.58203125" style="136" customWidth="1"/>
    <col min="2834" max="3072" width="9" style="136"/>
    <col min="3073" max="3073" width="0.58203125" style="136" customWidth="1"/>
    <col min="3074" max="3074" width="19.33203125" style="136" customWidth="1"/>
    <col min="3075" max="3075" width="18" style="136" customWidth="1"/>
    <col min="3076" max="3076" width="3" style="136" customWidth="1"/>
    <col min="3077" max="3077" width="20.08203125" style="136" customWidth="1"/>
    <col min="3078" max="3078" width="3.33203125" style="136" customWidth="1"/>
    <col min="3079" max="3079" width="19.25" style="136" customWidth="1"/>
    <col min="3080" max="3080" width="5.33203125" style="136" customWidth="1"/>
    <col min="3081" max="3081" width="6.5" style="136" customWidth="1"/>
    <col min="3082" max="3083" width="4.75" style="136" customWidth="1"/>
    <col min="3084" max="3084" width="8" style="136" customWidth="1"/>
    <col min="3085" max="3085" width="10.25" style="136" customWidth="1"/>
    <col min="3086" max="3086" width="17.5" style="136" customWidth="1"/>
    <col min="3087" max="3087" width="5.83203125" style="136" customWidth="1"/>
    <col min="3088" max="3088" width="5.75" style="136" customWidth="1"/>
    <col min="3089" max="3089" width="5.58203125" style="136" customWidth="1"/>
    <col min="3090" max="3328" width="9" style="136"/>
    <col min="3329" max="3329" width="0.58203125" style="136" customWidth="1"/>
    <col min="3330" max="3330" width="19.33203125" style="136" customWidth="1"/>
    <col min="3331" max="3331" width="18" style="136" customWidth="1"/>
    <col min="3332" max="3332" width="3" style="136" customWidth="1"/>
    <col min="3333" max="3333" width="20.08203125" style="136" customWidth="1"/>
    <col min="3334" max="3334" width="3.33203125" style="136" customWidth="1"/>
    <col min="3335" max="3335" width="19.25" style="136" customWidth="1"/>
    <col min="3336" max="3336" width="5.33203125" style="136" customWidth="1"/>
    <col min="3337" max="3337" width="6.5" style="136" customWidth="1"/>
    <col min="3338" max="3339" width="4.75" style="136" customWidth="1"/>
    <col min="3340" max="3340" width="8" style="136" customWidth="1"/>
    <col min="3341" max="3341" width="10.25" style="136" customWidth="1"/>
    <col min="3342" max="3342" width="17.5" style="136" customWidth="1"/>
    <col min="3343" max="3343" width="5.83203125" style="136" customWidth="1"/>
    <col min="3344" max="3344" width="5.75" style="136" customWidth="1"/>
    <col min="3345" max="3345" width="5.58203125" style="136" customWidth="1"/>
    <col min="3346" max="3584" width="9" style="136"/>
    <col min="3585" max="3585" width="0.58203125" style="136" customWidth="1"/>
    <col min="3586" max="3586" width="19.33203125" style="136" customWidth="1"/>
    <col min="3587" max="3587" width="18" style="136" customWidth="1"/>
    <col min="3588" max="3588" width="3" style="136" customWidth="1"/>
    <col min="3589" max="3589" width="20.08203125" style="136" customWidth="1"/>
    <col min="3590" max="3590" width="3.33203125" style="136" customWidth="1"/>
    <col min="3591" max="3591" width="19.25" style="136" customWidth="1"/>
    <col min="3592" max="3592" width="5.33203125" style="136" customWidth="1"/>
    <col min="3593" max="3593" width="6.5" style="136" customWidth="1"/>
    <col min="3594" max="3595" width="4.75" style="136" customWidth="1"/>
    <col min="3596" max="3596" width="8" style="136" customWidth="1"/>
    <col min="3597" max="3597" width="10.25" style="136" customWidth="1"/>
    <col min="3598" max="3598" width="17.5" style="136" customWidth="1"/>
    <col min="3599" max="3599" width="5.83203125" style="136" customWidth="1"/>
    <col min="3600" max="3600" width="5.75" style="136" customWidth="1"/>
    <col min="3601" max="3601" width="5.58203125" style="136" customWidth="1"/>
    <col min="3602" max="3840" width="9" style="136"/>
    <col min="3841" max="3841" width="0.58203125" style="136" customWidth="1"/>
    <col min="3842" max="3842" width="19.33203125" style="136" customWidth="1"/>
    <col min="3843" max="3843" width="18" style="136" customWidth="1"/>
    <col min="3844" max="3844" width="3" style="136" customWidth="1"/>
    <col min="3845" max="3845" width="20.08203125" style="136" customWidth="1"/>
    <col min="3846" max="3846" width="3.33203125" style="136" customWidth="1"/>
    <col min="3847" max="3847" width="19.25" style="136" customWidth="1"/>
    <col min="3848" max="3848" width="5.33203125" style="136" customWidth="1"/>
    <col min="3849" max="3849" width="6.5" style="136" customWidth="1"/>
    <col min="3850" max="3851" width="4.75" style="136" customWidth="1"/>
    <col min="3852" max="3852" width="8" style="136" customWidth="1"/>
    <col min="3853" max="3853" width="10.25" style="136" customWidth="1"/>
    <col min="3854" max="3854" width="17.5" style="136" customWidth="1"/>
    <col min="3855" max="3855" width="5.83203125" style="136" customWidth="1"/>
    <col min="3856" max="3856" width="5.75" style="136" customWidth="1"/>
    <col min="3857" max="3857" width="5.58203125" style="136" customWidth="1"/>
    <col min="3858" max="4096" width="9" style="136"/>
    <col min="4097" max="4097" width="0.58203125" style="136" customWidth="1"/>
    <col min="4098" max="4098" width="19.33203125" style="136" customWidth="1"/>
    <col min="4099" max="4099" width="18" style="136" customWidth="1"/>
    <col min="4100" max="4100" width="3" style="136" customWidth="1"/>
    <col min="4101" max="4101" width="20.08203125" style="136" customWidth="1"/>
    <col min="4102" max="4102" width="3.33203125" style="136" customWidth="1"/>
    <col min="4103" max="4103" width="19.25" style="136" customWidth="1"/>
    <col min="4104" max="4104" width="5.33203125" style="136" customWidth="1"/>
    <col min="4105" max="4105" width="6.5" style="136" customWidth="1"/>
    <col min="4106" max="4107" width="4.75" style="136" customWidth="1"/>
    <col min="4108" max="4108" width="8" style="136" customWidth="1"/>
    <col min="4109" max="4109" width="10.25" style="136" customWidth="1"/>
    <col min="4110" max="4110" width="17.5" style="136" customWidth="1"/>
    <col min="4111" max="4111" width="5.83203125" style="136" customWidth="1"/>
    <col min="4112" max="4112" width="5.75" style="136" customWidth="1"/>
    <col min="4113" max="4113" width="5.58203125" style="136" customWidth="1"/>
    <col min="4114" max="4352" width="9" style="136"/>
    <col min="4353" max="4353" width="0.58203125" style="136" customWidth="1"/>
    <col min="4354" max="4354" width="19.33203125" style="136" customWidth="1"/>
    <col min="4355" max="4355" width="18" style="136" customWidth="1"/>
    <col min="4356" max="4356" width="3" style="136" customWidth="1"/>
    <col min="4357" max="4357" width="20.08203125" style="136" customWidth="1"/>
    <col min="4358" max="4358" width="3.33203125" style="136" customWidth="1"/>
    <col min="4359" max="4359" width="19.25" style="136" customWidth="1"/>
    <col min="4360" max="4360" width="5.33203125" style="136" customWidth="1"/>
    <col min="4361" max="4361" width="6.5" style="136" customWidth="1"/>
    <col min="4362" max="4363" width="4.75" style="136" customWidth="1"/>
    <col min="4364" max="4364" width="8" style="136" customWidth="1"/>
    <col min="4365" max="4365" width="10.25" style="136" customWidth="1"/>
    <col min="4366" max="4366" width="17.5" style="136" customWidth="1"/>
    <col min="4367" max="4367" width="5.83203125" style="136" customWidth="1"/>
    <col min="4368" max="4368" width="5.75" style="136" customWidth="1"/>
    <col min="4369" max="4369" width="5.58203125" style="136" customWidth="1"/>
    <col min="4370" max="4608" width="9" style="136"/>
    <col min="4609" max="4609" width="0.58203125" style="136" customWidth="1"/>
    <col min="4610" max="4610" width="19.33203125" style="136" customWidth="1"/>
    <col min="4611" max="4611" width="18" style="136" customWidth="1"/>
    <col min="4612" max="4612" width="3" style="136" customWidth="1"/>
    <col min="4613" max="4613" width="20.08203125" style="136" customWidth="1"/>
    <col min="4614" max="4614" width="3.33203125" style="136" customWidth="1"/>
    <col min="4615" max="4615" width="19.25" style="136" customWidth="1"/>
    <col min="4616" max="4616" width="5.33203125" style="136" customWidth="1"/>
    <col min="4617" max="4617" width="6.5" style="136" customWidth="1"/>
    <col min="4618" max="4619" width="4.75" style="136" customWidth="1"/>
    <col min="4620" max="4620" width="8" style="136" customWidth="1"/>
    <col min="4621" max="4621" width="10.25" style="136" customWidth="1"/>
    <col min="4622" max="4622" width="17.5" style="136" customWidth="1"/>
    <col min="4623" max="4623" width="5.83203125" style="136" customWidth="1"/>
    <col min="4624" max="4624" width="5.75" style="136" customWidth="1"/>
    <col min="4625" max="4625" width="5.58203125" style="136" customWidth="1"/>
    <col min="4626" max="4864" width="9" style="136"/>
    <col min="4865" max="4865" width="0.58203125" style="136" customWidth="1"/>
    <col min="4866" max="4866" width="19.33203125" style="136" customWidth="1"/>
    <col min="4867" max="4867" width="18" style="136" customWidth="1"/>
    <col min="4868" max="4868" width="3" style="136" customWidth="1"/>
    <col min="4869" max="4869" width="20.08203125" style="136" customWidth="1"/>
    <col min="4870" max="4870" width="3.33203125" style="136" customWidth="1"/>
    <col min="4871" max="4871" width="19.25" style="136" customWidth="1"/>
    <col min="4872" max="4872" width="5.33203125" style="136" customWidth="1"/>
    <col min="4873" max="4873" width="6.5" style="136" customWidth="1"/>
    <col min="4874" max="4875" width="4.75" style="136" customWidth="1"/>
    <col min="4876" max="4876" width="8" style="136" customWidth="1"/>
    <col min="4877" max="4877" width="10.25" style="136" customWidth="1"/>
    <col min="4878" max="4878" width="17.5" style="136" customWidth="1"/>
    <col min="4879" max="4879" width="5.83203125" style="136" customWidth="1"/>
    <col min="4880" max="4880" width="5.75" style="136" customWidth="1"/>
    <col min="4881" max="4881" width="5.58203125" style="136" customWidth="1"/>
    <col min="4882" max="5120" width="9" style="136"/>
    <col min="5121" max="5121" width="0.58203125" style="136" customWidth="1"/>
    <col min="5122" max="5122" width="19.33203125" style="136" customWidth="1"/>
    <col min="5123" max="5123" width="18" style="136" customWidth="1"/>
    <col min="5124" max="5124" width="3" style="136" customWidth="1"/>
    <col min="5125" max="5125" width="20.08203125" style="136" customWidth="1"/>
    <col min="5126" max="5126" width="3.33203125" style="136" customWidth="1"/>
    <col min="5127" max="5127" width="19.25" style="136" customWidth="1"/>
    <col min="5128" max="5128" width="5.33203125" style="136" customWidth="1"/>
    <col min="5129" max="5129" width="6.5" style="136" customWidth="1"/>
    <col min="5130" max="5131" width="4.75" style="136" customWidth="1"/>
    <col min="5132" max="5132" width="8" style="136" customWidth="1"/>
    <col min="5133" max="5133" width="10.25" style="136" customWidth="1"/>
    <col min="5134" max="5134" width="17.5" style="136" customWidth="1"/>
    <col min="5135" max="5135" width="5.83203125" style="136" customWidth="1"/>
    <col min="5136" max="5136" width="5.75" style="136" customWidth="1"/>
    <col min="5137" max="5137" width="5.58203125" style="136" customWidth="1"/>
    <col min="5138" max="5376" width="9" style="136"/>
    <col min="5377" max="5377" width="0.58203125" style="136" customWidth="1"/>
    <col min="5378" max="5378" width="19.33203125" style="136" customWidth="1"/>
    <col min="5379" max="5379" width="18" style="136" customWidth="1"/>
    <col min="5380" max="5380" width="3" style="136" customWidth="1"/>
    <col min="5381" max="5381" width="20.08203125" style="136" customWidth="1"/>
    <col min="5382" max="5382" width="3.33203125" style="136" customWidth="1"/>
    <col min="5383" max="5383" width="19.25" style="136" customWidth="1"/>
    <col min="5384" max="5384" width="5.33203125" style="136" customWidth="1"/>
    <col min="5385" max="5385" width="6.5" style="136" customWidth="1"/>
    <col min="5386" max="5387" width="4.75" style="136" customWidth="1"/>
    <col min="5388" max="5388" width="8" style="136" customWidth="1"/>
    <col min="5389" max="5389" width="10.25" style="136" customWidth="1"/>
    <col min="5390" max="5390" width="17.5" style="136" customWidth="1"/>
    <col min="5391" max="5391" width="5.83203125" style="136" customWidth="1"/>
    <col min="5392" max="5392" width="5.75" style="136" customWidth="1"/>
    <col min="5393" max="5393" width="5.58203125" style="136" customWidth="1"/>
    <col min="5394" max="5632" width="9" style="136"/>
    <col min="5633" max="5633" width="0.58203125" style="136" customWidth="1"/>
    <col min="5634" max="5634" width="19.33203125" style="136" customWidth="1"/>
    <col min="5635" max="5635" width="18" style="136" customWidth="1"/>
    <col min="5636" max="5636" width="3" style="136" customWidth="1"/>
    <col min="5637" max="5637" width="20.08203125" style="136" customWidth="1"/>
    <col min="5638" max="5638" width="3.33203125" style="136" customWidth="1"/>
    <col min="5639" max="5639" width="19.25" style="136" customWidth="1"/>
    <col min="5640" max="5640" width="5.33203125" style="136" customWidth="1"/>
    <col min="5641" max="5641" width="6.5" style="136" customWidth="1"/>
    <col min="5642" max="5643" width="4.75" style="136" customWidth="1"/>
    <col min="5644" max="5644" width="8" style="136" customWidth="1"/>
    <col min="5645" max="5645" width="10.25" style="136" customWidth="1"/>
    <col min="5646" max="5646" width="17.5" style="136" customWidth="1"/>
    <col min="5647" max="5647" width="5.83203125" style="136" customWidth="1"/>
    <col min="5648" max="5648" width="5.75" style="136" customWidth="1"/>
    <col min="5649" max="5649" width="5.58203125" style="136" customWidth="1"/>
    <col min="5650" max="5888" width="9" style="136"/>
    <col min="5889" max="5889" width="0.58203125" style="136" customWidth="1"/>
    <col min="5890" max="5890" width="19.33203125" style="136" customWidth="1"/>
    <col min="5891" max="5891" width="18" style="136" customWidth="1"/>
    <col min="5892" max="5892" width="3" style="136" customWidth="1"/>
    <col min="5893" max="5893" width="20.08203125" style="136" customWidth="1"/>
    <col min="5894" max="5894" width="3.33203125" style="136" customWidth="1"/>
    <col min="5895" max="5895" width="19.25" style="136" customWidth="1"/>
    <col min="5896" max="5896" width="5.33203125" style="136" customWidth="1"/>
    <col min="5897" max="5897" width="6.5" style="136" customWidth="1"/>
    <col min="5898" max="5899" width="4.75" style="136" customWidth="1"/>
    <col min="5900" max="5900" width="8" style="136" customWidth="1"/>
    <col min="5901" max="5901" width="10.25" style="136" customWidth="1"/>
    <col min="5902" max="5902" width="17.5" style="136" customWidth="1"/>
    <col min="5903" max="5903" width="5.83203125" style="136" customWidth="1"/>
    <col min="5904" max="5904" width="5.75" style="136" customWidth="1"/>
    <col min="5905" max="5905" width="5.58203125" style="136" customWidth="1"/>
    <col min="5906" max="6144" width="9" style="136"/>
    <col min="6145" max="6145" width="0.58203125" style="136" customWidth="1"/>
    <col min="6146" max="6146" width="19.33203125" style="136" customWidth="1"/>
    <col min="6147" max="6147" width="18" style="136" customWidth="1"/>
    <col min="6148" max="6148" width="3" style="136" customWidth="1"/>
    <col min="6149" max="6149" width="20.08203125" style="136" customWidth="1"/>
    <col min="6150" max="6150" width="3.33203125" style="136" customWidth="1"/>
    <col min="6151" max="6151" width="19.25" style="136" customWidth="1"/>
    <col min="6152" max="6152" width="5.33203125" style="136" customWidth="1"/>
    <col min="6153" max="6153" width="6.5" style="136" customWidth="1"/>
    <col min="6154" max="6155" width="4.75" style="136" customWidth="1"/>
    <col min="6156" max="6156" width="8" style="136" customWidth="1"/>
    <col min="6157" max="6157" width="10.25" style="136" customWidth="1"/>
    <col min="6158" max="6158" width="17.5" style="136" customWidth="1"/>
    <col min="6159" max="6159" width="5.83203125" style="136" customWidth="1"/>
    <col min="6160" max="6160" width="5.75" style="136" customWidth="1"/>
    <col min="6161" max="6161" width="5.58203125" style="136" customWidth="1"/>
    <col min="6162" max="6400" width="9" style="136"/>
    <col min="6401" max="6401" width="0.58203125" style="136" customWidth="1"/>
    <col min="6402" max="6402" width="19.33203125" style="136" customWidth="1"/>
    <col min="6403" max="6403" width="18" style="136" customWidth="1"/>
    <col min="6404" max="6404" width="3" style="136" customWidth="1"/>
    <col min="6405" max="6405" width="20.08203125" style="136" customWidth="1"/>
    <col min="6406" max="6406" width="3.33203125" style="136" customWidth="1"/>
    <col min="6407" max="6407" width="19.25" style="136" customWidth="1"/>
    <col min="6408" max="6408" width="5.33203125" style="136" customWidth="1"/>
    <col min="6409" max="6409" width="6.5" style="136" customWidth="1"/>
    <col min="6410" max="6411" width="4.75" style="136" customWidth="1"/>
    <col min="6412" max="6412" width="8" style="136" customWidth="1"/>
    <col min="6413" max="6413" width="10.25" style="136" customWidth="1"/>
    <col min="6414" max="6414" width="17.5" style="136" customWidth="1"/>
    <col min="6415" max="6415" width="5.83203125" style="136" customWidth="1"/>
    <col min="6416" max="6416" width="5.75" style="136" customWidth="1"/>
    <col min="6417" max="6417" width="5.58203125" style="136" customWidth="1"/>
    <col min="6418" max="6656" width="9" style="136"/>
    <col min="6657" max="6657" width="0.58203125" style="136" customWidth="1"/>
    <col min="6658" max="6658" width="19.33203125" style="136" customWidth="1"/>
    <col min="6659" max="6659" width="18" style="136" customWidth="1"/>
    <col min="6660" max="6660" width="3" style="136" customWidth="1"/>
    <col min="6661" max="6661" width="20.08203125" style="136" customWidth="1"/>
    <col min="6662" max="6662" width="3.33203125" style="136" customWidth="1"/>
    <col min="6663" max="6663" width="19.25" style="136" customWidth="1"/>
    <col min="6664" max="6664" width="5.33203125" style="136" customWidth="1"/>
    <col min="6665" max="6665" width="6.5" style="136" customWidth="1"/>
    <col min="6666" max="6667" width="4.75" style="136" customWidth="1"/>
    <col min="6668" max="6668" width="8" style="136" customWidth="1"/>
    <col min="6669" max="6669" width="10.25" style="136" customWidth="1"/>
    <col min="6670" max="6670" width="17.5" style="136" customWidth="1"/>
    <col min="6671" max="6671" width="5.83203125" style="136" customWidth="1"/>
    <col min="6672" max="6672" width="5.75" style="136" customWidth="1"/>
    <col min="6673" max="6673" width="5.58203125" style="136" customWidth="1"/>
    <col min="6674" max="6912" width="9" style="136"/>
    <col min="6913" max="6913" width="0.58203125" style="136" customWidth="1"/>
    <col min="6914" max="6914" width="19.33203125" style="136" customWidth="1"/>
    <col min="6915" max="6915" width="18" style="136" customWidth="1"/>
    <col min="6916" max="6916" width="3" style="136" customWidth="1"/>
    <col min="6917" max="6917" width="20.08203125" style="136" customWidth="1"/>
    <col min="6918" max="6918" width="3.33203125" style="136" customWidth="1"/>
    <col min="6919" max="6919" width="19.25" style="136" customWidth="1"/>
    <col min="6920" max="6920" width="5.33203125" style="136" customWidth="1"/>
    <col min="6921" max="6921" width="6.5" style="136" customWidth="1"/>
    <col min="6922" max="6923" width="4.75" style="136" customWidth="1"/>
    <col min="6924" max="6924" width="8" style="136" customWidth="1"/>
    <col min="6925" max="6925" width="10.25" style="136" customWidth="1"/>
    <col min="6926" max="6926" width="17.5" style="136" customWidth="1"/>
    <col min="6927" max="6927" width="5.83203125" style="136" customWidth="1"/>
    <col min="6928" max="6928" width="5.75" style="136" customWidth="1"/>
    <col min="6929" max="6929" width="5.58203125" style="136" customWidth="1"/>
    <col min="6930" max="7168" width="9" style="136"/>
    <col min="7169" max="7169" width="0.58203125" style="136" customWidth="1"/>
    <col min="7170" max="7170" width="19.33203125" style="136" customWidth="1"/>
    <col min="7171" max="7171" width="18" style="136" customWidth="1"/>
    <col min="7172" max="7172" width="3" style="136" customWidth="1"/>
    <col min="7173" max="7173" width="20.08203125" style="136" customWidth="1"/>
    <col min="7174" max="7174" width="3.33203125" style="136" customWidth="1"/>
    <col min="7175" max="7175" width="19.25" style="136" customWidth="1"/>
    <col min="7176" max="7176" width="5.33203125" style="136" customWidth="1"/>
    <col min="7177" max="7177" width="6.5" style="136" customWidth="1"/>
    <col min="7178" max="7179" width="4.75" style="136" customWidth="1"/>
    <col min="7180" max="7180" width="8" style="136" customWidth="1"/>
    <col min="7181" max="7181" width="10.25" style="136" customWidth="1"/>
    <col min="7182" max="7182" width="17.5" style="136" customWidth="1"/>
    <col min="7183" max="7183" width="5.83203125" style="136" customWidth="1"/>
    <col min="7184" max="7184" width="5.75" style="136" customWidth="1"/>
    <col min="7185" max="7185" width="5.58203125" style="136" customWidth="1"/>
    <col min="7186" max="7424" width="9" style="136"/>
    <col min="7425" max="7425" width="0.58203125" style="136" customWidth="1"/>
    <col min="7426" max="7426" width="19.33203125" style="136" customWidth="1"/>
    <col min="7427" max="7427" width="18" style="136" customWidth="1"/>
    <col min="7428" max="7428" width="3" style="136" customWidth="1"/>
    <col min="7429" max="7429" width="20.08203125" style="136" customWidth="1"/>
    <col min="7430" max="7430" width="3.33203125" style="136" customWidth="1"/>
    <col min="7431" max="7431" width="19.25" style="136" customWidth="1"/>
    <col min="7432" max="7432" width="5.33203125" style="136" customWidth="1"/>
    <col min="7433" max="7433" width="6.5" style="136" customWidth="1"/>
    <col min="7434" max="7435" width="4.75" style="136" customWidth="1"/>
    <col min="7436" max="7436" width="8" style="136" customWidth="1"/>
    <col min="7437" max="7437" width="10.25" style="136" customWidth="1"/>
    <col min="7438" max="7438" width="17.5" style="136" customWidth="1"/>
    <col min="7439" max="7439" width="5.83203125" style="136" customWidth="1"/>
    <col min="7440" max="7440" width="5.75" style="136" customWidth="1"/>
    <col min="7441" max="7441" width="5.58203125" style="136" customWidth="1"/>
    <col min="7442" max="7680" width="9" style="136"/>
    <col min="7681" max="7681" width="0.58203125" style="136" customWidth="1"/>
    <col min="7682" max="7682" width="19.33203125" style="136" customWidth="1"/>
    <col min="7683" max="7683" width="18" style="136" customWidth="1"/>
    <col min="7684" max="7684" width="3" style="136" customWidth="1"/>
    <col min="7685" max="7685" width="20.08203125" style="136" customWidth="1"/>
    <col min="7686" max="7686" width="3.33203125" style="136" customWidth="1"/>
    <col min="7687" max="7687" width="19.25" style="136" customWidth="1"/>
    <col min="7688" max="7688" width="5.33203125" style="136" customWidth="1"/>
    <col min="7689" max="7689" width="6.5" style="136" customWidth="1"/>
    <col min="7690" max="7691" width="4.75" style="136" customWidth="1"/>
    <col min="7692" max="7692" width="8" style="136" customWidth="1"/>
    <col min="7693" max="7693" width="10.25" style="136" customWidth="1"/>
    <col min="7694" max="7694" width="17.5" style="136" customWidth="1"/>
    <col min="7695" max="7695" width="5.83203125" style="136" customWidth="1"/>
    <col min="7696" max="7696" width="5.75" style="136" customWidth="1"/>
    <col min="7697" max="7697" width="5.58203125" style="136" customWidth="1"/>
    <col min="7698" max="7936" width="9" style="136"/>
    <col min="7937" max="7937" width="0.58203125" style="136" customWidth="1"/>
    <col min="7938" max="7938" width="19.33203125" style="136" customWidth="1"/>
    <col min="7939" max="7939" width="18" style="136" customWidth="1"/>
    <col min="7940" max="7940" width="3" style="136" customWidth="1"/>
    <col min="7941" max="7941" width="20.08203125" style="136" customWidth="1"/>
    <col min="7942" max="7942" width="3.33203125" style="136" customWidth="1"/>
    <col min="7943" max="7943" width="19.25" style="136" customWidth="1"/>
    <col min="7944" max="7944" width="5.33203125" style="136" customWidth="1"/>
    <col min="7945" max="7945" width="6.5" style="136" customWidth="1"/>
    <col min="7946" max="7947" width="4.75" style="136" customWidth="1"/>
    <col min="7948" max="7948" width="8" style="136" customWidth="1"/>
    <col min="7949" max="7949" width="10.25" style="136" customWidth="1"/>
    <col min="7950" max="7950" width="17.5" style="136" customWidth="1"/>
    <col min="7951" max="7951" width="5.83203125" style="136" customWidth="1"/>
    <col min="7952" max="7952" width="5.75" style="136" customWidth="1"/>
    <col min="7953" max="7953" width="5.58203125" style="136" customWidth="1"/>
    <col min="7954" max="8192" width="9" style="136"/>
    <col min="8193" max="8193" width="0.58203125" style="136" customWidth="1"/>
    <col min="8194" max="8194" width="19.33203125" style="136" customWidth="1"/>
    <col min="8195" max="8195" width="18" style="136" customWidth="1"/>
    <col min="8196" max="8196" width="3" style="136" customWidth="1"/>
    <col min="8197" max="8197" width="20.08203125" style="136" customWidth="1"/>
    <col min="8198" max="8198" width="3.33203125" style="136" customWidth="1"/>
    <col min="8199" max="8199" width="19.25" style="136" customWidth="1"/>
    <col min="8200" max="8200" width="5.33203125" style="136" customWidth="1"/>
    <col min="8201" max="8201" width="6.5" style="136" customWidth="1"/>
    <col min="8202" max="8203" width="4.75" style="136" customWidth="1"/>
    <col min="8204" max="8204" width="8" style="136" customWidth="1"/>
    <col min="8205" max="8205" width="10.25" style="136" customWidth="1"/>
    <col min="8206" max="8206" width="17.5" style="136" customWidth="1"/>
    <col min="8207" max="8207" width="5.83203125" style="136" customWidth="1"/>
    <col min="8208" max="8208" width="5.75" style="136" customWidth="1"/>
    <col min="8209" max="8209" width="5.58203125" style="136" customWidth="1"/>
    <col min="8210" max="8448" width="9" style="136"/>
    <col min="8449" max="8449" width="0.58203125" style="136" customWidth="1"/>
    <col min="8450" max="8450" width="19.33203125" style="136" customWidth="1"/>
    <col min="8451" max="8451" width="18" style="136" customWidth="1"/>
    <col min="8452" max="8452" width="3" style="136" customWidth="1"/>
    <col min="8453" max="8453" width="20.08203125" style="136" customWidth="1"/>
    <col min="8454" max="8454" width="3.33203125" style="136" customWidth="1"/>
    <col min="8455" max="8455" width="19.25" style="136" customWidth="1"/>
    <col min="8456" max="8456" width="5.33203125" style="136" customWidth="1"/>
    <col min="8457" max="8457" width="6.5" style="136" customWidth="1"/>
    <col min="8458" max="8459" width="4.75" style="136" customWidth="1"/>
    <col min="8460" max="8460" width="8" style="136" customWidth="1"/>
    <col min="8461" max="8461" width="10.25" style="136" customWidth="1"/>
    <col min="8462" max="8462" width="17.5" style="136" customWidth="1"/>
    <col min="8463" max="8463" width="5.83203125" style="136" customWidth="1"/>
    <col min="8464" max="8464" width="5.75" style="136" customWidth="1"/>
    <col min="8465" max="8465" width="5.58203125" style="136" customWidth="1"/>
    <col min="8466" max="8704" width="9" style="136"/>
    <col min="8705" max="8705" width="0.58203125" style="136" customWidth="1"/>
    <col min="8706" max="8706" width="19.33203125" style="136" customWidth="1"/>
    <col min="8707" max="8707" width="18" style="136" customWidth="1"/>
    <col min="8708" max="8708" width="3" style="136" customWidth="1"/>
    <col min="8709" max="8709" width="20.08203125" style="136" customWidth="1"/>
    <col min="8710" max="8710" width="3.33203125" style="136" customWidth="1"/>
    <col min="8711" max="8711" width="19.25" style="136" customWidth="1"/>
    <col min="8712" max="8712" width="5.33203125" style="136" customWidth="1"/>
    <col min="8713" max="8713" width="6.5" style="136" customWidth="1"/>
    <col min="8714" max="8715" width="4.75" style="136" customWidth="1"/>
    <col min="8716" max="8716" width="8" style="136" customWidth="1"/>
    <col min="8717" max="8717" width="10.25" style="136" customWidth="1"/>
    <col min="8718" max="8718" width="17.5" style="136" customWidth="1"/>
    <col min="8719" max="8719" width="5.83203125" style="136" customWidth="1"/>
    <col min="8720" max="8720" width="5.75" style="136" customWidth="1"/>
    <col min="8721" max="8721" width="5.58203125" style="136" customWidth="1"/>
    <col min="8722" max="8960" width="9" style="136"/>
    <col min="8961" max="8961" width="0.58203125" style="136" customWidth="1"/>
    <col min="8962" max="8962" width="19.33203125" style="136" customWidth="1"/>
    <col min="8963" max="8963" width="18" style="136" customWidth="1"/>
    <col min="8964" max="8964" width="3" style="136" customWidth="1"/>
    <col min="8965" max="8965" width="20.08203125" style="136" customWidth="1"/>
    <col min="8966" max="8966" width="3.33203125" style="136" customWidth="1"/>
    <col min="8967" max="8967" width="19.25" style="136" customWidth="1"/>
    <col min="8968" max="8968" width="5.33203125" style="136" customWidth="1"/>
    <col min="8969" max="8969" width="6.5" style="136" customWidth="1"/>
    <col min="8970" max="8971" width="4.75" style="136" customWidth="1"/>
    <col min="8972" max="8972" width="8" style="136" customWidth="1"/>
    <col min="8973" max="8973" width="10.25" style="136" customWidth="1"/>
    <col min="8974" max="8974" width="17.5" style="136" customWidth="1"/>
    <col min="8975" max="8975" width="5.83203125" style="136" customWidth="1"/>
    <col min="8976" max="8976" width="5.75" style="136" customWidth="1"/>
    <col min="8977" max="8977" width="5.58203125" style="136" customWidth="1"/>
    <col min="8978" max="9216" width="9" style="136"/>
    <col min="9217" max="9217" width="0.58203125" style="136" customWidth="1"/>
    <col min="9218" max="9218" width="19.33203125" style="136" customWidth="1"/>
    <col min="9219" max="9219" width="18" style="136" customWidth="1"/>
    <col min="9220" max="9220" width="3" style="136" customWidth="1"/>
    <col min="9221" max="9221" width="20.08203125" style="136" customWidth="1"/>
    <col min="9222" max="9222" width="3.33203125" style="136" customWidth="1"/>
    <col min="9223" max="9223" width="19.25" style="136" customWidth="1"/>
    <col min="9224" max="9224" width="5.33203125" style="136" customWidth="1"/>
    <col min="9225" max="9225" width="6.5" style="136" customWidth="1"/>
    <col min="9226" max="9227" width="4.75" style="136" customWidth="1"/>
    <col min="9228" max="9228" width="8" style="136" customWidth="1"/>
    <col min="9229" max="9229" width="10.25" style="136" customWidth="1"/>
    <col min="9230" max="9230" width="17.5" style="136" customWidth="1"/>
    <col min="9231" max="9231" width="5.83203125" style="136" customWidth="1"/>
    <col min="9232" max="9232" width="5.75" style="136" customWidth="1"/>
    <col min="9233" max="9233" width="5.58203125" style="136" customWidth="1"/>
    <col min="9234" max="9472" width="9" style="136"/>
    <col min="9473" max="9473" width="0.58203125" style="136" customWidth="1"/>
    <col min="9474" max="9474" width="19.33203125" style="136" customWidth="1"/>
    <col min="9475" max="9475" width="18" style="136" customWidth="1"/>
    <col min="9476" max="9476" width="3" style="136" customWidth="1"/>
    <col min="9477" max="9477" width="20.08203125" style="136" customWidth="1"/>
    <col min="9478" max="9478" width="3.33203125" style="136" customWidth="1"/>
    <col min="9479" max="9479" width="19.25" style="136" customWidth="1"/>
    <col min="9480" max="9480" width="5.33203125" style="136" customWidth="1"/>
    <col min="9481" max="9481" width="6.5" style="136" customWidth="1"/>
    <col min="9482" max="9483" width="4.75" style="136" customWidth="1"/>
    <col min="9484" max="9484" width="8" style="136" customWidth="1"/>
    <col min="9485" max="9485" width="10.25" style="136" customWidth="1"/>
    <col min="9486" max="9486" width="17.5" style="136" customWidth="1"/>
    <col min="9487" max="9487" width="5.83203125" style="136" customWidth="1"/>
    <col min="9488" max="9488" width="5.75" style="136" customWidth="1"/>
    <col min="9489" max="9489" width="5.58203125" style="136" customWidth="1"/>
    <col min="9490" max="9728" width="9" style="136"/>
    <col min="9729" max="9729" width="0.58203125" style="136" customWidth="1"/>
    <col min="9730" max="9730" width="19.33203125" style="136" customWidth="1"/>
    <col min="9731" max="9731" width="18" style="136" customWidth="1"/>
    <col min="9732" max="9732" width="3" style="136" customWidth="1"/>
    <col min="9733" max="9733" width="20.08203125" style="136" customWidth="1"/>
    <col min="9734" max="9734" width="3.33203125" style="136" customWidth="1"/>
    <col min="9735" max="9735" width="19.25" style="136" customWidth="1"/>
    <col min="9736" max="9736" width="5.33203125" style="136" customWidth="1"/>
    <col min="9737" max="9737" width="6.5" style="136" customWidth="1"/>
    <col min="9738" max="9739" width="4.75" style="136" customWidth="1"/>
    <col min="9740" max="9740" width="8" style="136" customWidth="1"/>
    <col min="9741" max="9741" width="10.25" style="136" customWidth="1"/>
    <col min="9742" max="9742" width="17.5" style="136" customWidth="1"/>
    <col min="9743" max="9743" width="5.83203125" style="136" customWidth="1"/>
    <col min="9744" max="9744" width="5.75" style="136" customWidth="1"/>
    <col min="9745" max="9745" width="5.58203125" style="136" customWidth="1"/>
    <col min="9746" max="9984" width="9" style="136"/>
    <col min="9985" max="9985" width="0.58203125" style="136" customWidth="1"/>
    <col min="9986" max="9986" width="19.33203125" style="136" customWidth="1"/>
    <col min="9987" max="9987" width="18" style="136" customWidth="1"/>
    <col min="9988" max="9988" width="3" style="136" customWidth="1"/>
    <col min="9989" max="9989" width="20.08203125" style="136" customWidth="1"/>
    <col min="9990" max="9990" width="3.33203125" style="136" customWidth="1"/>
    <col min="9991" max="9991" width="19.25" style="136" customWidth="1"/>
    <col min="9992" max="9992" width="5.33203125" style="136" customWidth="1"/>
    <col min="9993" max="9993" width="6.5" style="136" customWidth="1"/>
    <col min="9994" max="9995" width="4.75" style="136" customWidth="1"/>
    <col min="9996" max="9996" width="8" style="136" customWidth="1"/>
    <col min="9997" max="9997" width="10.25" style="136" customWidth="1"/>
    <col min="9998" max="9998" width="17.5" style="136" customWidth="1"/>
    <col min="9999" max="9999" width="5.83203125" style="136" customWidth="1"/>
    <col min="10000" max="10000" width="5.75" style="136" customWidth="1"/>
    <col min="10001" max="10001" width="5.58203125" style="136" customWidth="1"/>
    <col min="10002" max="10240" width="9" style="136"/>
    <col min="10241" max="10241" width="0.58203125" style="136" customWidth="1"/>
    <col min="10242" max="10242" width="19.33203125" style="136" customWidth="1"/>
    <col min="10243" max="10243" width="18" style="136" customWidth="1"/>
    <col min="10244" max="10244" width="3" style="136" customWidth="1"/>
    <col min="10245" max="10245" width="20.08203125" style="136" customWidth="1"/>
    <col min="10246" max="10246" width="3.33203125" style="136" customWidth="1"/>
    <col min="10247" max="10247" width="19.25" style="136" customWidth="1"/>
    <col min="10248" max="10248" width="5.33203125" style="136" customWidth="1"/>
    <col min="10249" max="10249" width="6.5" style="136" customWidth="1"/>
    <col min="10250" max="10251" width="4.75" style="136" customWidth="1"/>
    <col min="10252" max="10252" width="8" style="136" customWidth="1"/>
    <col min="10253" max="10253" width="10.25" style="136" customWidth="1"/>
    <col min="10254" max="10254" width="17.5" style="136" customWidth="1"/>
    <col min="10255" max="10255" width="5.83203125" style="136" customWidth="1"/>
    <col min="10256" max="10256" width="5.75" style="136" customWidth="1"/>
    <col min="10257" max="10257" width="5.58203125" style="136" customWidth="1"/>
    <col min="10258" max="10496" width="9" style="136"/>
    <col min="10497" max="10497" width="0.58203125" style="136" customWidth="1"/>
    <col min="10498" max="10498" width="19.33203125" style="136" customWidth="1"/>
    <col min="10499" max="10499" width="18" style="136" customWidth="1"/>
    <col min="10500" max="10500" width="3" style="136" customWidth="1"/>
    <col min="10501" max="10501" width="20.08203125" style="136" customWidth="1"/>
    <col min="10502" max="10502" width="3.33203125" style="136" customWidth="1"/>
    <col min="10503" max="10503" width="19.25" style="136" customWidth="1"/>
    <col min="10504" max="10504" width="5.33203125" style="136" customWidth="1"/>
    <col min="10505" max="10505" width="6.5" style="136" customWidth="1"/>
    <col min="10506" max="10507" width="4.75" style="136" customWidth="1"/>
    <col min="10508" max="10508" width="8" style="136" customWidth="1"/>
    <col min="10509" max="10509" width="10.25" style="136" customWidth="1"/>
    <col min="10510" max="10510" width="17.5" style="136" customWidth="1"/>
    <col min="10511" max="10511" width="5.83203125" style="136" customWidth="1"/>
    <col min="10512" max="10512" width="5.75" style="136" customWidth="1"/>
    <col min="10513" max="10513" width="5.58203125" style="136" customWidth="1"/>
    <col min="10514" max="10752" width="9" style="136"/>
    <col min="10753" max="10753" width="0.58203125" style="136" customWidth="1"/>
    <col min="10754" max="10754" width="19.33203125" style="136" customWidth="1"/>
    <col min="10755" max="10755" width="18" style="136" customWidth="1"/>
    <col min="10756" max="10756" width="3" style="136" customWidth="1"/>
    <col min="10757" max="10757" width="20.08203125" style="136" customWidth="1"/>
    <col min="10758" max="10758" width="3.33203125" style="136" customWidth="1"/>
    <col min="10759" max="10759" width="19.25" style="136" customWidth="1"/>
    <col min="10760" max="10760" width="5.33203125" style="136" customWidth="1"/>
    <col min="10761" max="10761" width="6.5" style="136" customWidth="1"/>
    <col min="10762" max="10763" width="4.75" style="136" customWidth="1"/>
    <col min="10764" max="10764" width="8" style="136" customWidth="1"/>
    <col min="10765" max="10765" width="10.25" style="136" customWidth="1"/>
    <col min="10766" max="10766" width="17.5" style="136" customWidth="1"/>
    <col min="10767" max="10767" width="5.83203125" style="136" customWidth="1"/>
    <col min="10768" max="10768" width="5.75" style="136" customWidth="1"/>
    <col min="10769" max="10769" width="5.58203125" style="136" customWidth="1"/>
    <col min="10770" max="11008" width="9" style="136"/>
    <col min="11009" max="11009" width="0.58203125" style="136" customWidth="1"/>
    <col min="11010" max="11010" width="19.33203125" style="136" customWidth="1"/>
    <col min="11011" max="11011" width="18" style="136" customWidth="1"/>
    <col min="11012" max="11012" width="3" style="136" customWidth="1"/>
    <col min="11013" max="11013" width="20.08203125" style="136" customWidth="1"/>
    <col min="11014" max="11014" width="3.33203125" style="136" customWidth="1"/>
    <col min="11015" max="11015" width="19.25" style="136" customWidth="1"/>
    <col min="11016" max="11016" width="5.33203125" style="136" customWidth="1"/>
    <col min="11017" max="11017" width="6.5" style="136" customWidth="1"/>
    <col min="11018" max="11019" width="4.75" style="136" customWidth="1"/>
    <col min="11020" max="11020" width="8" style="136" customWidth="1"/>
    <col min="11021" max="11021" width="10.25" style="136" customWidth="1"/>
    <col min="11022" max="11022" width="17.5" style="136" customWidth="1"/>
    <col min="11023" max="11023" width="5.83203125" style="136" customWidth="1"/>
    <col min="11024" max="11024" width="5.75" style="136" customWidth="1"/>
    <col min="11025" max="11025" width="5.58203125" style="136" customWidth="1"/>
    <col min="11026" max="11264" width="9" style="136"/>
    <col min="11265" max="11265" width="0.58203125" style="136" customWidth="1"/>
    <col min="11266" max="11266" width="19.33203125" style="136" customWidth="1"/>
    <col min="11267" max="11267" width="18" style="136" customWidth="1"/>
    <col min="11268" max="11268" width="3" style="136" customWidth="1"/>
    <col min="11269" max="11269" width="20.08203125" style="136" customWidth="1"/>
    <col min="11270" max="11270" width="3.33203125" style="136" customWidth="1"/>
    <col min="11271" max="11271" width="19.25" style="136" customWidth="1"/>
    <col min="11272" max="11272" width="5.33203125" style="136" customWidth="1"/>
    <col min="11273" max="11273" width="6.5" style="136" customWidth="1"/>
    <col min="11274" max="11275" width="4.75" style="136" customWidth="1"/>
    <col min="11276" max="11276" width="8" style="136" customWidth="1"/>
    <col min="11277" max="11277" width="10.25" style="136" customWidth="1"/>
    <col min="11278" max="11278" width="17.5" style="136" customWidth="1"/>
    <col min="11279" max="11279" width="5.83203125" style="136" customWidth="1"/>
    <col min="11280" max="11280" width="5.75" style="136" customWidth="1"/>
    <col min="11281" max="11281" width="5.58203125" style="136" customWidth="1"/>
    <col min="11282" max="11520" width="9" style="136"/>
    <col min="11521" max="11521" width="0.58203125" style="136" customWidth="1"/>
    <col min="11522" max="11522" width="19.33203125" style="136" customWidth="1"/>
    <col min="11523" max="11523" width="18" style="136" customWidth="1"/>
    <col min="11524" max="11524" width="3" style="136" customWidth="1"/>
    <col min="11525" max="11525" width="20.08203125" style="136" customWidth="1"/>
    <col min="11526" max="11526" width="3.33203125" style="136" customWidth="1"/>
    <col min="11527" max="11527" width="19.25" style="136" customWidth="1"/>
    <col min="11528" max="11528" width="5.33203125" style="136" customWidth="1"/>
    <col min="11529" max="11529" width="6.5" style="136" customWidth="1"/>
    <col min="11530" max="11531" width="4.75" style="136" customWidth="1"/>
    <col min="11532" max="11532" width="8" style="136" customWidth="1"/>
    <col min="11533" max="11533" width="10.25" style="136" customWidth="1"/>
    <col min="11534" max="11534" width="17.5" style="136" customWidth="1"/>
    <col min="11535" max="11535" width="5.83203125" style="136" customWidth="1"/>
    <col min="11536" max="11536" width="5.75" style="136" customWidth="1"/>
    <col min="11537" max="11537" width="5.58203125" style="136" customWidth="1"/>
    <col min="11538" max="11776" width="9" style="136"/>
    <col min="11777" max="11777" width="0.58203125" style="136" customWidth="1"/>
    <col min="11778" max="11778" width="19.33203125" style="136" customWidth="1"/>
    <col min="11779" max="11779" width="18" style="136" customWidth="1"/>
    <col min="11780" max="11780" width="3" style="136" customWidth="1"/>
    <col min="11781" max="11781" width="20.08203125" style="136" customWidth="1"/>
    <col min="11782" max="11782" width="3.33203125" style="136" customWidth="1"/>
    <col min="11783" max="11783" width="19.25" style="136" customWidth="1"/>
    <col min="11784" max="11784" width="5.33203125" style="136" customWidth="1"/>
    <col min="11785" max="11785" width="6.5" style="136" customWidth="1"/>
    <col min="11786" max="11787" width="4.75" style="136" customWidth="1"/>
    <col min="11788" max="11788" width="8" style="136" customWidth="1"/>
    <col min="11789" max="11789" width="10.25" style="136" customWidth="1"/>
    <col min="11790" max="11790" width="17.5" style="136" customWidth="1"/>
    <col min="11791" max="11791" width="5.83203125" style="136" customWidth="1"/>
    <col min="11792" max="11792" width="5.75" style="136" customWidth="1"/>
    <col min="11793" max="11793" width="5.58203125" style="136" customWidth="1"/>
    <col min="11794" max="12032" width="9" style="136"/>
    <col min="12033" max="12033" width="0.58203125" style="136" customWidth="1"/>
    <col min="12034" max="12034" width="19.33203125" style="136" customWidth="1"/>
    <col min="12035" max="12035" width="18" style="136" customWidth="1"/>
    <col min="12036" max="12036" width="3" style="136" customWidth="1"/>
    <col min="12037" max="12037" width="20.08203125" style="136" customWidth="1"/>
    <col min="12038" max="12038" width="3.33203125" style="136" customWidth="1"/>
    <col min="12039" max="12039" width="19.25" style="136" customWidth="1"/>
    <col min="12040" max="12040" width="5.33203125" style="136" customWidth="1"/>
    <col min="12041" max="12041" width="6.5" style="136" customWidth="1"/>
    <col min="12042" max="12043" width="4.75" style="136" customWidth="1"/>
    <col min="12044" max="12044" width="8" style="136" customWidth="1"/>
    <col min="12045" max="12045" width="10.25" style="136" customWidth="1"/>
    <col min="12046" max="12046" width="17.5" style="136" customWidth="1"/>
    <col min="12047" max="12047" width="5.83203125" style="136" customWidth="1"/>
    <col min="12048" max="12048" width="5.75" style="136" customWidth="1"/>
    <col min="12049" max="12049" width="5.58203125" style="136" customWidth="1"/>
    <col min="12050" max="12288" width="9" style="136"/>
    <col min="12289" max="12289" width="0.58203125" style="136" customWidth="1"/>
    <col min="12290" max="12290" width="19.33203125" style="136" customWidth="1"/>
    <col min="12291" max="12291" width="18" style="136" customWidth="1"/>
    <col min="12292" max="12292" width="3" style="136" customWidth="1"/>
    <col min="12293" max="12293" width="20.08203125" style="136" customWidth="1"/>
    <col min="12294" max="12294" width="3.33203125" style="136" customWidth="1"/>
    <col min="12295" max="12295" width="19.25" style="136" customWidth="1"/>
    <col min="12296" max="12296" width="5.33203125" style="136" customWidth="1"/>
    <col min="12297" max="12297" width="6.5" style="136" customWidth="1"/>
    <col min="12298" max="12299" width="4.75" style="136" customWidth="1"/>
    <col min="12300" max="12300" width="8" style="136" customWidth="1"/>
    <col min="12301" max="12301" width="10.25" style="136" customWidth="1"/>
    <col min="12302" max="12302" width="17.5" style="136" customWidth="1"/>
    <col min="12303" max="12303" width="5.83203125" style="136" customWidth="1"/>
    <col min="12304" max="12304" width="5.75" style="136" customWidth="1"/>
    <col min="12305" max="12305" width="5.58203125" style="136" customWidth="1"/>
    <col min="12306" max="12544" width="9" style="136"/>
    <col min="12545" max="12545" width="0.58203125" style="136" customWidth="1"/>
    <col min="12546" max="12546" width="19.33203125" style="136" customWidth="1"/>
    <col min="12547" max="12547" width="18" style="136" customWidth="1"/>
    <col min="12548" max="12548" width="3" style="136" customWidth="1"/>
    <col min="12549" max="12549" width="20.08203125" style="136" customWidth="1"/>
    <col min="12550" max="12550" width="3.33203125" style="136" customWidth="1"/>
    <col min="12551" max="12551" width="19.25" style="136" customWidth="1"/>
    <col min="12552" max="12552" width="5.33203125" style="136" customWidth="1"/>
    <col min="12553" max="12553" width="6.5" style="136" customWidth="1"/>
    <col min="12554" max="12555" width="4.75" style="136" customWidth="1"/>
    <col min="12556" max="12556" width="8" style="136" customWidth="1"/>
    <col min="12557" max="12557" width="10.25" style="136" customWidth="1"/>
    <col min="12558" max="12558" width="17.5" style="136" customWidth="1"/>
    <col min="12559" max="12559" width="5.83203125" style="136" customWidth="1"/>
    <col min="12560" max="12560" width="5.75" style="136" customWidth="1"/>
    <col min="12561" max="12561" width="5.58203125" style="136" customWidth="1"/>
    <col min="12562" max="12800" width="9" style="136"/>
    <col min="12801" max="12801" width="0.58203125" style="136" customWidth="1"/>
    <col min="12802" max="12802" width="19.33203125" style="136" customWidth="1"/>
    <col min="12803" max="12803" width="18" style="136" customWidth="1"/>
    <col min="12804" max="12804" width="3" style="136" customWidth="1"/>
    <col min="12805" max="12805" width="20.08203125" style="136" customWidth="1"/>
    <col min="12806" max="12806" width="3.33203125" style="136" customWidth="1"/>
    <col min="12807" max="12807" width="19.25" style="136" customWidth="1"/>
    <col min="12808" max="12808" width="5.33203125" style="136" customWidth="1"/>
    <col min="12809" max="12809" width="6.5" style="136" customWidth="1"/>
    <col min="12810" max="12811" width="4.75" style="136" customWidth="1"/>
    <col min="12812" max="12812" width="8" style="136" customWidth="1"/>
    <col min="12813" max="12813" width="10.25" style="136" customWidth="1"/>
    <col min="12814" max="12814" width="17.5" style="136" customWidth="1"/>
    <col min="12815" max="12815" width="5.83203125" style="136" customWidth="1"/>
    <col min="12816" max="12816" width="5.75" style="136" customWidth="1"/>
    <col min="12817" max="12817" width="5.58203125" style="136" customWidth="1"/>
    <col min="12818" max="13056" width="9" style="136"/>
    <col min="13057" max="13057" width="0.58203125" style="136" customWidth="1"/>
    <col min="13058" max="13058" width="19.33203125" style="136" customWidth="1"/>
    <col min="13059" max="13059" width="18" style="136" customWidth="1"/>
    <col min="13060" max="13060" width="3" style="136" customWidth="1"/>
    <col min="13061" max="13061" width="20.08203125" style="136" customWidth="1"/>
    <col min="13062" max="13062" width="3.33203125" style="136" customWidth="1"/>
    <col min="13063" max="13063" width="19.25" style="136" customWidth="1"/>
    <col min="13064" max="13064" width="5.33203125" style="136" customWidth="1"/>
    <col min="13065" max="13065" width="6.5" style="136" customWidth="1"/>
    <col min="13066" max="13067" width="4.75" style="136" customWidth="1"/>
    <col min="13068" max="13068" width="8" style="136" customWidth="1"/>
    <col min="13069" max="13069" width="10.25" style="136" customWidth="1"/>
    <col min="13070" max="13070" width="17.5" style="136" customWidth="1"/>
    <col min="13071" max="13071" width="5.83203125" style="136" customWidth="1"/>
    <col min="13072" max="13072" width="5.75" style="136" customWidth="1"/>
    <col min="13073" max="13073" width="5.58203125" style="136" customWidth="1"/>
    <col min="13074" max="13312" width="9" style="136"/>
    <col min="13313" max="13313" width="0.58203125" style="136" customWidth="1"/>
    <col min="13314" max="13314" width="19.33203125" style="136" customWidth="1"/>
    <col min="13315" max="13315" width="18" style="136" customWidth="1"/>
    <col min="13316" max="13316" width="3" style="136" customWidth="1"/>
    <col min="13317" max="13317" width="20.08203125" style="136" customWidth="1"/>
    <col min="13318" max="13318" width="3.33203125" style="136" customWidth="1"/>
    <col min="13319" max="13319" width="19.25" style="136" customWidth="1"/>
    <col min="13320" max="13320" width="5.33203125" style="136" customWidth="1"/>
    <col min="13321" max="13321" width="6.5" style="136" customWidth="1"/>
    <col min="13322" max="13323" width="4.75" style="136" customWidth="1"/>
    <col min="13324" max="13324" width="8" style="136" customWidth="1"/>
    <col min="13325" max="13325" width="10.25" style="136" customWidth="1"/>
    <col min="13326" max="13326" width="17.5" style="136" customWidth="1"/>
    <col min="13327" max="13327" width="5.83203125" style="136" customWidth="1"/>
    <col min="13328" max="13328" width="5.75" style="136" customWidth="1"/>
    <col min="13329" max="13329" width="5.58203125" style="136" customWidth="1"/>
    <col min="13330" max="13568" width="9" style="136"/>
    <col min="13569" max="13569" width="0.58203125" style="136" customWidth="1"/>
    <col min="13570" max="13570" width="19.33203125" style="136" customWidth="1"/>
    <col min="13571" max="13571" width="18" style="136" customWidth="1"/>
    <col min="13572" max="13572" width="3" style="136" customWidth="1"/>
    <col min="13573" max="13573" width="20.08203125" style="136" customWidth="1"/>
    <col min="13574" max="13574" width="3.33203125" style="136" customWidth="1"/>
    <col min="13575" max="13575" width="19.25" style="136" customWidth="1"/>
    <col min="13576" max="13576" width="5.33203125" style="136" customWidth="1"/>
    <col min="13577" max="13577" width="6.5" style="136" customWidth="1"/>
    <col min="13578" max="13579" width="4.75" style="136" customWidth="1"/>
    <col min="13580" max="13580" width="8" style="136" customWidth="1"/>
    <col min="13581" max="13581" width="10.25" style="136" customWidth="1"/>
    <col min="13582" max="13582" width="17.5" style="136" customWidth="1"/>
    <col min="13583" max="13583" width="5.83203125" style="136" customWidth="1"/>
    <col min="13584" max="13584" width="5.75" style="136" customWidth="1"/>
    <col min="13585" max="13585" width="5.58203125" style="136" customWidth="1"/>
    <col min="13586" max="13824" width="9" style="136"/>
    <col min="13825" max="13825" width="0.58203125" style="136" customWidth="1"/>
    <col min="13826" max="13826" width="19.33203125" style="136" customWidth="1"/>
    <col min="13827" max="13827" width="18" style="136" customWidth="1"/>
    <col min="13828" max="13828" width="3" style="136" customWidth="1"/>
    <col min="13829" max="13829" width="20.08203125" style="136" customWidth="1"/>
    <col min="13830" max="13830" width="3.33203125" style="136" customWidth="1"/>
    <col min="13831" max="13831" width="19.25" style="136" customWidth="1"/>
    <col min="13832" max="13832" width="5.33203125" style="136" customWidth="1"/>
    <col min="13833" max="13833" width="6.5" style="136" customWidth="1"/>
    <col min="13834" max="13835" width="4.75" style="136" customWidth="1"/>
    <col min="13836" max="13836" width="8" style="136" customWidth="1"/>
    <col min="13837" max="13837" width="10.25" style="136" customWidth="1"/>
    <col min="13838" max="13838" width="17.5" style="136" customWidth="1"/>
    <col min="13839" max="13839" width="5.83203125" style="136" customWidth="1"/>
    <col min="13840" max="13840" width="5.75" style="136" customWidth="1"/>
    <col min="13841" max="13841" width="5.58203125" style="136" customWidth="1"/>
    <col min="13842" max="14080" width="9" style="136"/>
    <col min="14081" max="14081" width="0.58203125" style="136" customWidth="1"/>
    <col min="14082" max="14082" width="19.33203125" style="136" customWidth="1"/>
    <col min="14083" max="14083" width="18" style="136" customWidth="1"/>
    <col min="14084" max="14084" width="3" style="136" customWidth="1"/>
    <col min="14085" max="14085" width="20.08203125" style="136" customWidth="1"/>
    <col min="14086" max="14086" width="3.33203125" style="136" customWidth="1"/>
    <col min="14087" max="14087" width="19.25" style="136" customWidth="1"/>
    <col min="14088" max="14088" width="5.33203125" style="136" customWidth="1"/>
    <col min="14089" max="14089" width="6.5" style="136" customWidth="1"/>
    <col min="14090" max="14091" width="4.75" style="136" customWidth="1"/>
    <col min="14092" max="14092" width="8" style="136" customWidth="1"/>
    <col min="14093" max="14093" width="10.25" style="136" customWidth="1"/>
    <col min="14094" max="14094" width="17.5" style="136" customWidth="1"/>
    <col min="14095" max="14095" width="5.83203125" style="136" customWidth="1"/>
    <col min="14096" max="14096" width="5.75" style="136" customWidth="1"/>
    <col min="14097" max="14097" width="5.58203125" style="136" customWidth="1"/>
    <col min="14098" max="14336" width="9" style="136"/>
    <col min="14337" max="14337" width="0.58203125" style="136" customWidth="1"/>
    <col min="14338" max="14338" width="19.33203125" style="136" customWidth="1"/>
    <col min="14339" max="14339" width="18" style="136" customWidth="1"/>
    <col min="14340" max="14340" width="3" style="136" customWidth="1"/>
    <col min="14341" max="14341" width="20.08203125" style="136" customWidth="1"/>
    <col min="14342" max="14342" width="3.33203125" style="136" customWidth="1"/>
    <col min="14343" max="14343" width="19.25" style="136" customWidth="1"/>
    <col min="14344" max="14344" width="5.33203125" style="136" customWidth="1"/>
    <col min="14345" max="14345" width="6.5" style="136" customWidth="1"/>
    <col min="14346" max="14347" width="4.75" style="136" customWidth="1"/>
    <col min="14348" max="14348" width="8" style="136" customWidth="1"/>
    <col min="14349" max="14349" width="10.25" style="136" customWidth="1"/>
    <col min="14350" max="14350" width="17.5" style="136" customWidth="1"/>
    <col min="14351" max="14351" width="5.83203125" style="136" customWidth="1"/>
    <col min="14352" max="14352" width="5.75" style="136" customWidth="1"/>
    <col min="14353" max="14353" width="5.58203125" style="136" customWidth="1"/>
    <col min="14354" max="14592" width="9" style="136"/>
    <col min="14593" max="14593" width="0.58203125" style="136" customWidth="1"/>
    <col min="14594" max="14594" width="19.33203125" style="136" customWidth="1"/>
    <col min="14595" max="14595" width="18" style="136" customWidth="1"/>
    <col min="14596" max="14596" width="3" style="136" customWidth="1"/>
    <col min="14597" max="14597" width="20.08203125" style="136" customWidth="1"/>
    <col min="14598" max="14598" width="3.33203125" style="136" customWidth="1"/>
    <col min="14599" max="14599" width="19.25" style="136" customWidth="1"/>
    <col min="14600" max="14600" width="5.33203125" style="136" customWidth="1"/>
    <col min="14601" max="14601" width="6.5" style="136" customWidth="1"/>
    <col min="14602" max="14603" width="4.75" style="136" customWidth="1"/>
    <col min="14604" max="14604" width="8" style="136" customWidth="1"/>
    <col min="14605" max="14605" width="10.25" style="136" customWidth="1"/>
    <col min="14606" max="14606" width="17.5" style="136" customWidth="1"/>
    <col min="14607" max="14607" width="5.83203125" style="136" customWidth="1"/>
    <col min="14608" max="14608" width="5.75" style="136" customWidth="1"/>
    <col min="14609" max="14609" width="5.58203125" style="136" customWidth="1"/>
    <col min="14610" max="14848" width="9" style="136"/>
    <col min="14849" max="14849" width="0.58203125" style="136" customWidth="1"/>
    <col min="14850" max="14850" width="19.33203125" style="136" customWidth="1"/>
    <col min="14851" max="14851" width="18" style="136" customWidth="1"/>
    <col min="14852" max="14852" width="3" style="136" customWidth="1"/>
    <col min="14853" max="14853" width="20.08203125" style="136" customWidth="1"/>
    <col min="14854" max="14854" width="3.33203125" style="136" customWidth="1"/>
    <col min="14855" max="14855" width="19.25" style="136" customWidth="1"/>
    <col min="14856" max="14856" width="5.33203125" style="136" customWidth="1"/>
    <col min="14857" max="14857" width="6.5" style="136" customWidth="1"/>
    <col min="14858" max="14859" width="4.75" style="136" customWidth="1"/>
    <col min="14860" max="14860" width="8" style="136" customWidth="1"/>
    <col min="14861" max="14861" width="10.25" style="136" customWidth="1"/>
    <col min="14862" max="14862" width="17.5" style="136" customWidth="1"/>
    <col min="14863" max="14863" width="5.83203125" style="136" customWidth="1"/>
    <col min="14864" max="14864" width="5.75" style="136" customWidth="1"/>
    <col min="14865" max="14865" width="5.58203125" style="136" customWidth="1"/>
    <col min="14866" max="15104" width="9" style="136"/>
    <col min="15105" max="15105" width="0.58203125" style="136" customWidth="1"/>
    <col min="15106" max="15106" width="19.33203125" style="136" customWidth="1"/>
    <col min="15107" max="15107" width="18" style="136" customWidth="1"/>
    <col min="15108" max="15108" width="3" style="136" customWidth="1"/>
    <col min="15109" max="15109" width="20.08203125" style="136" customWidth="1"/>
    <col min="15110" max="15110" width="3.33203125" style="136" customWidth="1"/>
    <col min="15111" max="15111" width="19.25" style="136" customWidth="1"/>
    <col min="15112" max="15112" width="5.33203125" style="136" customWidth="1"/>
    <col min="15113" max="15113" width="6.5" style="136" customWidth="1"/>
    <col min="15114" max="15115" width="4.75" style="136" customWidth="1"/>
    <col min="15116" max="15116" width="8" style="136" customWidth="1"/>
    <col min="15117" max="15117" width="10.25" style="136" customWidth="1"/>
    <col min="15118" max="15118" width="17.5" style="136" customWidth="1"/>
    <col min="15119" max="15119" width="5.83203125" style="136" customWidth="1"/>
    <col min="15120" max="15120" width="5.75" style="136" customWidth="1"/>
    <col min="15121" max="15121" width="5.58203125" style="136" customWidth="1"/>
    <col min="15122" max="15360" width="9" style="136"/>
    <col min="15361" max="15361" width="0.58203125" style="136" customWidth="1"/>
    <col min="15362" max="15362" width="19.33203125" style="136" customWidth="1"/>
    <col min="15363" max="15363" width="18" style="136" customWidth="1"/>
    <col min="15364" max="15364" width="3" style="136" customWidth="1"/>
    <col min="15365" max="15365" width="20.08203125" style="136" customWidth="1"/>
    <col min="15366" max="15366" width="3.33203125" style="136" customWidth="1"/>
    <col min="15367" max="15367" width="19.25" style="136" customWidth="1"/>
    <col min="15368" max="15368" width="5.33203125" style="136" customWidth="1"/>
    <col min="15369" max="15369" width="6.5" style="136" customWidth="1"/>
    <col min="15370" max="15371" width="4.75" style="136" customWidth="1"/>
    <col min="15372" max="15372" width="8" style="136" customWidth="1"/>
    <col min="15373" max="15373" width="10.25" style="136" customWidth="1"/>
    <col min="15374" max="15374" width="17.5" style="136" customWidth="1"/>
    <col min="15375" max="15375" width="5.83203125" style="136" customWidth="1"/>
    <col min="15376" max="15376" width="5.75" style="136" customWidth="1"/>
    <col min="15377" max="15377" width="5.58203125" style="136" customWidth="1"/>
    <col min="15378" max="15616" width="9" style="136"/>
    <col min="15617" max="15617" width="0.58203125" style="136" customWidth="1"/>
    <col min="15618" max="15618" width="19.33203125" style="136" customWidth="1"/>
    <col min="15619" max="15619" width="18" style="136" customWidth="1"/>
    <col min="15620" max="15620" width="3" style="136" customWidth="1"/>
    <col min="15621" max="15621" width="20.08203125" style="136" customWidth="1"/>
    <col min="15622" max="15622" width="3.33203125" style="136" customWidth="1"/>
    <col min="15623" max="15623" width="19.25" style="136" customWidth="1"/>
    <col min="15624" max="15624" width="5.33203125" style="136" customWidth="1"/>
    <col min="15625" max="15625" width="6.5" style="136" customWidth="1"/>
    <col min="15626" max="15627" width="4.75" style="136" customWidth="1"/>
    <col min="15628" max="15628" width="8" style="136" customWidth="1"/>
    <col min="15629" max="15629" width="10.25" style="136" customWidth="1"/>
    <col min="15630" max="15630" width="17.5" style="136" customWidth="1"/>
    <col min="15631" max="15631" width="5.83203125" style="136" customWidth="1"/>
    <col min="15632" max="15632" width="5.75" style="136" customWidth="1"/>
    <col min="15633" max="15633" width="5.58203125" style="136" customWidth="1"/>
    <col min="15634" max="15872" width="9" style="136"/>
    <col min="15873" max="15873" width="0.58203125" style="136" customWidth="1"/>
    <col min="15874" max="15874" width="19.33203125" style="136" customWidth="1"/>
    <col min="15875" max="15875" width="18" style="136" customWidth="1"/>
    <col min="15876" max="15876" width="3" style="136" customWidth="1"/>
    <col min="15877" max="15877" width="20.08203125" style="136" customWidth="1"/>
    <col min="15878" max="15878" width="3.33203125" style="136" customWidth="1"/>
    <col min="15879" max="15879" width="19.25" style="136" customWidth="1"/>
    <col min="15880" max="15880" width="5.33203125" style="136" customWidth="1"/>
    <col min="15881" max="15881" width="6.5" style="136" customWidth="1"/>
    <col min="15882" max="15883" width="4.75" style="136" customWidth="1"/>
    <col min="15884" max="15884" width="8" style="136" customWidth="1"/>
    <col min="15885" max="15885" width="10.25" style="136" customWidth="1"/>
    <col min="15886" max="15886" width="17.5" style="136" customWidth="1"/>
    <col min="15887" max="15887" width="5.83203125" style="136" customWidth="1"/>
    <col min="15888" max="15888" width="5.75" style="136" customWidth="1"/>
    <col min="15889" max="15889" width="5.58203125" style="136" customWidth="1"/>
    <col min="15890" max="16128" width="9" style="136"/>
    <col min="16129" max="16129" width="0.58203125" style="136" customWidth="1"/>
    <col min="16130" max="16130" width="19.33203125" style="136" customWidth="1"/>
    <col min="16131" max="16131" width="18" style="136" customWidth="1"/>
    <col min="16132" max="16132" width="3" style="136" customWidth="1"/>
    <col min="16133" max="16133" width="20.08203125" style="136" customWidth="1"/>
    <col min="16134" max="16134" width="3.33203125" style="136" customWidth="1"/>
    <col min="16135" max="16135" width="19.25" style="136" customWidth="1"/>
    <col min="16136" max="16136" width="5.33203125" style="136" customWidth="1"/>
    <col min="16137" max="16137" width="6.5" style="136" customWidth="1"/>
    <col min="16138" max="16139" width="4.75" style="136" customWidth="1"/>
    <col min="16140" max="16140" width="8" style="136" customWidth="1"/>
    <col min="16141" max="16141" width="10.25" style="136" customWidth="1"/>
    <col min="16142" max="16142" width="17.5" style="136" customWidth="1"/>
    <col min="16143" max="16143" width="5.83203125" style="136" customWidth="1"/>
    <col min="16144" max="16144" width="5.75" style="136" customWidth="1"/>
    <col min="16145" max="16145" width="5.58203125" style="136" customWidth="1"/>
    <col min="16146" max="16384" width="9" style="136"/>
  </cols>
  <sheetData>
    <row r="1" spans="1:17" ht="15" customHeight="1">
      <c r="A1" s="36" t="s">
        <v>849</v>
      </c>
      <c r="B1" s="36"/>
      <c r="C1" s="36" t="s">
        <v>271</v>
      </c>
      <c r="D1" s="36"/>
      <c r="E1" s="36"/>
      <c r="F1" s="36"/>
      <c r="G1" s="36"/>
      <c r="H1" s="36" t="e">
        <f>①基本情報!Q5</f>
        <v>#N/A</v>
      </c>
      <c r="I1" s="36"/>
      <c r="J1" s="36"/>
      <c r="K1" s="36"/>
      <c r="L1" s="36"/>
      <c r="M1" s="36"/>
      <c r="N1" s="36"/>
      <c r="O1" s="36"/>
      <c r="P1" s="36"/>
      <c r="Q1" s="36"/>
    </row>
    <row r="2" spans="1:17" ht="23.15" customHeight="1">
      <c r="A2" s="36"/>
      <c r="B2" s="36"/>
      <c r="C2" s="36"/>
      <c r="D2" s="36"/>
      <c r="E2" s="36"/>
      <c r="F2" s="36"/>
      <c r="G2" s="244">
        <v>46112</v>
      </c>
      <c r="H2" s="36"/>
      <c r="I2" s="36"/>
      <c r="J2" s="36"/>
      <c r="K2" s="36"/>
      <c r="L2" s="36"/>
      <c r="M2" s="36"/>
      <c r="O2" s="36"/>
      <c r="P2" s="36"/>
      <c r="Q2" s="36"/>
    </row>
    <row r="3" spans="1:17" ht="6" customHeight="1">
      <c r="A3" s="36"/>
      <c r="B3" s="36"/>
      <c r="C3" s="36"/>
      <c r="D3" s="36"/>
      <c r="E3" s="36"/>
      <c r="F3" s="36"/>
      <c r="G3" s="36"/>
      <c r="H3" s="36"/>
      <c r="I3" s="36"/>
      <c r="J3" s="36"/>
      <c r="K3" s="36"/>
      <c r="L3" s="36"/>
      <c r="M3" s="36"/>
      <c r="N3" s="36"/>
      <c r="O3" s="36"/>
      <c r="P3" s="36"/>
      <c r="Q3" s="36"/>
    </row>
    <row r="4" spans="1:17" ht="23.15" customHeight="1">
      <c r="A4" s="36"/>
      <c r="B4" s="36"/>
      <c r="C4" s="1009" t="s">
        <v>850</v>
      </c>
      <c r="D4" s="1009"/>
      <c r="E4" s="1009"/>
      <c r="F4" s="36"/>
      <c r="G4" s="36"/>
      <c r="H4" s="36"/>
      <c r="I4" s="36"/>
      <c r="J4" s="36"/>
      <c r="K4" s="36"/>
      <c r="L4" s="36"/>
      <c r="M4" s="36"/>
      <c r="N4" s="36"/>
      <c r="O4" s="36"/>
      <c r="P4" s="36"/>
      <c r="Q4" s="36"/>
    </row>
    <row r="5" spans="1:17" ht="23.15" customHeight="1">
      <c r="A5" s="36"/>
      <c r="B5" s="36"/>
      <c r="C5" s="1009" t="s">
        <v>851</v>
      </c>
      <c r="D5" s="1009"/>
      <c r="E5" s="1009"/>
      <c r="F5" s="36"/>
      <c r="G5" s="36"/>
      <c r="H5" s="36"/>
      <c r="I5" s="36"/>
      <c r="J5" s="36"/>
      <c r="K5" s="36"/>
      <c r="L5" s="36"/>
      <c r="M5" s="36"/>
      <c r="N5" s="36"/>
      <c r="O5" s="36"/>
      <c r="P5" s="36"/>
      <c r="Q5" s="36"/>
    </row>
    <row r="6" spans="1:17" ht="5.25" customHeight="1">
      <c r="A6" s="36"/>
      <c r="B6" s="36"/>
      <c r="C6" s="36"/>
      <c r="D6" s="36"/>
      <c r="E6" s="36"/>
      <c r="F6" s="36"/>
      <c r="G6" s="36"/>
      <c r="H6" s="36"/>
      <c r="I6" s="36"/>
      <c r="J6" s="36"/>
      <c r="K6" s="36"/>
      <c r="L6" s="36"/>
      <c r="M6" s="36"/>
      <c r="N6" s="36"/>
      <c r="O6" s="36"/>
      <c r="P6" s="36"/>
      <c r="Q6" s="36"/>
    </row>
    <row r="7" spans="1:17" ht="20.25" customHeight="1">
      <c r="A7" s="36"/>
      <c r="B7" s="35" t="s">
        <v>1226</v>
      </c>
      <c r="C7" s="55"/>
      <c r="D7" s="55"/>
      <c r="E7" s="36"/>
      <c r="F7" s="926" t="e">
        <f>VLOOKUP(①基本情報!$Q$5,補助金用基本データ!$B$5:$K$64,13,0)</f>
        <v>#N/A</v>
      </c>
      <c r="G7" s="926"/>
      <c r="H7" s="926"/>
      <c r="I7" s="36"/>
      <c r="J7" s="36"/>
      <c r="K7" s="36"/>
      <c r="L7" s="36"/>
      <c r="M7" s="36"/>
      <c r="N7" s="36"/>
      <c r="O7" s="36"/>
      <c r="P7" s="36"/>
      <c r="Q7" s="36"/>
    </row>
    <row r="8" spans="1:17" ht="12.75" customHeight="1">
      <c r="A8" s="36"/>
      <c r="B8" s="36"/>
      <c r="C8" s="36"/>
      <c r="D8" s="36"/>
      <c r="E8" s="36"/>
      <c r="F8" s="927"/>
      <c r="G8" s="927"/>
      <c r="H8" s="927"/>
      <c r="I8" s="36"/>
      <c r="J8" s="36"/>
      <c r="K8" s="36"/>
      <c r="L8" s="36"/>
      <c r="M8" s="36"/>
      <c r="N8" s="36"/>
      <c r="O8" s="36"/>
      <c r="P8" s="36"/>
      <c r="Q8" s="36"/>
    </row>
    <row r="9" spans="1:17" ht="29.25" customHeight="1">
      <c r="A9" s="36"/>
      <c r="B9" s="36"/>
      <c r="C9" s="36"/>
      <c r="D9" s="36"/>
      <c r="E9" s="35" t="s">
        <v>852</v>
      </c>
      <c r="F9" s="927"/>
      <c r="G9" s="927"/>
      <c r="H9" s="927"/>
      <c r="I9" s="36"/>
      <c r="J9" s="36"/>
      <c r="K9" s="36"/>
      <c r="L9" s="36"/>
      <c r="Q9" s="36"/>
    </row>
    <row r="10" spans="1:17" ht="18" customHeight="1">
      <c r="A10" s="36"/>
      <c r="B10" s="36"/>
      <c r="C10" s="36"/>
      <c r="D10" s="36"/>
      <c r="E10" s="35" t="s">
        <v>853</v>
      </c>
      <c r="F10" s="1010" t="e">
        <f>VLOOKUP(①基本情報!$Q$5,補助金用基本データ!$B$5:$K$64,12,0)</f>
        <v>#N/A</v>
      </c>
      <c r="G10" s="1010"/>
      <c r="H10" s="1010"/>
      <c r="I10" s="36"/>
      <c r="J10" s="36"/>
      <c r="K10" s="36"/>
      <c r="L10" s="36"/>
      <c r="Q10" s="36"/>
    </row>
    <row r="11" spans="1:17" ht="18" customHeight="1">
      <c r="A11" s="36"/>
      <c r="B11" s="36"/>
      <c r="C11" s="36"/>
      <c r="D11" s="36"/>
      <c r="E11" s="35" t="s">
        <v>854</v>
      </c>
      <c r="F11" s="1010" t="e">
        <f>VLOOKUP(①基本情報!$Q$5,補助金用基本データ!$B$5:$K$64,14,0)&amp;"　"&amp;VLOOKUP(①基本情報!$Q$5,補助金用基本データ!$B$5:$K$64,15,0)</f>
        <v>#N/A</v>
      </c>
      <c r="G11" s="1010"/>
      <c r="H11" s="1010"/>
      <c r="I11" s="1008"/>
      <c r="J11" s="1008"/>
      <c r="K11" s="1008"/>
      <c r="L11" s="1008"/>
      <c r="Q11" s="36"/>
    </row>
    <row r="12" spans="1:17" ht="18" customHeight="1">
      <c r="A12" s="36"/>
      <c r="B12" s="36"/>
      <c r="C12" s="36"/>
      <c r="D12" s="36"/>
      <c r="E12" s="331" t="s">
        <v>855</v>
      </c>
      <c r="F12" s="1003" t="e">
        <f>VLOOKUP(①基本情報!$Q$5,補助金用基本データ!$B$5:$K$64,2,0)</f>
        <v>#N/A</v>
      </c>
      <c r="G12" s="1003"/>
      <c r="H12" s="1003"/>
      <c r="J12" s="36" t="s">
        <v>856</v>
      </c>
      <c r="K12" s="36"/>
      <c r="L12" s="36" t="s">
        <v>613</v>
      </c>
      <c r="Q12" s="36"/>
    </row>
    <row r="13" spans="1:17" ht="18" customHeight="1">
      <c r="A13" s="36"/>
      <c r="B13" s="36"/>
      <c r="C13" s="36"/>
      <c r="D13" s="36"/>
      <c r="E13" s="331" t="s">
        <v>1222</v>
      </c>
      <c r="F13" s="1003">
        <f>①基本情報!M4</f>
        <v>0</v>
      </c>
      <c r="G13" s="1003"/>
      <c r="H13" s="544"/>
      <c r="J13" s="36"/>
      <c r="K13" s="36"/>
      <c r="L13" s="36"/>
      <c r="Q13" s="36"/>
    </row>
    <row r="14" spans="1:17" ht="4.5" customHeight="1">
      <c r="A14" s="36"/>
      <c r="B14" s="36"/>
      <c r="C14" s="36"/>
      <c r="D14" s="36"/>
      <c r="E14" s="36"/>
      <c r="F14" s="36"/>
      <c r="G14" s="36"/>
      <c r="H14" s="36"/>
      <c r="I14" s="36"/>
      <c r="J14" s="36"/>
      <c r="K14" s="36"/>
      <c r="L14" s="36"/>
      <c r="M14" s="36"/>
      <c r="N14" s="36"/>
      <c r="O14" s="36"/>
      <c r="P14" s="36"/>
      <c r="Q14" s="36"/>
    </row>
    <row r="15" spans="1:17" ht="18" customHeight="1">
      <c r="B15" s="1004" t="e">
        <f>CONCATENATE("　　",I15,"付け千葉市指令こ幼運第",I16,"により交付決定のあった千葉市施設型給付対象施設保育士等配置基準改善事業補助金について、次のとおり補助金の交付決定額を変更されたく、千葉市施設型給付対象施設運営事業補助金交付要綱第９条第１項の規定に基づき申請します。")</f>
        <v>#N/A</v>
      </c>
      <c r="C15" s="1004"/>
      <c r="D15" s="1004"/>
      <c r="E15" s="1004"/>
      <c r="F15" s="1004"/>
      <c r="G15" s="1004"/>
      <c r="H15" s="1004"/>
      <c r="I15" s="36" t="e">
        <f>VLOOKUP(①基本情報!Q5,個別データ!$C$5:$HY$64,37,0)</f>
        <v>#N/A</v>
      </c>
      <c r="J15" s="36"/>
      <c r="K15" s="36"/>
      <c r="L15" s="36"/>
      <c r="M15" s="36"/>
      <c r="N15" s="36"/>
      <c r="O15" s="36"/>
      <c r="P15" s="36"/>
      <c r="Q15" s="36"/>
    </row>
    <row r="16" spans="1:17" ht="18" customHeight="1">
      <c r="B16" s="1004"/>
      <c r="C16" s="1004"/>
      <c r="D16" s="1004"/>
      <c r="E16" s="1004"/>
      <c r="F16" s="1004"/>
      <c r="G16" s="1004"/>
      <c r="H16" s="1004"/>
      <c r="I16" s="36" t="e">
        <f>VLOOKUP(①基本情報!Q5,個別データ!$C$5:$HY$64,40,0)</f>
        <v>#N/A</v>
      </c>
      <c r="J16" s="36"/>
      <c r="K16" s="36"/>
      <c r="L16" s="36"/>
      <c r="M16" s="36"/>
      <c r="N16" s="36"/>
      <c r="O16" s="36"/>
      <c r="P16" s="36"/>
      <c r="Q16" s="36"/>
    </row>
    <row r="17" spans="1:17" ht="7.5" customHeight="1">
      <c r="A17" s="36"/>
      <c r="B17" s="1004"/>
      <c r="C17" s="1004"/>
      <c r="D17" s="1004"/>
      <c r="E17" s="1004"/>
      <c r="F17" s="1004"/>
      <c r="G17" s="1004"/>
      <c r="H17" s="1004"/>
      <c r="I17" s="36"/>
      <c r="J17" s="36"/>
      <c r="K17" s="36"/>
      <c r="L17" s="36"/>
      <c r="M17" s="36"/>
      <c r="N17" s="36"/>
      <c r="O17" s="36"/>
      <c r="P17" s="36"/>
      <c r="Q17" s="36"/>
    </row>
    <row r="18" spans="1:17" ht="7.5" customHeight="1">
      <c r="A18" s="36"/>
      <c r="B18" s="36"/>
      <c r="C18" s="36"/>
      <c r="D18" s="36"/>
      <c r="E18" s="36"/>
      <c r="F18" s="36"/>
      <c r="G18" s="36"/>
      <c r="H18" s="36"/>
      <c r="I18" s="36"/>
      <c r="J18" s="36"/>
      <c r="K18" s="36"/>
      <c r="L18" s="36"/>
      <c r="M18" s="36"/>
      <c r="N18" s="36"/>
      <c r="O18" s="36"/>
      <c r="P18" s="36"/>
      <c r="Q18" s="36"/>
    </row>
    <row r="19" spans="1:17" ht="27.75" customHeight="1">
      <c r="A19" s="36" t="s">
        <v>857</v>
      </c>
      <c r="B19" s="36"/>
      <c r="C19" s="36"/>
      <c r="D19" s="36"/>
      <c r="E19" s="161" t="e">
        <f>C39</f>
        <v>#N/A</v>
      </c>
      <c r="F19" s="36"/>
      <c r="G19" s="146" t="s">
        <v>272</v>
      </c>
      <c r="H19" s="146"/>
      <c r="I19" s="36"/>
      <c r="J19" s="908"/>
      <c r="K19" s="908"/>
      <c r="L19" s="908"/>
      <c r="M19" s="908"/>
      <c r="O19" s="36"/>
      <c r="P19" s="36"/>
      <c r="Q19" s="36"/>
    </row>
    <row r="20" spans="1:17" ht="15" customHeight="1" thickBot="1">
      <c r="A20" s="36"/>
      <c r="B20" s="36"/>
      <c r="C20" s="36"/>
      <c r="D20" s="36"/>
      <c r="E20" s="36"/>
      <c r="F20" s="36"/>
      <c r="G20" s="36"/>
      <c r="H20" s="36"/>
      <c r="I20" s="36"/>
      <c r="J20" s="36"/>
      <c r="K20" s="36"/>
      <c r="L20" s="36"/>
      <c r="M20" s="36"/>
      <c r="N20" s="36"/>
      <c r="O20" s="36"/>
      <c r="P20" s="36"/>
      <c r="Q20" s="36"/>
    </row>
    <row r="21" spans="1:17" ht="23.25" customHeight="1">
      <c r="A21" s="36"/>
      <c r="B21" s="245" t="s">
        <v>273</v>
      </c>
      <c r="C21" s="989" t="s">
        <v>858</v>
      </c>
      <c r="D21" s="1005"/>
      <c r="E21" s="989" t="s">
        <v>859</v>
      </c>
      <c r="F21" s="1005"/>
      <c r="G21" s="1006" t="s">
        <v>860</v>
      </c>
      <c r="H21" s="1007"/>
      <c r="I21" s="36"/>
      <c r="J21" s="36"/>
      <c r="K21" s="36"/>
      <c r="L21" s="36"/>
      <c r="M21" s="36"/>
      <c r="N21" s="36"/>
      <c r="O21" s="36"/>
      <c r="P21" s="36"/>
      <c r="Q21" s="36"/>
    </row>
    <row r="22" spans="1:17" ht="23.25" customHeight="1">
      <c r="A22" s="36"/>
      <c r="B22" s="997" t="s">
        <v>861</v>
      </c>
      <c r="C22" s="246"/>
      <c r="D22" s="247"/>
      <c r="E22" s="307" t="e">
        <f>VLOOKUP(①基本情報!Q5,個別データ!$C$5:$HN$64,個別データ!AM1,0)</f>
        <v>#N/A</v>
      </c>
      <c r="F22" s="248"/>
      <c r="G22" s="249"/>
      <c r="H22" s="250"/>
      <c r="I22" s="36"/>
      <c r="J22" s="36"/>
      <c r="K22" s="36"/>
      <c r="L22" s="36"/>
      <c r="M22" s="36"/>
      <c r="N22" s="36"/>
      <c r="O22" s="36"/>
      <c r="P22" s="36"/>
      <c r="Q22" s="36"/>
    </row>
    <row r="23" spans="1:17" ht="23.25" customHeight="1">
      <c r="A23" s="36"/>
      <c r="B23" s="1001"/>
      <c r="C23" s="251" t="e">
        <f>⑤基本加算１!J30</f>
        <v>#N/A</v>
      </c>
      <c r="D23" s="252" t="s">
        <v>274</v>
      </c>
      <c r="E23" s="308" t="e">
        <f>VLOOKUP(①基本情報!Q5,個別データ!$C$5:$HY$64,13,0)</f>
        <v>#N/A</v>
      </c>
      <c r="F23" s="252" t="s">
        <v>274</v>
      </c>
      <c r="G23" s="253" t="e">
        <f>C23-E23</f>
        <v>#N/A</v>
      </c>
      <c r="H23" s="254" t="s">
        <v>274</v>
      </c>
      <c r="I23" s="36"/>
      <c r="J23" s="36"/>
      <c r="K23" s="36"/>
      <c r="L23" s="36"/>
      <c r="M23" s="36"/>
      <c r="N23" s="36"/>
      <c r="O23" s="36"/>
      <c r="P23" s="36"/>
      <c r="Q23" s="36"/>
    </row>
    <row r="24" spans="1:17" ht="23.25" customHeight="1">
      <c r="A24" s="36"/>
      <c r="B24" s="997" t="s">
        <v>862</v>
      </c>
      <c r="C24" s="255"/>
      <c r="D24" s="247"/>
      <c r="E24" s="307" t="e">
        <f>E22</f>
        <v>#N/A</v>
      </c>
      <c r="F24" s="248"/>
      <c r="G24" s="246"/>
      <c r="H24" s="256"/>
      <c r="I24" s="36"/>
      <c r="J24" s="36"/>
      <c r="K24" s="36"/>
      <c r="L24" s="36"/>
      <c r="M24" s="36"/>
      <c r="N24" s="36"/>
      <c r="O24" s="36"/>
      <c r="P24" s="36"/>
      <c r="Q24" s="36"/>
    </row>
    <row r="25" spans="1:17" ht="23.25" customHeight="1">
      <c r="A25" s="36"/>
      <c r="B25" s="1001"/>
      <c r="C25" s="251">
        <f>⑥基本加算２!$J$30</f>
        <v>0</v>
      </c>
      <c r="D25" s="252" t="s">
        <v>274</v>
      </c>
      <c r="E25" s="308" t="e">
        <f>VLOOKUP(①基本情報!Q5,個別データ!$C$5:$HY$64,14,0)</f>
        <v>#N/A</v>
      </c>
      <c r="F25" s="252" t="s">
        <v>274</v>
      </c>
      <c r="G25" s="253" t="e">
        <f>C25-E25</f>
        <v>#N/A</v>
      </c>
      <c r="H25" s="254" t="s">
        <v>274</v>
      </c>
      <c r="I25" s="36"/>
      <c r="J25" s="36"/>
      <c r="K25" s="36"/>
      <c r="L25" s="36"/>
      <c r="M25" s="36"/>
      <c r="N25" s="36"/>
      <c r="O25" s="36"/>
      <c r="P25" s="36"/>
      <c r="Q25" s="36"/>
    </row>
    <row r="26" spans="1:17" ht="23.25" customHeight="1">
      <c r="A26" s="36"/>
      <c r="B26" s="997" t="s">
        <v>863</v>
      </c>
      <c r="C26" s="255"/>
      <c r="D26" s="247"/>
      <c r="E26" s="307" t="e">
        <f>E24</f>
        <v>#N/A</v>
      </c>
      <c r="F26" s="248"/>
      <c r="G26" s="246"/>
      <c r="H26" s="256"/>
      <c r="I26" s="36"/>
      <c r="J26" s="36"/>
      <c r="K26" s="36"/>
      <c r="L26" s="36"/>
      <c r="M26" s="36"/>
      <c r="N26" s="36"/>
      <c r="O26" s="36"/>
      <c r="P26" s="36"/>
      <c r="Q26" s="36"/>
    </row>
    <row r="27" spans="1:17" ht="23.25" customHeight="1">
      <c r="A27" s="36"/>
      <c r="B27" s="1001"/>
      <c r="C27" s="251">
        <f>⑦基本加算３!J30</f>
        <v>0</v>
      </c>
      <c r="D27" s="252" t="s">
        <v>274</v>
      </c>
      <c r="E27" s="308" t="e">
        <f>VLOOKUP(①基本情報!Q5,個別データ!$C$5:$HY$64,15,0)</f>
        <v>#N/A</v>
      </c>
      <c r="F27" s="252" t="s">
        <v>274</v>
      </c>
      <c r="G27" s="253" t="e">
        <f>C27-E27</f>
        <v>#N/A</v>
      </c>
      <c r="H27" s="254" t="s">
        <v>274</v>
      </c>
      <c r="I27" s="36"/>
      <c r="J27" s="36"/>
      <c r="K27" s="36"/>
      <c r="L27" s="36"/>
      <c r="M27" s="36"/>
      <c r="N27" s="36"/>
      <c r="O27" s="36"/>
      <c r="P27" s="36"/>
      <c r="Q27" s="36"/>
    </row>
    <row r="28" spans="1:17" ht="23.25" customHeight="1">
      <c r="A28" s="36"/>
      <c r="B28" s="997" t="s">
        <v>864</v>
      </c>
      <c r="C28" s="255"/>
      <c r="D28" s="247"/>
      <c r="E28" s="307" t="e">
        <f>E26</f>
        <v>#N/A</v>
      </c>
      <c r="F28" s="248"/>
      <c r="G28" s="246"/>
      <c r="H28" s="256"/>
      <c r="I28" s="36"/>
      <c r="J28" s="36"/>
      <c r="K28" s="36"/>
      <c r="L28" s="36"/>
      <c r="M28" s="36"/>
      <c r="N28" s="36"/>
      <c r="O28" s="36"/>
      <c r="P28" s="36"/>
      <c r="Q28" s="36"/>
    </row>
    <row r="29" spans="1:17" ht="23.25" customHeight="1">
      <c r="A29" s="36"/>
      <c r="B29" s="1002"/>
      <c r="C29" s="251">
        <f>⑧一般加算１!N78</f>
        <v>0</v>
      </c>
      <c r="D29" s="252" t="s">
        <v>274</v>
      </c>
      <c r="E29" s="308" t="e">
        <f>VLOOKUP(①基本情報!Q5,個別データ!$C$5:$HY$64,16,0)</f>
        <v>#N/A</v>
      </c>
      <c r="F29" s="252" t="s">
        <v>274</v>
      </c>
      <c r="G29" s="253" t="e">
        <f>C29-E29</f>
        <v>#N/A</v>
      </c>
      <c r="H29" s="254" t="s">
        <v>274</v>
      </c>
      <c r="I29" s="36"/>
      <c r="J29" s="36"/>
      <c r="K29" s="36"/>
      <c r="L29" s="36"/>
      <c r="M29" s="36"/>
      <c r="N29" s="36"/>
      <c r="O29" s="36"/>
      <c r="P29" s="36"/>
      <c r="Q29" s="36"/>
    </row>
    <row r="30" spans="1:17" ht="23.25" customHeight="1">
      <c r="A30" s="36"/>
      <c r="B30" s="997" t="s">
        <v>865</v>
      </c>
      <c r="C30" s="255"/>
      <c r="D30" s="247"/>
      <c r="E30" s="307" t="e">
        <f>E28</f>
        <v>#N/A</v>
      </c>
      <c r="F30" s="248"/>
      <c r="G30" s="246"/>
      <c r="H30" s="256"/>
      <c r="I30" s="36"/>
      <c r="J30" s="36"/>
      <c r="K30" s="36"/>
      <c r="L30" s="36"/>
      <c r="M30" s="36"/>
      <c r="N30" s="36"/>
      <c r="O30" s="36"/>
      <c r="P30" s="36"/>
      <c r="Q30" s="36"/>
    </row>
    <row r="31" spans="1:17" ht="23.25" customHeight="1">
      <c r="A31" s="36"/>
      <c r="B31" s="1002"/>
      <c r="C31" s="251">
        <f>⑨一般加算２!N78</f>
        <v>0</v>
      </c>
      <c r="D31" s="252" t="s">
        <v>274</v>
      </c>
      <c r="E31" s="308" t="e">
        <f>VLOOKUP(①基本情報!Q5,個別データ!$C$5:$HY$64,17,0)</f>
        <v>#N/A</v>
      </c>
      <c r="F31" s="252" t="s">
        <v>274</v>
      </c>
      <c r="G31" s="253" t="e">
        <f>C31-E31</f>
        <v>#N/A</v>
      </c>
      <c r="H31" s="254" t="s">
        <v>274</v>
      </c>
      <c r="I31" s="36"/>
      <c r="J31" s="36"/>
      <c r="K31" s="36"/>
      <c r="L31" s="36"/>
      <c r="M31" s="36"/>
      <c r="N31" s="36"/>
      <c r="O31" s="36"/>
      <c r="P31" s="36"/>
      <c r="Q31" s="36"/>
    </row>
    <row r="32" spans="1:17" ht="23.25" customHeight="1">
      <c r="A32" s="36"/>
      <c r="B32" s="997" t="s">
        <v>866</v>
      </c>
      <c r="C32" s="255"/>
      <c r="D32" s="247"/>
      <c r="E32" s="307" t="e">
        <f>E30</f>
        <v>#N/A</v>
      </c>
      <c r="F32" s="248"/>
      <c r="G32" s="246"/>
      <c r="H32" s="256"/>
      <c r="I32" s="36"/>
      <c r="J32" s="36"/>
      <c r="K32" s="36"/>
      <c r="L32" s="36"/>
      <c r="M32" s="36"/>
      <c r="N32" s="36"/>
      <c r="O32" s="36"/>
      <c r="P32" s="36"/>
      <c r="Q32" s="36"/>
    </row>
    <row r="33" spans="1:17" ht="23.25" customHeight="1">
      <c r="A33" s="36"/>
      <c r="B33" s="998"/>
      <c r="C33" s="251">
        <f>⑩特定加算１!J138</f>
        <v>0</v>
      </c>
      <c r="D33" s="252" t="s">
        <v>274</v>
      </c>
      <c r="E33" s="308" t="e">
        <f>VLOOKUP(①基本情報!Q5,個別データ!$C$5:$HY$64,18,0)</f>
        <v>#N/A</v>
      </c>
      <c r="F33" s="252" t="s">
        <v>274</v>
      </c>
      <c r="G33" s="253" t="e">
        <f>C33-E33</f>
        <v>#N/A</v>
      </c>
      <c r="H33" s="254" t="s">
        <v>274</v>
      </c>
      <c r="I33" s="36"/>
      <c r="J33" s="36"/>
      <c r="K33" s="36"/>
      <c r="L33" s="36"/>
      <c r="M33" s="36"/>
      <c r="N33" s="36"/>
      <c r="O33" s="36"/>
      <c r="P33" s="36"/>
      <c r="Q33" s="36"/>
    </row>
    <row r="34" spans="1:17" ht="23.25" customHeight="1">
      <c r="A34" s="36"/>
      <c r="B34" s="997" t="s">
        <v>867</v>
      </c>
      <c r="C34" s="255"/>
      <c r="D34" s="247"/>
      <c r="E34" s="307" t="e">
        <f>E32</f>
        <v>#N/A</v>
      </c>
      <c r="F34" s="248"/>
      <c r="G34" s="246"/>
      <c r="H34" s="256"/>
      <c r="I34" s="36"/>
      <c r="J34" s="36"/>
      <c r="K34" s="36"/>
      <c r="L34" s="36"/>
      <c r="M34" s="36"/>
      <c r="N34" s="36"/>
      <c r="O34" s="36"/>
      <c r="P34" s="36"/>
      <c r="Q34" s="36"/>
    </row>
    <row r="35" spans="1:17" ht="23.25" customHeight="1">
      <c r="A35" s="36"/>
      <c r="B35" s="998"/>
      <c r="C35" s="251">
        <f>⑪特定加算２!J66</f>
        <v>0</v>
      </c>
      <c r="D35" s="252" t="s">
        <v>274</v>
      </c>
      <c r="E35" s="308" t="e">
        <f>VLOOKUP(①基本情報!Q5,個別データ!$C$5:$HY$64,19,0)</f>
        <v>#N/A</v>
      </c>
      <c r="F35" s="252" t="s">
        <v>274</v>
      </c>
      <c r="G35" s="253" t="e">
        <f>C35-E35</f>
        <v>#N/A</v>
      </c>
      <c r="H35" s="254" t="s">
        <v>274</v>
      </c>
      <c r="I35" s="36"/>
      <c r="J35" s="36"/>
      <c r="K35" s="36"/>
      <c r="L35" s="36"/>
      <c r="M35" s="36"/>
      <c r="N35" s="36"/>
      <c r="O35" s="36"/>
      <c r="P35" s="36"/>
      <c r="Q35" s="36"/>
    </row>
    <row r="36" spans="1:17" ht="23.25" customHeight="1">
      <c r="A36" s="36"/>
      <c r="B36" s="997" t="s">
        <v>1223</v>
      </c>
      <c r="C36" s="255"/>
      <c r="D36" s="247"/>
      <c r="E36" s="307" t="e">
        <f>E34</f>
        <v>#N/A</v>
      </c>
      <c r="F36" s="248"/>
      <c r="G36" s="246"/>
      <c r="H36" s="256"/>
      <c r="I36" s="36"/>
      <c r="J36" s="36"/>
      <c r="K36" s="36"/>
      <c r="L36" s="36"/>
      <c r="M36" s="36"/>
      <c r="N36" s="36"/>
      <c r="O36" s="36"/>
      <c r="P36" s="36"/>
      <c r="Q36" s="36"/>
    </row>
    <row r="37" spans="1:17" ht="23.25" customHeight="1">
      <c r="A37" s="36"/>
      <c r="B37" s="998"/>
      <c r="C37" s="253" t="e">
        <f>⑫公定価格加算分!F38*-1</f>
        <v>#N/A</v>
      </c>
      <c r="D37" s="252" t="s">
        <v>274</v>
      </c>
      <c r="E37" s="308" t="e">
        <f>VLOOKUP(①基本情報!Q5,個別データ!$C$5:$HY$64,20,0)</f>
        <v>#N/A</v>
      </c>
      <c r="F37" s="252" t="s">
        <v>274</v>
      </c>
      <c r="G37" s="253" t="e">
        <f>C37-E37</f>
        <v>#N/A</v>
      </c>
      <c r="H37" s="254" t="s">
        <v>274</v>
      </c>
      <c r="I37" s="36"/>
      <c r="J37" s="36"/>
      <c r="K37" s="36"/>
      <c r="L37" s="36"/>
      <c r="M37" s="36"/>
      <c r="N37" s="36"/>
      <c r="O37" s="36"/>
      <c r="P37" s="36"/>
      <c r="Q37" s="36"/>
    </row>
    <row r="38" spans="1:17" ht="23.25" customHeight="1">
      <c r="A38" s="36"/>
      <c r="B38" s="999" t="s">
        <v>275</v>
      </c>
      <c r="C38" s="255"/>
      <c r="D38" s="247"/>
      <c r="E38" s="307"/>
      <c r="F38" s="248"/>
      <c r="G38" s="246"/>
      <c r="H38" s="256"/>
      <c r="I38" s="36"/>
      <c r="J38" s="36"/>
      <c r="K38" s="36"/>
      <c r="L38" s="36"/>
      <c r="M38" s="36"/>
      <c r="N38" s="36"/>
      <c r="O38" s="36"/>
      <c r="P38" s="36"/>
      <c r="Q38" s="36"/>
    </row>
    <row r="39" spans="1:17" ht="23.25" customHeight="1" thickBot="1">
      <c r="A39" s="36"/>
      <c r="B39" s="1000"/>
      <c r="C39" s="257" t="e">
        <f>SUM(C22:C37)</f>
        <v>#N/A</v>
      </c>
      <c r="D39" s="258" t="s">
        <v>274</v>
      </c>
      <c r="E39" s="309" t="e">
        <f>SUM(E23,E25,E27,E29,E33,E31,E35,E37)</f>
        <v>#N/A</v>
      </c>
      <c r="F39" s="55" t="s">
        <v>274</v>
      </c>
      <c r="G39" s="259" t="e">
        <f>C39-E39</f>
        <v>#N/A</v>
      </c>
      <c r="H39" s="260" t="s">
        <v>274</v>
      </c>
      <c r="I39" s="36"/>
      <c r="J39" s="36"/>
      <c r="K39" s="36"/>
      <c r="L39" s="36"/>
      <c r="M39" s="36"/>
      <c r="N39" s="36"/>
      <c r="O39" s="36"/>
      <c r="P39" s="36"/>
      <c r="Q39" s="36"/>
    </row>
    <row r="40" spans="1:17" ht="13.5" customHeight="1">
      <c r="B40" s="136" t="s">
        <v>868</v>
      </c>
      <c r="C40" s="136" t="s">
        <v>869</v>
      </c>
      <c r="F40" s="261"/>
    </row>
    <row r="41" spans="1:17" ht="13.5" customHeight="1">
      <c r="B41" s="136" t="s">
        <v>870</v>
      </c>
      <c r="C41" s="136" t="s">
        <v>908</v>
      </c>
    </row>
    <row r="42" spans="1:17" ht="13.5" customHeight="1">
      <c r="B42" s="136" t="s">
        <v>871</v>
      </c>
      <c r="C42" s="136" t="s">
        <v>872</v>
      </c>
    </row>
    <row r="43" spans="1:17" ht="13.5" customHeight="1">
      <c r="C43" s="136" t="s">
        <v>873</v>
      </c>
    </row>
    <row r="44" spans="1:17" ht="13.5" customHeight="1">
      <c r="C44" s="136" t="s">
        <v>874</v>
      </c>
    </row>
    <row r="45" spans="1:17" ht="13.5" customHeight="1">
      <c r="C45" s="136" t="s">
        <v>875</v>
      </c>
    </row>
    <row r="46" spans="1:17" ht="18" customHeight="1"/>
  </sheetData>
  <sheetProtection algorithmName="SHA-512" hashValue="SwM0lzBg5uqFwRqq5eGOQDuybuRojlLy+dtQ11P3lcUb/As6RtwHu/gl9Ld4fqhkyI5AhsAtj6A9Xzwn2XOwqw==" saltValue="C4o2SbzTI6lUMIbbntJocQ==" spinCount="100000" sheet="1" objects="1" scenarios="1" selectLockedCells="1"/>
  <mergeCells count="22">
    <mergeCell ref="I11:L11"/>
    <mergeCell ref="C4:E4"/>
    <mergeCell ref="C5:E5"/>
    <mergeCell ref="F7:H9"/>
    <mergeCell ref="F10:H10"/>
    <mergeCell ref="F11:H11"/>
    <mergeCell ref="F12:H12"/>
    <mergeCell ref="B15:H17"/>
    <mergeCell ref="J19:M19"/>
    <mergeCell ref="C21:D21"/>
    <mergeCell ref="E21:F21"/>
    <mergeCell ref="G21:H21"/>
    <mergeCell ref="F13:G13"/>
    <mergeCell ref="B34:B35"/>
    <mergeCell ref="B38:B39"/>
    <mergeCell ref="B22:B23"/>
    <mergeCell ref="B24:B25"/>
    <mergeCell ref="B26:B27"/>
    <mergeCell ref="B28:B29"/>
    <mergeCell ref="B30:B31"/>
    <mergeCell ref="B32:B33"/>
    <mergeCell ref="B36:B37"/>
  </mergeCells>
  <phoneticPr fontId="1"/>
  <dataValidations disablePrompts="1" count="1">
    <dataValidation type="date" operator="notEqual" allowBlank="1" showInputMessage="1" showErrorMessage="1" sqref="G2" xr:uid="{C637706D-4DE2-4C1F-B0C7-B74EE8A743DC}">
      <formula1>92</formula1>
    </dataValidation>
  </dataValidations>
  <pageMargins left="0.78740157480314965" right="0.51181102362204722" top="0.98425196850393704" bottom="0.98425196850393704" header="0.51181102362204722" footer="0.51181102362204722"/>
  <pageSetup paperSize="9" scale="80" orientation="portrait" blackAndWhite="1"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99297-21A2-499B-AB90-FA99A3094658}">
  <sheetPr>
    <tabColor rgb="FF7030A0"/>
  </sheetPr>
  <dimension ref="A1:L38"/>
  <sheetViews>
    <sheetView showGridLines="0" view="pageBreakPreview" zoomScaleNormal="100" zoomScaleSheetLayoutView="100" workbookViewId="0">
      <selection activeCell="E21" sqref="E21"/>
    </sheetView>
  </sheetViews>
  <sheetFormatPr defaultRowHeight="13"/>
  <cols>
    <col min="1" max="1" width="1.08203125" style="136" customWidth="1"/>
    <col min="2" max="2" width="16.75" style="136" customWidth="1"/>
    <col min="3" max="3" width="18.75" style="136" customWidth="1"/>
    <col min="4" max="4" width="3" style="136" customWidth="1"/>
    <col min="5" max="5" width="20.33203125" style="136" customWidth="1"/>
    <col min="6" max="6" width="3.33203125" style="136" customWidth="1"/>
    <col min="7" max="7" width="19.08203125" style="136" customWidth="1"/>
    <col min="8" max="8" width="3.33203125" style="136" customWidth="1"/>
    <col min="9" max="9" width="6.5" style="136" customWidth="1"/>
    <col min="10" max="11" width="4.75" style="136" customWidth="1"/>
    <col min="12" max="12" width="8" style="136" customWidth="1"/>
    <col min="13" max="16384" width="8.6640625" style="136"/>
  </cols>
  <sheetData>
    <row r="1" spans="1:12" ht="23.15" customHeight="1">
      <c r="A1" s="36" t="s">
        <v>876</v>
      </c>
      <c r="B1" s="36"/>
      <c r="C1" s="36" t="s">
        <v>271</v>
      </c>
      <c r="D1" s="36"/>
      <c r="E1" s="36"/>
      <c r="F1" s="36"/>
      <c r="G1" s="36"/>
      <c r="H1" s="48" t="e">
        <f>様式４!H1</f>
        <v>#N/A</v>
      </c>
      <c r="I1" s="36"/>
      <c r="J1" s="36"/>
      <c r="K1" s="36"/>
      <c r="L1" s="36"/>
    </row>
    <row r="2" spans="1:12" ht="23.15" customHeight="1">
      <c r="A2" s="36"/>
      <c r="B2" s="36"/>
      <c r="C2" s="36"/>
      <c r="D2" s="36"/>
      <c r="E2" s="36"/>
      <c r="F2" s="36"/>
      <c r="G2" s="244">
        <f>様式４!G2</f>
        <v>46112</v>
      </c>
      <c r="H2" s="36"/>
      <c r="I2" s="36"/>
      <c r="J2" s="36"/>
      <c r="K2" s="36"/>
      <c r="L2" s="36"/>
    </row>
    <row r="3" spans="1:12" ht="15" customHeight="1">
      <c r="A3" s="36"/>
      <c r="B3" s="36"/>
      <c r="C3" s="36"/>
      <c r="D3" s="36"/>
      <c r="E3" s="36"/>
      <c r="F3" s="36"/>
      <c r="G3" s="36"/>
      <c r="H3" s="36"/>
      <c r="I3" s="36"/>
      <c r="J3" s="36"/>
      <c r="K3" s="36"/>
      <c r="L3" s="36"/>
    </row>
    <row r="4" spans="1:12" ht="23.15" customHeight="1">
      <c r="A4" s="36"/>
      <c r="B4" s="36"/>
      <c r="C4" s="1009" t="s">
        <v>877</v>
      </c>
      <c r="D4" s="1009"/>
      <c r="E4" s="1009"/>
      <c r="F4" s="36"/>
      <c r="G4" s="36"/>
      <c r="H4" s="36"/>
      <c r="I4" s="36"/>
      <c r="J4" s="36"/>
      <c r="K4" s="36"/>
      <c r="L4" s="36"/>
    </row>
    <row r="5" spans="1:12" ht="23.15" customHeight="1">
      <c r="A5" s="36"/>
      <c r="B5" s="36"/>
      <c r="C5" s="1009" t="s">
        <v>878</v>
      </c>
      <c r="D5" s="1009"/>
      <c r="E5" s="1009"/>
      <c r="F5" s="36"/>
      <c r="G5" s="36"/>
      <c r="H5" s="36"/>
      <c r="I5" s="36"/>
      <c r="J5" s="36"/>
      <c r="K5" s="36"/>
      <c r="L5" s="36"/>
    </row>
    <row r="6" spans="1:12" ht="5.25" customHeight="1">
      <c r="A6" s="36"/>
      <c r="B6" s="36"/>
      <c r="C6" s="36"/>
      <c r="D6" s="36"/>
      <c r="E6" s="36"/>
      <c r="F6" s="36"/>
      <c r="G6" s="36"/>
      <c r="H6" s="36"/>
      <c r="I6" s="36"/>
      <c r="J6" s="36"/>
      <c r="K6" s="36"/>
      <c r="L6" s="36"/>
    </row>
    <row r="7" spans="1:12" ht="23.15" customHeight="1">
      <c r="A7" s="36"/>
      <c r="B7" s="35" t="s">
        <v>1226</v>
      </c>
      <c r="C7" s="55"/>
      <c r="D7" s="55"/>
      <c r="E7" s="36"/>
      <c r="F7" s="900" t="e">
        <f>IF(様式４!F7="","",様式４!F7)</f>
        <v>#N/A</v>
      </c>
      <c r="G7" s="900"/>
      <c r="H7" s="900"/>
      <c r="I7" s="36"/>
      <c r="J7" s="36"/>
      <c r="K7" s="36"/>
      <c r="L7" s="36"/>
    </row>
    <row r="8" spans="1:12" ht="5.25" customHeight="1">
      <c r="A8" s="36"/>
      <c r="B8" s="36"/>
      <c r="C8" s="36"/>
      <c r="D8" s="36"/>
      <c r="E8" s="36"/>
      <c r="F8" s="1022"/>
      <c r="G8" s="1022"/>
      <c r="H8" s="1022"/>
      <c r="I8" s="36"/>
      <c r="J8" s="36"/>
      <c r="K8" s="36"/>
      <c r="L8" s="36"/>
    </row>
    <row r="9" spans="1:12" ht="30" customHeight="1">
      <c r="A9" s="36"/>
      <c r="B9" s="36"/>
      <c r="C9" s="36"/>
      <c r="D9" s="36"/>
      <c r="E9" s="35" t="s">
        <v>852</v>
      </c>
      <c r="F9" s="1022"/>
      <c r="G9" s="1022"/>
      <c r="H9" s="1022"/>
      <c r="I9" s="36"/>
      <c r="J9" s="36"/>
      <c r="K9" s="36"/>
      <c r="L9" s="36"/>
    </row>
    <row r="10" spans="1:12" ht="23.15" customHeight="1">
      <c r="A10" s="36"/>
      <c r="B10" s="36"/>
      <c r="C10" s="36"/>
      <c r="D10" s="36"/>
      <c r="E10" s="35" t="s">
        <v>879</v>
      </c>
      <c r="F10" s="1003" t="e">
        <f>IF(様式４!F10="","",様式４!F10)</f>
        <v>#N/A</v>
      </c>
      <c r="G10" s="1003"/>
      <c r="H10" s="1003"/>
      <c r="I10" s="36"/>
      <c r="J10" s="36"/>
      <c r="K10" s="36"/>
      <c r="L10" s="36"/>
    </row>
    <row r="11" spans="1:12" ht="23.15" customHeight="1">
      <c r="A11" s="36"/>
      <c r="B11" s="36"/>
      <c r="C11" s="36"/>
      <c r="D11" s="36"/>
      <c r="E11" s="35" t="s">
        <v>880</v>
      </c>
      <c r="F11" s="1003" t="e">
        <f>IF(様式４!F11="","",様式４!F11)</f>
        <v>#N/A</v>
      </c>
      <c r="G11" s="1003"/>
      <c r="H11" s="1003"/>
      <c r="I11" s="1008"/>
      <c r="J11" s="1008"/>
      <c r="K11" s="1008"/>
      <c r="L11" s="1008"/>
    </row>
    <row r="12" spans="1:12" ht="23.15" customHeight="1">
      <c r="A12" s="36"/>
      <c r="B12" s="36"/>
      <c r="C12" s="36"/>
      <c r="D12" s="36"/>
      <c r="E12" s="331" t="s">
        <v>855</v>
      </c>
      <c r="F12" s="1003" t="e">
        <f>IF(様式４!F12="","",様式４!F12)</f>
        <v>#N/A</v>
      </c>
      <c r="G12" s="1003"/>
      <c r="H12" s="1003"/>
      <c r="J12" s="36" t="s">
        <v>856</v>
      </c>
      <c r="K12" s="36"/>
      <c r="L12" s="36" t="s">
        <v>613</v>
      </c>
    </row>
    <row r="13" spans="1:12" ht="23.15" customHeight="1">
      <c r="A13" s="36"/>
      <c r="B13" s="36"/>
      <c r="C13" s="36"/>
      <c r="D13" s="36"/>
      <c r="E13" s="331" t="s">
        <v>1224</v>
      </c>
      <c r="F13" s="1003">
        <f>IF(様式４!F13="","",様式４!F13)</f>
        <v>0</v>
      </c>
      <c r="G13" s="1003"/>
      <c r="H13" s="1003"/>
      <c r="J13" s="36"/>
      <c r="K13" s="36"/>
      <c r="L13" s="36"/>
    </row>
    <row r="14" spans="1:12" ht="6" customHeight="1">
      <c r="A14" s="36"/>
      <c r="B14" s="36"/>
      <c r="C14" s="36"/>
      <c r="D14" s="36"/>
      <c r="E14" s="36"/>
      <c r="F14" s="36"/>
      <c r="G14" s="36"/>
      <c r="H14" s="36"/>
      <c r="I14" s="36"/>
      <c r="J14" s="36"/>
      <c r="K14" s="36"/>
      <c r="L14" s="36"/>
    </row>
    <row r="15" spans="1:12" ht="13.5" customHeight="1">
      <c r="B15" s="1004" t="s">
        <v>881</v>
      </c>
      <c r="C15" s="1004"/>
      <c r="D15" s="1004"/>
      <c r="E15" s="1004"/>
      <c r="F15" s="1004"/>
      <c r="G15" s="1004"/>
      <c r="H15" s="1004"/>
      <c r="I15" s="36"/>
      <c r="J15" s="36"/>
      <c r="K15" s="36"/>
      <c r="L15" s="36"/>
    </row>
    <row r="16" spans="1:12" ht="23.15" customHeight="1">
      <c r="B16" s="1004"/>
      <c r="C16" s="1004"/>
      <c r="D16" s="1004"/>
      <c r="E16" s="1004"/>
      <c r="F16" s="1004"/>
      <c r="G16" s="1004"/>
      <c r="H16" s="1004"/>
      <c r="I16" s="36"/>
      <c r="J16" s="36"/>
      <c r="K16" s="36"/>
      <c r="L16" s="36"/>
    </row>
    <row r="17" spans="1:12" ht="23.15" customHeight="1">
      <c r="A17" s="36"/>
      <c r="B17" s="1004"/>
      <c r="C17" s="1004"/>
      <c r="D17" s="1004"/>
      <c r="E17" s="1004"/>
      <c r="F17" s="1004"/>
      <c r="G17" s="1004"/>
      <c r="H17" s="1004"/>
      <c r="I17" s="36"/>
      <c r="J17" s="36"/>
      <c r="K17" s="36"/>
      <c r="L17" s="36"/>
    </row>
    <row r="18" spans="1:12" ht="15.75" customHeight="1" thickBot="1">
      <c r="A18" s="36"/>
      <c r="B18" s="262"/>
      <c r="C18" s="262"/>
      <c r="D18" s="262"/>
      <c r="E18" s="262"/>
      <c r="F18" s="262"/>
      <c r="G18" s="262"/>
      <c r="H18" s="262"/>
      <c r="I18" s="36"/>
      <c r="J18" s="36"/>
      <c r="K18" s="36"/>
      <c r="L18" s="36"/>
    </row>
    <row r="19" spans="1:12" ht="23.15" customHeight="1">
      <c r="A19" s="36"/>
      <c r="B19" s="1014" t="s">
        <v>273</v>
      </c>
      <c r="C19" s="1016" t="s">
        <v>276</v>
      </c>
      <c r="D19" s="1017"/>
      <c r="E19" s="1016" t="s">
        <v>882</v>
      </c>
      <c r="F19" s="1017"/>
      <c r="G19" s="1018" t="s">
        <v>883</v>
      </c>
      <c r="H19" s="1019"/>
      <c r="I19" s="36"/>
      <c r="J19" s="36"/>
      <c r="K19" s="36"/>
      <c r="L19" s="36"/>
    </row>
    <row r="20" spans="1:12" ht="22.5" customHeight="1">
      <c r="A20" s="36"/>
      <c r="B20" s="1015"/>
      <c r="C20" s="792"/>
      <c r="D20" s="792"/>
      <c r="E20" s="792"/>
      <c r="F20" s="792"/>
      <c r="G20" s="1020"/>
      <c r="H20" s="1021"/>
      <c r="I20" s="36"/>
      <c r="J20" s="36"/>
      <c r="K20" s="36"/>
      <c r="L20" s="36"/>
    </row>
    <row r="21" spans="1:12" ht="33" customHeight="1">
      <c r="A21" s="36"/>
      <c r="B21" s="997" t="s">
        <v>861</v>
      </c>
      <c r="C21" s="1011" t="e">
        <f>様式４!C23</f>
        <v>#N/A</v>
      </c>
      <c r="D21" s="247"/>
      <c r="E21" s="310" t="e">
        <f>VLOOKUP(H1,個別データ!$C$5:$HY$64,個別データ!AN1,0)&amp;"　　　　"&amp;VLOOKUP(H1,個別データ!$C$5:$HY$64,個別データ!AO1,0)</f>
        <v>#N/A</v>
      </c>
      <c r="F21" s="248"/>
      <c r="G21" s="249"/>
      <c r="H21" s="250"/>
      <c r="I21" s="36"/>
      <c r="J21" s="36"/>
      <c r="K21" s="36"/>
      <c r="L21" s="36"/>
    </row>
    <row r="22" spans="1:12" ht="27" customHeight="1">
      <c r="A22" s="36"/>
      <c r="B22" s="1001"/>
      <c r="C22" s="1012"/>
      <c r="D22" s="252" t="s">
        <v>274</v>
      </c>
      <c r="E22" s="253" t="e">
        <f>VLOOKUP($H$1,個別データ!$C$5:$HY$64,21,0)+VLOOKUP($H$1,個別データ!$C$5:$HY$64,29,0)</f>
        <v>#N/A</v>
      </c>
      <c r="F22" s="252" t="s">
        <v>274</v>
      </c>
      <c r="G22" s="253" t="e">
        <f>様式４!C23</f>
        <v>#N/A</v>
      </c>
      <c r="H22" s="254" t="s">
        <v>274</v>
      </c>
      <c r="I22" s="36"/>
      <c r="J22" s="36"/>
      <c r="K22" s="36"/>
      <c r="L22" s="36"/>
    </row>
    <row r="23" spans="1:12" ht="33" customHeight="1">
      <c r="A23" s="36"/>
      <c r="B23" s="997" t="s">
        <v>862</v>
      </c>
      <c r="C23" s="1011">
        <f>様式４!C25</f>
        <v>0</v>
      </c>
      <c r="D23" s="247"/>
      <c r="E23" s="310" t="e">
        <f>E21</f>
        <v>#N/A</v>
      </c>
      <c r="F23" s="248"/>
      <c r="G23" s="246"/>
      <c r="H23" s="256"/>
      <c r="I23" s="36"/>
      <c r="J23" s="36"/>
      <c r="K23" s="36"/>
      <c r="L23" s="36"/>
    </row>
    <row r="24" spans="1:12" ht="27" customHeight="1">
      <c r="A24" s="36"/>
      <c r="B24" s="1001"/>
      <c r="C24" s="1012"/>
      <c r="D24" s="252" t="s">
        <v>274</v>
      </c>
      <c r="E24" s="253" t="e">
        <f>VLOOKUP($H$1,個別データ!$C$5:$HY$64,22,0)+VLOOKUP($H$1,個別データ!$C$5:$HY$64,30,0)</f>
        <v>#N/A</v>
      </c>
      <c r="F24" s="252" t="s">
        <v>274</v>
      </c>
      <c r="G24" s="253">
        <f>様式４!C25</f>
        <v>0</v>
      </c>
      <c r="H24" s="254" t="s">
        <v>274</v>
      </c>
      <c r="I24" s="36"/>
      <c r="J24" s="36"/>
      <c r="K24" s="36"/>
      <c r="L24" s="36"/>
    </row>
    <row r="25" spans="1:12" ht="33" customHeight="1">
      <c r="A25" s="36"/>
      <c r="B25" s="997" t="s">
        <v>863</v>
      </c>
      <c r="C25" s="1011">
        <f>様式４!C27</f>
        <v>0</v>
      </c>
      <c r="D25" s="247"/>
      <c r="E25" s="310" t="e">
        <f>E21</f>
        <v>#N/A</v>
      </c>
      <c r="F25" s="248"/>
      <c r="G25" s="246"/>
      <c r="H25" s="256"/>
      <c r="I25" s="36"/>
      <c r="J25" s="36"/>
      <c r="K25" s="36"/>
      <c r="L25" s="36"/>
    </row>
    <row r="26" spans="1:12" ht="27" customHeight="1">
      <c r="A26" s="36"/>
      <c r="B26" s="1001"/>
      <c r="C26" s="1012"/>
      <c r="D26" s="252" t="s">
        <v>274</v>
      </c>
      <c r="E26" s="253" t="e">
        <f>VLOOKUP($H$1,個別データ!$C$5:$HY$64,23,0)+VLOOKUP($H$1,個別データ!$C$5:$HY$64,31,0)</f>
        <v>#N/A</v>
      </c>
      <c r="F26" s="252" t="s">
        <v>274</v>
      </c>
      <c r="G26" s="253">
        <f>様式４!C27</f>
        <v>0</v>
      </c>
      <c r="H26" s="254" t="s">
        <v>274</v>
      </c>
      <c r="I26" s="36"/>
      <c r="J26" s="36"/>
      <c r="K26" s="36"/>
      <c r="L26" s="36"/>
    </row>
    <row r="27" spans="1:12" ht="33" customHeight="1">
      <c r="A27" s="36"/>
      <c r="B27" s="997" t="s">
        <v>864</v>
      </c>
      <c r="C27" s="1011">
        <f>様式４!C29</f>
        <v>0</v>
      </c>
      <c r="D27" s="247"/>
      <c r="E27" s="310" t="e">
        <f>E21</f>
        <v>#N/A</v>
      </c>
      <c r="F27" s="248"/>
      <c r="G27" s="246"/>
      <c r="H27" s="256"/>
      <c r="I27" s="36"/>
      <c r="J27" s="36"/>
      <c r="K27" s="36"/>
      <c r="L27" s="36"/>
    </row>
    <row r="28" spans="1:12" ht="27" customHeight="1">
      <c r="A28" s="36"/>
      <c r="B28" s="1002"/>
      <c r="C28" s="1012"/>
      <c r="D28" s="252" t="s">
        <v>274</v>
      </c>
      <c r="E28" s="253" t="e">
        <f>VLOOKUP($H$1,個別データ!$C$5:$HY$64,24,0)+VLOOKUP($H$1,個別データ!$C$5:$HY$64,32,0)</f>
        <v>#N/A</v>
      </c>
      <c r="F28" s="252" t="s">
        <v>274</v>
      </c>
      <c r="G28" s="253">
        <f>様式４!C29</f>
        <v>0</v>
      </c>
      <c r="H28" s="254" t="s">
        <v>274</v>
      </c>
      <c r="I28" s="36"/>
      <c r="J28" s="36"/>
      <c r="K28" s="36"/>
      <c r="L28" s="36"/>
    </row>
    <row r="29" spans="1:12" ht="33" customHeight="1">
      <c r="A29" s="36"/>
      <c r="B29" s="997" t="s">
        <v>865</v>
      </c>
      <c r="C29" s="1011">
        <f>様式４!C31</f>
        <v>0</v>
      </c>
      <c r="D29" s="247"/>
      <c r="E29" s="310" t="e">
        <f>E21</f>
        <v>#N/A</v>
      </c>
      <c r="F29" s="248"/>
      <c r="G29" s="246"/>
      <c r="H29" s="256"/>
      <c r="I29" s="36"/>
      <c r="J29" s="36"/>
      <c r="K29" s="36"/>
      <c r="L29" s="36"/>
    </row>
    <row r="30" spans="1:12" ht="27" customHeight="1">
      <c r="A30" s="36"/>
      <c r="B30" s="1002"/>
      <c r="C30" s="1012"/>
      <c r="D30" s="252" t="s">
        <v>274</v>
      </c>
      <c r="E30" s="253" t="e">
        <f>VLOOKUP($H$1,個別データ!$C$5:$HY$64,25,0)+VLOOKUP($H$1,個別データ!$C$5:$HY$64,33,0)</f>
        <v>#N/A</v>
      </c>
      <c r="F30" s="252" t="s">
        <v>274</v>
      </c>
      <c r="G30" s="253">
        <f>様式４!C31</f>
        <v>0</v>
      </c>
      <c r="H30" s="254" t="s">
        <v>274</v>
      </c>
      <c r="I30" s="36"/>
      <c r="J30" s="36"/>
      <c r="K30" s="36"/>
      <c r="L30" s="36"/>
    </row>
    <row r="31" spans="1:12" ht="33" customHeight="1">
      <c r="A31" s="36"/>
      <c r="B31" s="997" t="s">
        <v>866</v>
      </c>
      <c r="C31" s="1011">
        <f>様式４!C33</f>
        <v>0</v>
      </c>
      <c r="D31" s="247"/>
      <c r="E31" s="310" t="e">
        <f>E21</f>
        <v>#N/A</v>
      </c>
      <c r="F31" s="248"/>
      <c r="G31" s="246"/>
      <c r="H31" s="256"/>
      <c r="I31" s="36"/>
      <c r="J31" s="36"/>
      <c r="K31" s="36"/>
      <c r="L31" s="36"/>
    </row>
    <row r="32" spans="1:12" ht="27" customHeight="1">
      <c r="A32" s="36"/>
      <c r="B32" s="998"/>
      <c r="C32" s="1012"/>
      <c r="D32" s="252" t="s">
        <v>274</v>
      </c>
      <c r="E32" s="253" t="e">
        <f>VLOOKUP($H$1,個別データ!$C$5:$HY$64,26,0)+VLOOKUP($H$1,個別データ!$C$5:$HY$64,34,0)</f>
        <v>#N/A</v>
      </c>
      <c r="F32" s="252" t="s">
        <v>274</v>
      </c>
      <c r="G32" s="253">
        <f>様式４!C33</f>
        <v>0</v>
      </c>
      <c r="H32" s="254" t="s">
        <v>274</v>
      </c>
      <c r="I32" s="36"/>
      <c r="J32" s="36"/>
      <c r="K32" s="36"/>
      <c r="L32" s="36"/>
    </row>
    <row r="33" spans="1:12" ht="33" customHeight="1">
      <c r="A33" s="36"/>
      <c r="B33" s="997" t="s">
        <v>867</v>
      </c>
      <c r="C33" s="1011">
        <f>様式４!C35</f>
        <v>0</v>
      </c>
      <c r="D33" s="247"/>
      <c r="E33" s="310" t="e">
        <f>E23</f>
        <v>#N/A</v>
      </c>
      <c r="F33" s="248"/>
      <c r="G33" s="246"/>
      <c r="H33" s="256"/>
      <c r="I33" s="36"/>
      <c r="J33" s="36"/>
      <c r="K33" s="36"/>
      <c r="L33" s="36"/>
    </row>
    <row r="34" spans="1:12" ht="27" customHeight="1">
      <c r="A34" s="36"/>
      <c r="B34" s="998"/>
      <c r="C34" s="1012"/>
      <c r="D34" s="252" t="s">
        <v>274</v>
      </c>
      <c r="E34" s="253" t="e">
        <f>VLOOKUP($H$1,個別データ!$C$5:$HY$64,27,0)+VLOOKUP($H$1,個別データ!$C$5:$HY$64,35,0)</f>
        <v>#N/A</v>
      </c>
      <c r="F34" s="252" t="s">
        <v>274</v>
      </c>
      <c r="G34" s="253">
        <f>様式４!C35</f>
        <v>0</v>
      </c>
      <c r="H34" s="254" t="s">
        <v>274</v>
      </c>
      <c r="I34" s="36"/>
      <c r="J34" s="36"/>
      <c r="K34" s="36"/>
      <c r="L34" s="36"/>
    </row>
    <row r="35" spans="1:12" ht="27" customHeight="1">
      <c r="A35" s="36"/>
      <c r="B35" s="997" t="s">
        <v>1223</v>
      </c>
      <c r="C35" s="1011" t="e">
        <f>様式４!C37</f>
        <v>#N/A</v>
      </c>
      <c r="D35" s="247"/>
      <c r="E35" s="310" t="e">
        <f>E25</f>
        <v>#N/A</v>
      </c>
      <c r="F35" s="248"/>
      <c r="G35" s="246"/>
      <c r="H35" s="256"/>
      <c r="I35" s="36"/>
      <c r="J35" s="36"/>
      <c r="K35" s="36"/>
      <c r="L35" s="36"/>
    </row>
    <row r="36" spans="1:12" ht="27" customHeight="1">
      <c r="A36" s="36"/>
      <c r="B36" s="998"/>
      <c r="C36" s="1012"/>
      <c r="D36" s="252" t="s">
        <v>274</v>
      </c>
      <c r="E36" s="253" t="e">
        <f>VLOOKUP($H$1,個別データ!$C$5:$HY$64,28,0)+VLOOKUP($H$1,個別データ!$C$5:$HY$64,36,0)</f>
        <v>#N/A</v>
      </c>
      <c r="F36" s="252" t="s">
        <v>274</v>
      </c>
      <c r="G36" s="253" t="e">
        <f>様式４!C37</f>
        <v>#N/A</v>
      </c>
      <c r="H36" s="254" t="s">
        <v>274</v>
      </c>
      <c r="I36" s="36"/>
      <c r="J36" s="36"/>
      <c r="K36" s="36"/>
      <c r="L36" s="36"/>
    </row>
    <row r="37" spans="1:12" ht="33" customHeight="1">
      <c r="A37" s="36"/>
      <c r="B37" s="999" t="s">
        <v>275</v>
      </c>
      <c r="C37" s="1011" t="e">
        <f>様式４!C39</f>
        <v>#N/A</v>
      </c>
      <c r="D37" s="247"/>
      <c r="E37" s="310" t="e">
        <f>E21</f>
        <v>#N/A</v>
      </c>
      <c r="F37" s="248"/>
      <c r="G37" s="246"/>
      <c r="H37" s="256"/>
      <c r="I37" s="36"/>
      <c r="J37" s="36"/>
      <c r="K37" s="36"/>
      <c r="L37" s="36"/>
    </row>
    <row r="38" spans="1:12" ht="27" customHeight="1" thickBot="1">
      <c r="A38" s="36"/>
      <c r="B38" s="1000"/>
      <c r="C38" s="1013"/>
      <c r="D38" s="258" t="s">
        <v>274</v>
      </c>
      <c r="E38" s="259" t="e">
        <f>SUM(E22,E24,E26,E28,E30,E32,E34,E36)</f>
        <v>#N/A</v>
      </c>
      <c r="F38" s="263" t="s">
        <v>274</v>
      </c>
      <c r="G38" s="259" t="e">
        <f>様式４!C39</f>
        <v>#N/A</v>
      </c>
      <c r="H38" s="260" t="s">
        <v>274</v>
      </c>
      <c r="I38" s="36"/>
      <c r="J38" s="36"/>
      <c r="K38" s="36"/>
      <c r="L38" s="36"/>
    </row>
  </sheetData>
  <sheetProtection algorithmName="SHA-512" hashValue="UEH914K4vWIuM0U0WOMVIdiLvBBsgTZGF5akMPntyk93RO2cbWB8MSve9IMFL9FdAp7sisdf1052bsDahhDebw==" saltValue="ZtvBTQ0hpgHSCfR6tc6x6w==" spinCount="100000" sheet="1" objects="1" scenarios="1" selectLockedCells="1"/>
  <mergeCells count="31">
    <mergeCell ref="I11:L11"/>
    <mergeCell ref="C4:E4"/>
    <mergeCell ref="C5:E5"/>
    <mergeCell ref="F7:H9"/>
    <mergeCell ref="F10:H10"/>
    <mergeCell ref="F11:H11"/>
    <mergeCell ref="F12:H12"/>
    <mergeCell ref="B15:H17"/>
    <mergeCell ref="B19:B20"/>
    <mergeCell ref="C19:D20"/>
    <mergeCell ref="E19:F20"/>
    <mergeCell ref="G19:H20"/>
    <mergeCell ref="F13:H13"/>
    <mergeCell ref="B21:B22"/>
    <mergeCell ref="C21:C22"/>
    <mergeCell ref="B23:B24"/>
    <mergeCell ref="C23:C24"/>
    <mergeCell ref="B25:B26"/>
    <mergeCell ref="C25:C26"/>
    <mergeCell ref="B33:B34"/>
    <mergeCell ref="C33:C34"/>
    <mergeCell ref="B37:B38"/>
    <mergeCell ref="C37:C38"/>
    <mergeCell ref="B35:B36"/>
    <mergeCell ref="C35:C36"/>
    <mergeCell ref="B27:B28"/>
    <mergeCell ref="C27:C28"/>
    <mergeCell ref="B29:B30"/>
    <mergeCell ref="C29:C30"/>
    <mergeCell ref="B31:B32"/>
    <mergeCell ref="C31:C32"/>
  </mergeCells>
  <phoneticPr fontId="1"/>
  <dataValidations count="1">
    <dataValidation type="date" operator="notEqual" allowBlank="1" showInputMessage="1" showErrorMessage="1" sqref="G2" xr:uid="{024A30FF-3E32-4FAA-B54C-9703A71189C6}">
      <formula1>92</formula1>
    </dataValidation>
  </dataValidations>
  <pageMargins left="0.78740157480314965" right="0.78740157480314965" top="0.55118110236220474" bottom="0.51181102362204722" header="0.51181102362204722" footer="0.51181102362204722"/>
  <pageSetup paperSize="9" scale="80" orientation="portrait" blackAndWhite="1"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F0DD3-4B96-4EF1-8D84-152FBAE12C83}">
  <sheetPr>
    <tabColor rgb="FF7030A0"/>
  </sheetPr>
  <dimension ref="A1:Q57"/>
  <sheetViews>
    <sheetView showGridLines="0" view="pageBreakPreview" zoomScaleNormal="100" zoomScaleSheetLayoutView="100" workbookViewId="0">
      <selection activeCell="F7" sqref="F7:H9"/>
    </sheetView>
  </sheetViews>
  <sheetFormatPr defaultRowHeight="13"/>
  <cols>
    <col min="1" max="1" width="1.25" style="136" customWidth="1"/>
    <col min="2" max="2" width="17.25" style="136" customWidth="1"/>
    <col min="3" max="3" width="18.75" style="136" customWidth="1"/>
    <col min="4" max="4" width="3.33203125" style="136" customWidth="1"/>
    <col min="5" max="5" width="20.33203125" style="136" customWidth="1"/>
    <col min="6" max="6" width="3.33203125" style="136" customWidth="1"/>
    <col min="7" max="7" width="18.83203125" style="136" customWidth="1"/>
    <col min="8" max="8" width="3.33203125" style="136" customWidth="1"/>
    <col min="9" max="9" width="6.5" style="136" customWidth="1"/>
    <col min="10" max="11" width="4.75" style="136" customWidth="1"/>
    <col min="12" max="12" width="8" style="136" customWidth="1"/>
    <col min="13" max="13" width="10.25" style="136" customWidth="1"/>
    <col min="14" max="14" width="17.5" style="136" customWidth="1"/>
    <col min="15" max="15" width="5.83203125" style="136" customWidth="1"/>
    <col min="16" max="16" width="5.75" style="136" customWidth="1"/>
    <col min="17" max="17" width="5.58203125" style="136" customWidth="1"/>
    <col min="18" max="256" width="9" style="136"/>
    <col min="257" max="257" width="1.25" style="136" customWidth="1"/>
    <col min="258" max="258" width="17.25" style="136" customWidth="1"/>
    <col min="259" max="259" width="18.75" style="136" customWidth="1"/>
    <col min="260" max="260" width="3.33203125" style="136" customWidth="1"/>
    <col min="261" max="261" width="20.33203125" style="136" customWidth="1"/>
    <col min="262" max="262" width="3.33203125" style="136" customWidth="1"/>
    <col min="263" max="263" width="18.83203125" style="136" customWidth="1"/>
    <col min="264" max="264" width="3.33203125" style="136" customWidth="1"/>
    <col min="265" max="265" width="6.5" style="136" customWidth="1"/>
    <col min="266" max="267" width="4.75" style="136" customWidth="1"/>
    <col min="268" max="268" width="8" style="136" customWidth="1"/>
    <col min="269" max="269" width="10.25" style="136" customWidth="1"/>
    <col min="270" max="270" width="17.5" style="136" customWidth="1"/>
    <col min="271" max="271" width="5.83203125" style="136" customWidth="1"/>
    <col min="272" max="272" width="5.75" style="136" customWidth="1"/>
    <col min="273" max="273" width="5.58203125" style="136" customWidth="1"/>
    <col min="274" max="512" width="9" style="136"/>
    <col min="513" max="513" width="1.25" style="136" customWidth="1"/>
    <col min="514" max="514" width="17.25" style="136" customWidth="1"/>
    <col min="515" max="515" width="18.75" style="136" customWidth="1"/>
    <col min="516" max="516" width="3.33203125" style="136" customWidth="1"/>
    <col min="517" max="517" width="20.33203125" style="136" customWidth="1"/>
    <col min="518" max="518" width="3.33203125" style="136" customWidth="1"/>
    <col min="519" max="519" width="18.83203125" style="136" customWidth="1"/>
    <col min="520" max="520" width="3.33203125" style="136" customWidth="1"/>
    <col min="521" max="521" width="6.5" style="136" customWidth="1"/>
    <col min="522" max="523" width="4.75" style="136" customWidth="1"/>
    <col min="524" max="524" width="8" style="136" customWidth="1"/>
    <col min="525" max="525" width="10.25" style="136" customWidth="1"/>
    <col min="526" max="526" width="17.5" style="136" customWidth="1"/>
    <col min="527" max="527" width="5.83203125" style="136" customWidth="1"/>
    <col min="528" max="528" width="5.75" style="136" customWidth="1"/>
    <col min="529" max="529" width="5.58203125" style="136" customWidth="1"/>
    <col min="530" max="768" width="9" style="136"/>
    <col min="769" max="769" width="1.25" style="136" customWidth="1"/>
    <col min="770" max="770" width="17.25" style="136" customWidth="1"/>
    <col min="771" max="771" width="18.75" style="136" customWidth="1"/>
    <col min="772" max="772" width="3.33203125" style="136" customWidth="1"/>
    <col min="773" max="773" width="20.33203125" style="136" customWidth="1"/>
    <col min="774" max="774" width="3.33203125" style="136" customWidth="1"/>
    <col min="775" max="775" width="18.83203125" style="136" customWidth="1"/>
    <col min="776" max="776" width="3.33203125" style="136" customWidth="1"/>
    <col min="777" max="777" width="6.5" style="136" customWidth="1"/>
    <col min="778" max="779" width="4.75" style="136" customWidth="1"/>
    <col min="780" max="780" width="8" style="136" customWidth="1"/>
    <col min="781" max="781" width="10.25" style="136" customWidth="1"/>
    <col min="782" max="782" width="17.5" style="136" customWidth="1"/>
    <col min="783" max="783" width="5.83203125" style="136" customWidth="1"/>
    <col min="784" max="784" width="5.75" style="136" customWidth="1"/>
    <col min="785" max="785" width="5.58203125" style="136" customWidth="1"/>
    <col min="786" max="1024" width="9" style="136"/>
    <col min="1025" max="1025" width="1.25" style="136" customWidth="1"/>
    <col min="1026" max="1026" width="17.25" style="136" customWidth="1"/>
    <col min="1027" max="1027" width="18.75" style="136" customWidth="1"/>
    <col min="1028" max="1028" width="3.33203125" style="136" customWidth="1"/>
    <col min="1029" max="1029" width="20.33203125" style="136" customWidth="1"/>
    <col min="1030" max="1030" width="3.33203125" style="136" customWidth="1"/>
    <col min="1031" max="1031" width="18.83203125" style="136" customWidth="1"/>
    <col min="1032" max="1032" width="3.33203125" style="136" customWidth="1"/>
    <col min="1033" max="1033" width="6.5" style="136" customWidth="1"/>
    <col min="1034" max="1035" width="4.75" style="136" customWidth="1"/>
    <col min="1036" max="1036" width="8" style="136" customWidth="1"/>
    <col min="1037" max="1037" width="10.25" style="136" customWidth="1"/>
    <col min="1038" max="1038" width="17.5" style="136" customWidth="1"/>
    <col min="1039" max="1039" width="5.83203125" style="136" customWidth="1"/>
    <col min="1040" max="1040" width="5.75" style="136" customWidth="1"/>
    <col min="1041" max="1041" width="5.58203125" style="136" customWidth="1"/>
    <col min="1042" max="1280" width="9" style="136"/>
    <col min="1281" max="1281" width="1.25" style="136" customWidth="1"/>
    <col min="1282" max="1282" width="17.25" style="136" customWidth="1"/>
    <col min="1283" max="1283" width="18.75" style="136" customWidth="1"/>
    <col min="1284" max="1284" width="3.33203125" style="136" customWidth="1"/>
    <col min="1285" max="1285" width="20.33203125" style="136" customWidth="1"/>
    <col min="1286" max="1286" width="3.33203125" style="136" customWidth="1"/>
    <col min="1287" max="1287" width="18.83203125" style="136" customWidth="1"/>
    <col min="1288" max="1288" width="3.33203125" style="136" customWidth="1"/>
    <col min="1289" max="1289" width="6.5" style="136" customWidth="1"/>
    <col min="1290" max="1291" width="4.75" style="136" customWidth="1"/>
    <col min="1292" max="1292" width="8" style="136" customWidth="1"/>
    <col min="1293" max="1293" width="10.25" style="136" customWidth="1"/>
    <col min="1294" max="1294" width="17.5" style="136" customWidth="1"/>
    <col min="1295" max="1295" width="5.83203125" style="136" customWidth="1"/>
    <col min="1296" max="1296" width="5.75" style="136" customWidth="1"/>
    <col min="1297" max="1297" width="5.58203125" style="136" customWidth="1"/>
    <col min="1298" max="1536" width="9" style="136"/>
    <col min="1537" max="1537" width="1.25" style="136" customWidth="1"/>
    <col min="1538" max="1538" width="17.25" style="136" customWidth="1"/>
    <col min="1539" max="1539" width="18.75" style="136" customWidth="1"/>
    <col min="1540" max="1540" width="3.33203125" style="136" customWidth="1"/>
    <col min="1541" max="1541" width="20.33203125" style="136" customWidth="1"/>
    <col min="1542" max="1542" width="3.33203125" style="136" customWidth="1"/>
    <col min="1543" max="1543" width="18.83203125" style="136" customWidth="1"/>
    <col min="1544" max="1544" width="3.33203125" style="136" customWidth="1"/>
    <col min="1545" max="1545" width="6.5" style="136" customWidth="1"/>
    <col min="1546" max="1547" width="4.75" style="136" customWidth="1"/>
    <col min="1548" max="1548" width="8" style="136" customWidth="1"/>
    <col min="1549" max="1549" width="10.25" style="136" customWidth="1"/>
    <col min="1550" max="1550" width="17.5" style="136" customWidth="1"/>
    <col min="1551" max="1551" width="5.83203125" style="136" customWidth="1"/>
    <col min="1552" max="1552" width="5.75" style="136" customWidth="1"/>
    <col min="1553" max="1553" width="5.58203125" style="136" customWidth="1"/>
    <col min="1554" max="1792" width="9" style="136"/>
    <col min="1793" max="1793" width="1.25" style="136" customWidth="1"/>
    <col min="1794" max="1794" width="17.25" style="136" customWidth="1"/>
    <col min="1795" max="1795" width="18.75" style="136" customWidth="1"/>
    <col min="1796" max="1796" width="3.33203125" style="136" customWidth="1"/>
    <col min="1797" max="1797" width="20.33203125" style="136" customWidth="1"/>
    <col min="1798" max="1798" width="3.33203125" style="136" customWidth="1"/>
    <col min="1799" max="1799" width="18.83203125" style="136" customWidth="1"/>
    <col min="1800" max="1800" width="3.33203125" style="136" customWidth="1"/>
    <col min="1801" max="1801" width="6.5" style="136" customWidth="1"/>
    <col min="1802" max="1803" width="4.75" style="136" customWidth="1"/>
    <col min="1804" max="1804" width="8" style="136" customWidth="1"/>
    <col min="1805" max="1805" width="10.25" style="136" customWidth="1"/>
    <col min="1806" max="1806" width="17.5" style="136" customWidth="1"/>
    <col min="1807" max="1807" width="5.83203125" style="136" customWidth="1"/>
    <col min="1808" max="1808" width="5.75" style="136" customWidth="1"/>
    <col min="1809" max="1809" width="5.58203125" style="136" customWidth="1"/>
    <col min="1810" max="2048" width="9" style="136"/>
    <col min="2049" max="2049" width="1.25" style="136" customWidth="1"/>
    <col min="2050" max="2050" width="17.25" style="136" customWidth="1"/>
    <col min="2051" max="2051" width="18.75" style="136" customWidth="1"/>
    <col min="2052" max="2052" width="3.33203125" style="136" customWidth="1"/>
    <col min="2053" max="2053" width="20.33203125" style="136" customWidth="1"/>
    <col min="2054" max="2054" width="3.33203125" style="136" customWidth="1"/>
    <col min="2055" max="2055" width="18.83203125" style="136" customWidth="1"/>
    <col min="2056" max="2056" width="3.33203125" style="136" customWidth="1"/>
    <col min="2057" max="2057" width="6.5" style="136" customWidth="1"/>
    <col min="2058" max="2059" width="4.75" style="136" customWidth="1"/>
    <col min="2060" max="2060" width="8" style="136" customWidth="1"/>
    <col min="2061" max="2061" width="10.25" style="136" customWidth="1"/>
    <col min="2062" max="2062" width="17.5" style="136" customWidth="1"/>
    <col min="2063" max="2063" width="5.83203125" style="136" customWidth="1"/>
    <col min="2064" max="2064" width="5.75" style="136" customWidth="1"/>
    <col min="2065" max="2065" width="5.58203125" style="136" customWidth="1"/>
    <col min="2066" max="2304" width="9" style="136"/>
    <col min="2305" max="2305" width="1.25" style="136" customWidth="1"/>
    <col min="2306" max="2306" width="17.25" style="136" customWidth="1"/>
    <col min="2307" max="2307" width="18.75" style="136" customWidth="1"/>
    <col min="2308" max="2308" width="3.33203125" style="136" customWidth="1"/>
    <col min="2309" max="2309" width="20.33203125" style="136" customWidth="1"/>
    <col min="2310" max="2310" width="3.33203125" style="136" customWidth="1"/>
    <col min="2311" max="2311" width="18.83203125" style="136" customWidth="1"/>
    <col min="2312" max="2312" width="3.33203125" style="136" customWidth="1"/>
    <col min="2313" max="2313" width="6.5" style="136" customWidth="1"/>
    <col min="2314" max="2315" width="4.75" style="136" customWidth="1"/>
    <col min="2316" max="2316" width="8" style="136" customWidth="1"/>
    <col min="2317" max="2317" width="10.25" style="136" customWidth="1"/>
    <col min="2318" max="2318" width="17.5" style="136" customWidth="1"/>
    <col min="2319" max="2319" width="5.83203125" style="136" customWidth="1"/>
    <col min="2320" max="2320" width="5.75" style="136" customWidth="1"/>
    <col min="2321" max="2321" width="5.58203125" style="136" customWidth="1"/>
    <col min="2322" max="2560" width="9" style="136"/>
    <col min="2561" max="2561" width="1.25" style="136" customWidth="1"/>
    <col min="2562" max="2562" width="17.25" style="136" customWidth="1"/>
    <col min="2563" max="2563" width="18.75" style="136" customWidth="1"/>
    <col min="2564" max="2564" width="3.33203125" style="136" customWidth="1"/>
    <col min="2565" max="2565" width="20.33203125" style="136" customWidth="1"/>
    <col min="2566" max="2566" width="3.33203125" style="136" customWidth="1"/>
    <col min="2567" max="2567" width="18.83203125" style="136" customWidth="1"/>
    <col min="2568" max="2568" width="3.33203125" style="136" customWidth="1"/>
    <col min="2569" max="2569" width="6.5" style="136" customWidth="1"/>
    <col min="2570" max="2571" width="4.75" style="136" customWidth="1"/>
    <col min="2572" max="2572" width="8" style="136" customWidth="1"/>
    <col min="2573" max="2573" width="10.25" style="136" customWidth="1"/>
    <col min="2574" max="2574" width="17.5" style="136" customWidth="1"/>
    <col min="2575" max="2575" width="5.83203125" style="136" customWidth="1"/>
    <col min="2576" max="2576" width="5.75" style="136" customWidth="1"/>
    <col min="2577" max="2577" width="5.58203125" style="136" customWidth="1"/>
    <col min="2578" max="2816" width="9" style="136"/>
    <col min="2817" max="2817" width="1.25" style="136" customWidth="1"/>
    <col min="2818" max="2818" width="17.25" style="136" customWidth="1"/>
    <col min="2819" max="2819" width="18.75" style="136" customWidth="1"/>
    <col min="2820" max="2820" width="3.33203125" style="136" customWidth="1"/>
    <col min="2821" max="2821" width="20.33203125" style="136" customWidth="1"/>
    <col min="2822" max="2822" width="3.33203125" style="136" customWidth="1"/>
    <col min="2823" max="2823" width="18.83203125" style="136" customWidth="1"/>
    <col min="2824" max="2824" width="3.33203125" style="136" customWidth="1"/>
    <col min="2825" max="2825" width="6.5" style="136" customWidth="1"/>
    <col min="2826" max="2827" width="4.75" style="136" customWidth="1"/>
    <col min="2828" max="2828" width="8" style="136" customWidth="1"/>
    <col min="2829" max="2829" width="10.25" style="136" customWidth="1"/>
    <col min="2830" max="2830" width="17.5" style="136" customWidth="1"/>
    <col min="2831" max="2831" width="5.83203125" style="136" customWidth="1"/>
    <col min="2832" max="2832" width="5.75" style="136" customWidth="1"/>
    <col min="2833" max="2833" width="5.58203125" style="136" customWidth="1"/>
    <col min="2834" max="3072" width="9" style="136"/>
    <col min="3073" max="3073" width="1.25" style="136" customWidth="1"/>
    <col min="3074" max="3074" width="17.25" style="136" customWidth="1"/>
    <col min="3075" max="3075" width="18.75" style="136" customWidth="1"/>
    <col min="3076" max="3076" width="3.33203125" style="136" customWidth="1"/>
    <col min="3077" max="3077" width="20.33203125" style="136" customWidth="1"/>
    <col min="3078" max="3078" width="3.33203125" style="136" customWidth="1"/>
    <col min="3079" max="3079" width="18.83203125" style="136" customWidth="1"/>
    <col min="3080" max="3080" width="3.33203125" style="136" customWidth="1"/>
    <col min="3081" max="3081" width="6.5" style="136" customWidth="1"/>
    <col min="3082" max="3083" width="4.75" style="136" customWidth="1"/>
    <col min="3084" max="3084" width="8" style="136" customWidth="1"/>
    <col min="3085" max="3085" width="10.25" style="136" customWidth="1"/>
    <col min="3086" max="3086" width="17.5" style="136" customWidth="1"/>
    <col min="3087" max="3087" width="5.83203125" style="136" customWidth="1"/>
    <col min="3088" max="3088" width="5.75" style="136" customWidth="1"/>
    <col min="3089" max="3089" width="5.58203125" style="136" customWidth="1"/>
    <col min="3090" max="3328" width="9" style="136"/>
    <col min="3329" max="3329" width="1.25" style="136" customWidth="1"/>
    <col min="3330" max="3330" width="17.25" style="136" customWidth="1"/>
    <col min="3331" max="3331" width="18.75" style="136" customWidth="1"/>
    <col min="3332" max="3332" width="3.33203125" style="136" customWidth="1"/>
    <col min="3333" max="3333" width="20.33203125" style="136" customWidth="1"/>
    <col min="3334" max="3334" width="3.33203125" style="136" customWidth="1"/>
    <col min="3335" max="3335" width="18.83203125" style="136" customWidth="1"/>
    <col min="3336" max="3336" width="3.33203125" style="136" customWidth="1"/>
    <col min="3337" max="3337" width="6.5" style="136" customWidth="1"/>
    <col min="3338" max="3339" width="4.75" style="136" customWidth="1"/>
    <col min="3340" max="3340" width="8" style="136" customWidth="1"/>
    <col min="3341" max="3341" width="10.25" style="136" customWidth="1"/>
    <col min="3342" max="3342" width="17.5" style="136" customWidth="1"/>
    <col min="3343" max="3343" width="5.83203125" style="136" customWidth="1"/>
    <col min="3344" max="3344" width="5.75" style="136" customWidth="1"/>
    <col min="3345" max="3345" width="5.58203125" style="136" customWidth="1"/>
    <col min="3346" max="3584" width="9" style="136"/>
    <col min="3585" max="3585" width="1.25" style="136" customWidth="1"/>
    <col min="3586" max="3586" width="17.25" style="136" customWidth="1"/>
    <col min="3587" max="3587" width="18.75" style="136" customWidth="1"/>
    <col min="3588" max="3588" width="3.33203125" style="136" customWidth="1"/>
    <col min="3589" max="3589" width="20.33203125" style="136" customWidth="1"/>
    <col min="3590" max="3590" width="3.33203125" style="136" customWidth="1"/>
    <col min="3591" max="3591" width="18.83203125" style="136" customWidth="1"/>
    <col min="3592" max="3592" width="3.33203125" style="136" customWidth="1"/>
    <col min="3593" max="3593" width="6.5" style="136" customWidth="1"/>
    <col min="3594" max="3595" width="4.75" style="136" customWidth="1"/>
    <col min="3596" max="3596" width="8" style="136" customWidth="1"/>
    <col min="3597" max="3597" width="10.25" style="136" customWidth="1"/>
    <col min="3598" max="3598" width="17.5" style="136" customWidth="1"/>
    <col min="3599" max="3599" width="5.83203125" style="136" customWidth="1"/>
    <col min="3600" max="3600" width="5.75" style="136" customWidth="1"/>
    <col min="3601" max="3601" width="5.58203125" style="136" customWidth="1"/>
    <col min="3602" max="3840" width="9" style="136"/>
    <col min="3841" max="3841" width="1.25" style="136" customWidth="1"/>
    <col min="3842" max="3842" width="17.25" style="136" customWidth="1"/>
    <col min="3843" max="3843" width="18.75" style="136" customWidth="1"/>
    <col min="3844" max="3844" width="3.33203125" style="136" customWidth="1"/>
    <col min="3845" max="3845" width="20.33203125" style="136" customWidth="1"/>
    <col min="3846" max="3846" width="3.33203125" style="136" customWidth="1"/>
    <col min="3847" max="3847" width="18.83203125" style="136" customWidth="1"/>
    <col min="3848" max="3848" width="3.33203125" style="136" customWidth="1"/>
    <col min="3849" max="3849" width="6.5" style="136" customWidth="1"/>
    <col min="3850" max="3851" width="4.75" style="136" customWidth="1"/>
    <col min="3852" max="3852" width="8" style="136" customWidth="1"/>
    <col min="3853" max="3853" width="10.25" style="136" customWidth="1"/>
    <col min="3854" max="3854" width="17.5" style="136" customWidth="1"/>
    <col min="3855" max="3855" width="5.83203125" style="136" customWidth="1"/>
    <col min="3856" max="3856" width="5.75" style="136" customWidth="1"/>
    <col min="3857" max="3857" width="5.58203125" style="136" customWidth="1"/>
    <col min="3858" max="4096" width="9" style="136"/>
    <col min="4097" max="4097" width="1.25" style="136" customWidth="1"/>
    <col min="4098" max="4098" width="17.25" style="136" customWidth="1"/>
    <col min="4099" max="4099" width="18.75" style="136" customWidth="1"/>
    <col min="4100" max="4100" width="3.33203125" style="136" customWidth="1"/>
    <col min="4101" max="4101" width="20.33203125" style="136" customWidth="1"/>
    <col min="4102" max="4102" width="3.33203125" style="136" customWidth="1"/>
    <col min="4103" max="4103" width="18.83203125" style="136" customWidth="1"/>
    <col min="4104" max="4104" width="3.33203125" style="136" customWidth="1"/>
    <col min="4105" max="4105" width="6.5" style="136" customWidth="1"/>
    <col min="4106" max="4107" width="4.75" style="136" customWidth="1"/>
    <col min="4108" max="4108" width="8" style="136" customWidth="1"/>
    <col min="4109" max="4109" width="10.25" style="136" customWidth="1"/>
    <col min="4110" max="4110" width="17.5" style="136" customWidth="1"/>
    <col min="4111" max="4111" width="5.83203125" style="136" customWidth="1"/>
    <col min="4112" max="4112" width="5.75" style="136" customWidth="1"/>
    <col min="4113" max="4113" width="5.58203125" style="136" customWidth="1"/>
    <col min="4114" max="4352" width="9" style="136"/>
    <col min="4353" max="4353" width="1.25" style="136" customWidth="1"/>
    <col min="4354" max="4354" width="17.25" style="136" customWidth="1"/>
    <col min="4355" max="4355" width="18.75" style="136" customWidth="1"/>
    <col min="4356" max="4356" width="3.33203125" style="136" customWidth="1"/>
    <col min="4357" max="4357" width="20.33203125" style="136" customWidth="1"/>
    <col min="4358" max="4358" width="3.33203125" style="136" customWidth="1"/>
    <col min="4359" max="4359" width="18.83203125" style="136" customWidth="1"/>
    <col min="4360" max="4360" width="3.33203125" style="136" customWidth="1"/>
    <col min="4361" max="4361" width="6.5" style="136" customWidth="1"/>
    <col min="4362" max="4363" width="4.75" style="136" customWidth="1"/>
    <col min="4364" max="4364" width="8" style="136" customWidth="1"/>
    <col min="4365" max="4365" width="10.25" style="136" customWidth="1"/>
    <col min="4366" max="4366" width="17.5" style="136" customWidth="1"/>
    <col min="4367" max="4367" width="5.83203125" style="136" customWidth="1"/>
    <col min="4368" max="4368" width="5.75" style="136" customWidth="1"/>
    <col min="4369" max="4369" width="5.58203125" style="136" customWidth="1"/>
    <col min="4370" max="4608" width="9" style="136"/>
    <col min="4609" max="4609" width="1.25" style="136" customWidth="1"/>
    <col min="4610" max="4610" width="17.25" style="136" customWidth="1"/>
    <col min="4611" max="4611" width="18.75" style="136" customWidth="1"/>
    <col min="4612" max="4612" width="3.33203125" style="136" customWidth="1"/>
    <col min="4613" max="4613" width="20.33203125" style="136" customWidth="1"/>
    <col min="4614" max="4614" width="3.33203125" style="136" customWidth="1"/>
    <col min="4615" max="4615" width="18.83203125" style="136" customWidth="1"/>
    <col min="4616" max="4616" width="3.33203125" style="136" customWidth="1"/>
    <col min="4617" max="4617" width="6.5" style="136" customWidth="1"/>
    <col min="4618" max="4619" width="4.75" style="136" customWidth="1"/>
    <col min="4620" max="4620" width="8" style="136" customWidth="1"/>
    <col min="4621" max="4621" width="10.25" style="136" customWidth="1"/>
    <col min="4622" max="4622" width="17.5" style="136" customWidth="1"/>
    <col min="4623" max="4623" width="5.83203125" style="136" customWidth="1"/>
    <col min="4624" max="4624" width="5.75" style="136" customWidth="1"/>
    <col min="4625" max="4625" width="5.58203125" style="136" customWidth="1"/>
    <col min="4626" max="4864" width="9" style="136"/>
    <col min="4865" max="4865" width="1.25" style="136" customWidth="1"/>
    <col min="4866" max="4866" width="17.25" style="136" customWidth="1"/>
    <col min="4867" max="4867" width="18.75" style="136" customWidth="1"/>
    <col min="4868" max="4868" width="3.33203125" style="136" customWidth="1"/>
    <col min="4869" max="4869" width="20.33203125" style="136" customWidth="1"/>
    <col min="4870" max="4870" width="3.33203125" style="136" customWidth="1"/>
    <col min="4871" max="4871" width="18.83203125" style="136" customWidth="1"/>
    <col min="4872" max="4872" width="3.33203125" style="136" customWidth="1"/>
    <col min="4873" max="4873" width="6.5" style="136" customWidth="1"/>
    <col min="4874" max="4875" width="4.75" style="136" customWidth="1"/>
    <col min="4876" max="4876" width="8" style="136" customWidth="1"/>
    <col min="4877" max="4877" width="10.25" style="136" customWidth="1"/>
    <col min="4878" max="4878" width="17.5" style="136" customWidth="1"/>
    <col min="4879" max="4879" width="5.83203125" style="136" customWidth="1"/>
    <col min="4880" max="4880" width="5.75" style="136" customWidth="1"/>
    <col min="4881" max="4881" width="5.58203125" style="136" customWidth="1"/>
    <col min="4882" max="5120" width="9" style="136"/>
    <col min="5121" max="5121" width="1.25" style="136" customWidth="1"/>
    <col min="5122" max="5122" width="17.25" style="136" customWidth="1"/>
    <col min="5123" max="5123" width="18.75" style="136" customWidth="1"/>
    <col min="5124" max="5124" width="3.33203125" style="136" customWidth="1"/>
    <col min="5125" max="5125" width="20.33203125" style="136" customWidth="1"/>
    <col min="5126" max="5126" width="3.33203125" style="136" customWidth="1"/>
    <col min="5127" max="5127" width="18.83203125" style="136" customWidth="1"/>
    <col min="5128" max="5128" width="3.33203125" style="136" customWidth="1"/>
    <col min="5129" max="5129" width="6.5" style="136" customWidth="1"/>
    <col min="5130" max="5131" width="4.75" style="136" customWidth="1"/>
    <col min="5132" max="5132" width="8" style="136" customWidth="1"/>
    <col min="5133" max="5133" width="10.25" style="136" customWidth="1"/>
    <col min="5134" max="5134" width="17.5" style="136" customWidth="1"/>
    <col min="5135" max="5135" width="5.83203125" style="136" customWidth="1"/>
    <col min="5136" max="5136" width="5.75" style="136" customWidth="1"/>
    <col min="5137" max="5137" width="5.58203125" style="136" customWidth="1"/>
    <col min="5138" max="5376" width="9" style="136"/>
    <col min="5377" max="5377" width="1.25" style="136" customWidth="1"/>
    <col min="5378" max="5378" width="17.25" style="136" customWidth="1"/>
    <col min="5379" max="5379" width="18.75" style="136" customWidth="1"/>
    <col min="5380" max="5380" width="3.33203125" style="136" customWidth="1"/>
    <col min="5381" max="5381" width="20.33203125" style="136" customWidth="1"/>
    <col min="5382" max="5382" width="3.33203125" style="136" customWidth="1"/>
    <col min="5383" max="5383" width="18.83203125" style="136" customWidth="1"/>
    <col min="5384" max="5384" width="3.33203125" style="136" customWidth="1"/>
    <col min="5385" max="5385" width="6.5" style="136" customWidth="1"/>
    <col min="5386" max="5387" width="4.75" style="136" customWidth="1"/>
    <col min="5388" max="5388" width="8" style="136" customWidth="1"/>
    <col min="5389" max="5389" width="10.25" style="136" customWidth="1"/>
    <col min="5390" max="5390" width="17.5" style="136" customWidth="1"/>
    <col min="5391" max="5391" width="5.83203125" style="136" customWidth="1"/>
    <col min="5392" max="5392" width="5.75" style="136" customWidth="1"/>
    <col min="5393" max="5393" width="5.58203125" style="136" customWidth="1"/>
    <col min="5394" max="5632" width="9" style="136"/>
    <col min="5633" max="5633" width="1.25" style="136" customWidth="1"/>
    <col min="5634" max="5634" width="17.25" style="136" customWidth="1"/>
    <col min="5635" max="5635" width="18.75" style="136" customWidth="1"/>
    <col min="5636" max="5636" width="3.33203125" style="136" customWidth="1"/>
    <col min="5637" max="5637" width="20.33203125" style="136" customWidth="1"/>
    <col min="5638" max="5638" width="3.33203125" style="136" customWidth="1"/>
    <col min="5639" max="5639" width="18.83203125" style="136" customWidth="1"/>
    <col min="5640" max="5640" width="3.33203125" style="136" customWidth="1"/>
    <col min="5641" max="5641" width="6.5" style="136" customWidth="1"/>
    <col min="5642" max="5643" width="4.75" style="136" customWidth="1"/>
    <col min="5644" max="5644" width="8" style="136" customWidth="1"/>
    <col min="5645" max="5645" width="10.25" style="136" customWidth="1"/>
    <col min="5646" max="5646" width="17.5" style="136" customWidth="1"/>
    <col min="5647" max="5647" width="5.83203125" style="136" customWidth="1"/>
    <col min="5648" max="5648" width="5.75" style="136" customWidth="1"/>
    <col min="5649" max="5649" width="5.58203125" style="136" customWidth="1"/>
    <col min="5650" max="5888" width="9" style="136"/>
    <col min="5889" max="5889" width="1.25" style="136" customWidth="1"/>
    <col min="5890" max="5890" width="17.25" style="136" customWidth="1"/>
    <col min="5891" max="5891" width="18.75" style="136" customWidth="1"/>
    <col min="5892" max="5892" width="3.33203125" style="136" customWidth="1"/>
    <col min="5893" max="5893" width="20.33203125" style="136" customWidth="1"/>
    <col min="5894" max="5894" width="3.33203125" style="136" customWidth="1"/>
    <col min="5895" max="5895" width="18.83203125" style="136" customWidth="1"/>
    <col min="5896" max="5896" width="3.33203125" style="136" customWidth="1"/>
    <col min="5897" max="5897" width="6.5" style="136" customWidth="1"/>
    <col min="5898" max="5899" width="4.75" style="136" customWidth="1"/>
    <col min="5900" max="5900" width="8" style="136" customWidth="1"/>
    <col min="5901" max="5901" width="10.25" style="136" customWidth="1"/>
    <col min="5902" max="5902" width="17.5" style="136" customWidth="1"/>
    <col min="5903" max="5903" width="5.83203125" style="136" customWidth="1"/>
    <col min="5904" max="5904" width="5.75" style="136" customWidth="1"/>
    <col min="5905" max="5905" width="5.58203125" style="136" customWidth="1"/>
    <col min="5906" max="6144" width="9" style="136"/>
    <col min="6145" max="6145" width="1.25" style="136" customWidth="1"/>
    <col min="6146" max="6146" width="17.25" style="136" customWidth="1"/>
    <col min="6147" max="6147" width="18.75" style="136" customWidth="1"/>
    <col min="6148" max="6148" width="3.33203125" style="136" customWidth="1"/>
    <col min="6149" max="6149" width="20.33203125" style="136" customWidth="1"/>
    <col min="6150" max="6150" width="3.33203125" style="136" customWidth="1"/>
    <col min="6151" max="6151" width="18.83203125" style="136" customWidth="1"/>
    <col min="6152" max="6152" width="3.33203125" style="136" customWidth="1"/>
    <col min="6153" max="6153" width="6.5" style="136" customWidth="1"/>
    <col min="6154" max="6155" width="4.75" style="136" customWidth="1"/>
    <col min="6156" max="6156" width="8" style="136" customWidth="1"/>
    <col min="6157" max="6157" width="10.25" style="136" customWidth="1"/>
    <col min="6158" max="6158" width="17.5" style="136" customWidth="1"/>
    <col min="6159" max="6159" width="5.83203125" style="136" customWidth="1"/>
    <col min="6160" max="6160" width="5.75" style="136" customWidth="1"/>
    <col min="6161" max="6161" width="5.58203125" style="136" customWidth="1"/>
    <col min="6162" max="6400" width="9" style="136"/>
    <col min="6401" max="6401" width="1.25" style="136" customWidth="1"/>
    <col min="6402" max="6402" width="17.25" style="136" customWidth="1"/>
    <col min="6403" max="6403" width="18.75" style="136" customWidth="1"/>
    <col min="6404" max="6404" width="3.33203125" style="136" customWidth="1"/>
    <col min="6405" max="6405" width="20.33203125" style="136" customWidth="1"/>
    <col min="6406" max="6406" width="3.33203125" style="136" customWidth="1"/>
    <col min="6407" max="6407" width="18.83203125" style="136" customWidth="1"/>
    <col min="6408" max="6408" width="3.33203125" style="136" customWidth="1"/>
    <col min="6409" max="6409" width="6.5" style="136" customWidth="1"/>
    <col min="6410" max="6411" width="4.75" style="136" customWidth="1"/>
    <col min="6412" max="6412" width="8" style="136" customWidth="1"/>
    <col min="6413" max="6413" width="10.25" style="136" customWidth="1"/>
    <col min="6414" max="6414" width="17.5" style="136" customWidth="1"/>
    <col min="6415" max="6415" width="5.83203125" style="136" customWidth="1"/>
    <col min="6416" max="6416" width="5.75" style="136" customWidth="1"/>
    <col min="6417" max="6417" width="5.58203125" style="136" customWidth="1"/>
    <col min="6418" max="6656" width="9" style="136"/>
    <col min="6657" max="6657" width="1.25" style="136" customWidth="1"/>
    <col min="6658" max="6658" width="17.25" style="136" customWidth="1"/>
    <col min="6659" max="6659" width="18.75" style="136" customWidth="1"/>
    <col min="6660" max="6660" width="3.33203125" style="136" customWidth="1"/>
    <col min="6661" max="6661" width="20.33203125" style="136" customWidth="1"/>
    <col min="6662" max="6662" width="3.33203125" style="136" customWidth="1"/>
    <col min="6663" max="6663" width="18.83203125" style="136" customWidth="1"/>
    <col min="6664" max="6664" width="3.33203125" style="136" customWidth="1"/>
    <col min="6665" max="6665" width="6.5" style="136" customWidth="1"/>
    <col min="6666" max="6667" width="4.75" style="136" customWidth="1"/>
    <col min="6668" max="6668" width="8" style="136" customWidth="1"/>
    <col min="6669" max="6669" width="10.25" style="136" customWidth="1"/>
    <col min="6670" max="6670" width="17.5" style="136" customWidth="1"/>
    <col min="6671" max="6671" width="5.83203125" style="136" customWidth="1"/>
    <col min="6672" max="6672" width="5.75" style="136" customWidth="1"/>
    <col min="6673" max="6673" width="5.58203125" style="136" customWidth="1"/>
    <col min="6674" max="6912" width="9" style="136"/>
    <col min="6913" max="6913" width="1.25" style="136" customWidth="1"/>
    <col min="6914" max="6914" width="17.25" style="136" customWidth="1"/>
    <col min="6915" max="6915" width="18.75" style="136" customWidth="1"/>
    <col min="6916" max="6916" width="3.33203125" style="136" customWidth="1"/>
    <col min="6917" max="6917" width="20.33203125" style="136" customWidth="1"/>
    <col min="6918" max="6918" width="3.33203125" style="136" customWidth="1"/>
    <col min="6919" max="6919" width="18.83203125" style="136" customWidth="1"/>
    <col min="6920" max="6920" width="3.33203125" style="136" customWidth="1"/>
    <col min="6921" max="6921" width="6.5" style="136" customWidth="1"/>
    <col min="6922" max="6923" width="4.75" style="136" customWidth="1"/>
    <col min="6924" max="6924" width="8" style="136" customWidth="1"/>
    <col min="6925" max="6925" width="10.25" style="136" customWidth="1"/>
    <col min="6926" max="6926" width="17.5" style="136" customWidth="1"/>
    <col min="6927" max="6927" width="5.83203125" style="136" customWidth="1"/>
    <col min="6928" max="6928" width="5.75" style="136" customWidth="1"/>
    <col min="6929" max="6929" width="5.58203125" style="136" customWidth="1"/>
    <col min="6930" max="7168" width="9" style="136"/>
    <col min="7169" max="7169" width="1.25" style="136" customWidth="1"/>
    <col min="7170" max="7170" width="17.25" style="136" customWidth="1"/>
    <col min="7171" max="7171" width="18.75" style="136" customWidth="1"/>
    <col min="7172" max="7172" width="3.33203125" style="136" customWidth="1"/>
    <col min="7173" max="7173" width="20.33203125" style="136" customWidth="1"/>
    <col min="7174" max="7174" width="3.33203125" style="136" customWidth="1"/>
    <col min="7175" max="7175" width="18.83203125" style="136" customWidth="1"/>
    <col min="7176" max="7176" width="3.33203125" style="136" customWidth="1"/>
    <col min="7177" max="7177" width="6.5" style="136" customWidth="1"/>
    <col min="7178" max="7179" width="4.75" style="136" customWidth="1"/>
    <col min="7180" max="7180" width="8" style="136" customWidth="1"/>
    <col min="7181" max="7181" width="10.25" style="136" customWidth="1"/>
    <col min="7182" max="7182" width="17.5" style="136" customWidth="1"/>
    <col min="7183" max="7183" width="5.83203125" style="136" customWidth="1"/>
    <col min="7184" max="7184" width="5.75" style="136" customWidth="1"/>
    <col min="7185" max="7185" width="5.58203125" style="136" customWidth="1"/>
    <col min="7186" max="7424" width="9" style="136"/>
    <col min="7425" max="7425" width="1.25" style="136" customWidth="1"/>
    <col min="7426" max="7426" width="17.25" style="136" customWidth="1"/>
    <col min="7427" max="7427" width="18.75" style="136" customWidth="1"/>
    <col min="7428" max="7428" width="3.33203125" style="136" customWidth="1"/>
    <col min="7429" max="7429" width="20.33203125" style="136" customWidth="1"/>
    <col min="7430" max="7430" width="3.33203125" style="136" customWidth="1"/>
    <col min="7431" max="7431" width="18.83203125" style="136" customWidth="1"/>
    <col min="7432" max="7432" width="3.33203125" style="136" customWidth="1"/>
    <col min="7433" max="7433" width="6.5" style="136" customWidth="1"/>
    <col min="7434" max="7435" width="4.75" style="136" customWidth="1"/>
    <col min="7436" max="7436" width="8" style="136" customWidth="1"/>
    <col min="7437" max="7437" width="10.25" style="136" customWidth="1"/>
    <col min="7438" max="7438" width="17.5" style="136" customWidth="1"/>
    <col min="7439" max="7439" width="5.83203125" style="136" customWidth="1"/>
    <col min="7440" max="7440" width="5.75" style="136" customWidth="1"/>
    <col min="7441" max="7441" width="5.58203125" style="136" customWidth="1"/>
    <col min="7442" max="7680" width="9" style="136"/>
    <col min="7681" max="7681" width="1.25" style="136" customWidth="1"/>
    <col min="7682" max="7682" width="17.25" style="136" customWidth="1"/>
    <col min="7683" max="7683" width="18.75" style="136" customWidth="1"/>
    <col min="7684" max="7684" width="3.33203125" style="136" customWidth="1"/>
    <col min="7685" max="7685" width="20.33203125" style="136" customWidth="1"/>
    <col min="7686" max="7686" width="3.33203125" style="136" customWidth="1"/>
    <col min="7687" max="7687" width="18.83203125" style="136" customWidth="1"/>
    <col min="7688" max="7688" width="3.33203125" style="136" customWidth="1"/>
    <col min="7689" max="7689" width="6.5" style="136" customWidth="1"/>
    <col min="7690" max="7691" width="4.75" style="136" customWidth="1"/>
    <col min="7692" max="7692" width="8" style="136" customWidth="1"/>
    <col min="7693" max="7693" width="10.25" style="136" customWidth="1"/>
    <col min="7694" max="7694" width="17.5" style="136" customWidth="1"/>
    <col min="7695" max="7695" width="5.83203125" style="136" customWidth="1"/>
    <col min="7696" max="7696" width="5.75" style="136" customWidth="1"/>
    <col min="7697" max="7697" width="5.58203125" style="136" customWidth="1"/>
    <col min="7698" max="7936" width="9" style="136"/>
    <col min="7937" max="7937" width="1.25" style="136" customWidth="1"/>
    <col min="7938" max="7938" width="17.25" style="136" customWidth="1"/>
    <col min="7939" max="7939" width="18.75" style="136" customWidth="1"/>
    <col min="7940" max="7940" width="3.33203125" style="136" customWidth="1"/>
    <col min="7941" max="7941" width="20.33203125" style="136" customWidth="1"/>
    <col min="7942" max="7942" width="3.33203125" style="136" customWidth="1"/>
    <col min="7943" max="7943" width="18.83203125" style="136" customWidth="1"/>
    <col min="7944" max="7944" width="3.33203125" style="136" customWidth="1"/>
    <col min="7945" max="7945" width="6.5" style="136" customWidth="1"/>
    <col min="7946" max="7947" width="4.75" style="136" customWidth="1"/>
    <col min="7948" max="7948" width="8" style="136" customWidth="1"/>
    <col min="7949" max="7949" width="10.25" style="136" customWidth="1"/>
    <col min="7950" max="7950" width="17.5" style="136" customWidth="1"/>
    <col min="7951" max="7951" width="5.83203125" style="136" customWidth="1"/>
    <col min="7952" max="7952" width="5.75" style="136" customWidth="1"/>
    <col min="7953" max="7953" width="5.58203125" style="136" customWidth="1"/>
    <col min="7954" max="8192" width="9" style="136"/>
    <col min="8193" max="8193" width="1.25" style="136" customWidth="1"/>
    <col min="8194" max="8194" width="17.25" style="136" customWidth="1"/>
    <col min="8195" max="8195" width="18.75" style="136" customWidth="1"/>
    <col min="8196" max="8196" width="3.33203125" style="136" customWidth="1"/>
    <col min="8197" max="8197" width="20.33203125" style="136" customWidth="1"/>
    <col min="8198" max="8198" width="3.33203125" style="136" customWidth="1"/>
    <col min="8199" max="8199" width="18.83203125" style="136" customWidth="1"/>
    <col min="8200" max="8200" width="3.33203125" style="136" customWidth="1"/>
    <col min="8201" max="8201" width="6.5" style="136" customWidth="1"/>
    <col min="8202" max="8203" width="4.75" style="136" customWidth="1"/>
    <col min="8204" max="8204" width="8" style="136" customWidth="1"/>
    <col min="8205" max="8205" width="10.25" style="136" customWidth="1"/>
    <col min="8206" max="8206" width="17.5" style="136" customWidth="1"/>
    <col min="8207" max="8207" width="5.83203125" style="136" customWidth="1"/>
    <col min="8208" max="8208" width="5.75" style="136" customWidth="1"/>
    <col min="8209" max="8209" width="5.58203125" style="136" customWidth="1"/>
    <col min="8210" max="8448" width="9" style="136"/>
    <col min="8449" max="8449" width="1.25" style="136" customWidth="1"/>
    <col min="8450" max="8450" width="17.25" style="136" customWidth="1"/>
    <col min="8451" max="8451" width="18.75" style="136" customWidth="1"/>
    <col min="8452" max="8452" width="3.33203125" style="136" customWidth="1"/>
    <col min="8453" max="8453" width="20.33203125" style="136" customWidth="1"/>
    <col min="8454" max="8454" width="3.33203125" style="136" customWidth="1"/>
    <col min="8455" max="8455" width="18.83203125" style="136" customWidth="1"/>
    <col min="8456" max="8456" width="3.33203125" style="136" customWidth="1"/>
    <col min="8457" max="8457" width="6.5" style="136" customWidth="1"/>
    <col min="8458" max="8459" width="4.75" style="136" customWidth="1"/>
    <col min="8460" max="8460" width="8" style="136" customWidth="1"/>
    <col min="8461" max="8461" width="10.25" style="136" customWidth="1"/>
    <col min="8462" max="8462" width="17.5" style="136" customWidth="1"/>
    <col min="8463" max="8463" width="5.83203125" style="136" customWidth="1"/>
    <col min="8464" max="8464" width="5.75" style="136" customWidth="1"/>
    <col min="8465" max="8465" width="5.58203125" style="136" customWidth="1"/>
    <col min="8466" max="8704" width="9" style="136"/>
    <col min="8705" max="8705" width="1.25" style="136" customWidth="1"/>
    <col min="8706" max="8706" width="17.25" style="136" customWidth="1"/>
    <col min="8707" max="8707" width="18.75" style="136" customWidth="1"/>
    <col min="8708" max="8708" width="3.33203125" style="136" customWidth="1"/>
    <col min="8709" max="8709" width="20.33203125" style="136" customWidth="1"/>
    <col min="8710" max="8710" width="3.33203125" style="136" customWidth="1"/>
    <col min="8711" max="8711" width="18.83203125" style="136" customWidth="1"/>
    <col min="8712" max="8712" width="3.33203125" style="136" customWidth="1"/>
    <col min="8713" max="8713" width="6.5" style="136" customWidth="1"/>
    <col min="8714" max="8715" width="4.75" style="136" customWidth="1"/>
    <col min="8716" max="8716" width="8" style="136" customWidth="1"/>
    <col min="8717" max="8717" width="10.25" style="136" customWidth="1"/>
    <col min="8718" max="8718" width="17.5" style="136" customWidth="1"/>
    <col min="8719" max="8719" width="5.83203125" style="136" customWidth="1"/>
    <col min="8720" max="8720" width="5.75" style="136" customWidth="1"/>
    <col min="8721" max="8721" width="5.58203125" style="136" customWidth="1"/>
    <col min="8722" max="8960" width="9" style="136"/>
    <col min="8961" max="8961" width="1.25" style="136" customWidth="1"/>
    <col min="8962" max="8962" width="17.25" style="136" customWidth="1"/>
    <col min="8963" max="8963" width="18.75" style="136" customWidth="1"/>
    <col min="8964" max="8964" width="3.33203125" style="136" customWidth="1"/>
    <col min="8965" max="8965" width="20.33203125" style="136" customWidth="1"/>
    <col min="8966" max="8966" width="3.33203125" style="136" customWidth="1"/>
    <col min="8967" max="8967" width="18.83203125" style="136" customWidth="1"/>
    <col min="8968" max="8968" width="3.33203125" style="136" customWidth="1"/>
    <col min="8969" max="8969" width="6.5" style="136" customWidth="1"/>
    <col min="8970" max="8971" width="4.75" style="136" customWidth="1"/>
    <col min="8972" max="8972" width="8" style="136" customWidth="1"/>
    <col min="8973" max="8973" width="10.25" style="136" customWidth="1"/>
    <col min="8974" max="8974" width="17.5" style="136" customWidth="1"/>
    <col min="8975" max="8975" width="5.83203125" style="136" customWidth="1"/>
    <col min="8976" max="8976" width="5.75" style="136" customWidth="1"/>
    <col min="8977" max="8977" width="5.58203125" style="136" customWidth="1"/>
    <col min="8978" max="9216" width="9" style="136"/>
    <col min="9217" max="9217" width="1.25" style="136" customWidth="1"/>
    <col min="9218" max="9218" width="17.25" style="136" customWidth="1"/>
    <col min="9219" max="9219" width="18.75" style="136" customWidth="1"/>
    <col min="9220" max="9220" width="3.33203125" style="136" customWidth="1"/>
    <col min="9221" max="9221" width="20.33203125" style="136" customWidth="1"/>
    <col min="9222" max="9222" width="3.33203125" style="136" customWidth="1"/>
    <col min="9223" max="9223" width="18.83203125" style="136" customWidth="1"/>
    <col min="9224" max="9224" width="3.33203125" style="136" customWidth="1"/>
    <col min="9225" max="9225" width="6.5" style="136" customWidth="1"/>
    <col min="9226" max="9227" width="4.75" style="136" customWidth="1"/>
    <col min="9228" max="9228" width="8" style="136" customWidth="1"/>
    <col min="9229" max="9229" width="10.25" style="136" customWidth="1"/>
    <col min="9230" max="9230" width="17.5" style="136" customWidth="1"/>
    <col min="9231" max="9231" width="5.83203125" style="136" customWidth="1"/>
    <col min="9232" max="9232" width="5.75" style="136" customWidth="1"/>
    <col min="9233" max="9233" width="5.58203125" style="136" customWidth="1"/>
    <col min="9234" max="9472" width="9" style="136"/>
    <col min="9473" max="9473" width="1.25" style="136" customWidth="1"/>
    <col min="9474" max="9474" width="17.25" style="136" customWidth="1"/>
    <col min="9475" max="9475" width="18.75" style="136" customWidth="1"/>
    <col min="9476" max="9476" width="3.33203125" style="136" customWidth="1"/>
    <col min="9477" max="9477" width="20.33203125" style="136" customWidth="1"/>
    <col min="9478" max="9478" width="3.33203125" style="136" customWidth="1"/>
    <col min="9479" max="9479" width="18.83203125" style="136" customWidth="1"/>
    <col min="9480" max="9480" width="3.33203125" style="136" customWidth="1"/>
    <col min="9481" max="9481" width="6.5" style="136" customWidth="1"/>
    <col min="9482" max="9483" width="4.75" style="136" customWidth="1"/>
    <col min="9484" max="9484" width="8" style="136" customWidth="1"/>
    <col min="9485" max="9485" width="10.25" style="136" customWidth="1"/>
    <col min="9486" max="9486" width="17.5" style="136" customWidth="1"/>
    <col min="9487" max="9487" width="5.83203125" style="136" customWidth="1"/>
    <col min="9488" max="9488" width="5.75" style="136" customWidth="1"/>
    <col min="9489" max="9489" width="5.58203125" style="136" customWidth="1"/>
    <col min="9490" max="9728" width="9" style="136"/>
    <col min="9729" max="9729" width="1.25" style="136" customWidth="1"/>
    <col min="9730" max="9730" width="17.25" style="136" customWidth="1"/>
    <col min="9731" max="9731" width="18.75" style="136" customWidth="1"/>
    <col min="9732" max="9732" width="3.33203125" style="136" customWidth="1"/>
    <col min="9733" max="9733" width="20.33203125" style="136" customWidth="1"/>
    <col min="9734" max="9734" width="3.33203125" style="136" customWidth="1"/>
    <col min="9735" max="9735" width="18.83203125" style="136" customWidth="1"/>
    <col min="9736" max="9736" width="3.33203125" style="136" customWidth="1"/>
    <col min="9737" max="9737" width="6.5" style="136" customWidth="1"/>
    <col min="9738" max="9739" width="4.75" style="136" customWidth="1"/>
    <col min="9740" max="9740" width="8" style="136" customWidth="1"/>
    <col min="9741" max="9741" width="10.25" style="136" customWidth="1"/>
    <col min="9742" max="9742" width="17.5" style="136" customWidth="1"/>
    <col min="9743" max="9743" width="5.83203125" style="136" customWidth="1"/>
    <col min="9744" max="9744" width="5.75" style="136" customWidth="1"/>
    <col min="9745" max="9745" width="5.58203125" style="136" customWidth="1"/>
    <col min="9746" max="9984" width="9" style="136"/>
    <col min="9985" max="9985" width="1.25" style="136" customWidth="1"/>
    <col min="9986" max="9986" width="17.25" style="136" customWidth="1"/>
    <col min="9987" max="9987" width="18.75" style="136" customWidth="1"/>
    <col min="9988" max="9988" width="3.33203125" style="136" customWidth="1"/>
    <col min="9989" max="9989" width="20.33203125" style="136" customWidth="1"/>
    <col min="9990" max="9990" width="3.33203125" style="136" customWidth="1"/>
    <col min="9991" max="9991" width="18.83203125" style="136" customWidth="1"/>
    <col min="9992" max="9992" width="3.33203125" style="136" customWidth="1"/>
    <col min="9993" max="9993" width="6.5" style="136" customWidth="1"/>
    <col min="9994" max="9995" width="4.75" style="136" customWidth="1"/>
    <col min="9996" max="9996" width="8" style="136" customWidth="1"/>
    <col min="9997" max="9997" width="10.25" style="136" customWidth="1"/>
    <col min="9998" max="9998" width="17.5" style="136" customWidth="1"/>
    <col min="9999" max="9999" width="5.83203125" style="136" customWidth="1"/>
    <col min="10000" max="10000" width="5.75" style="136" customWidth="1"/>
    <col min="10001" max="10001" width="5.58203125" style="136" customWidth="1"/>
    <col min="10002" max="10240" width="9" style="136"/>
    <col min="10241" max="10241" width="1.25" style="136" customWidth="1"/>
    <col min="10242" max="10242" width="17.25" style="136" customWidth="1"/>
    <col min="10243" max="10243" width="18.75" style="136" customWidth="1"/>
    <col min="10244" max="10244" width="3.33203125" style="136" customWidth="1"/>
    <col min="10245" max="10245" width="20.33203125" style="136" customWidth="1"/>
    <col min="10246" max="10246" width="3.33203125" style="136" customWidth="1"/>
    <col min="10247" max="10247" width="18.83203125" style="136" customWidth="1"/>
    <col min="10248" max="10248" width="3.33203125" style="136" customWidth="1"/>
    <col min="10249" max="10249" width="6.5" style="136" customWidth="1"/>
    <col min="10250" max="10251" width="4.75" style="136" customWidth="1"/>
    <col min="10252" max="10252" width="8" style="136" customWidth="1"/>
    <col min="10253" max="10253" width="10.25" style="136" customWidth="1"/>
    <col min="10254" max="10254" width="17.5" style="136" customWidth="1"/>
    <col min="10255" max="10255" width="5.83203125" style="136" customWidth="1"/>
    <col min="10256" max="10256" width="5.75" style="136" customWidth="1"/>
    <col min="10257" max="10257" width="5.58203125" style="136" customWidth="1"/>
    <col min="10258" max="10496" width="9" style="136"/>
    <col min="10497" max="10497" width="1.25" style="136" customWidth="1"/>
    <col min="10498" max="10498" width="17.25" style="136" customWidth="1"/>
    <col min="10499" max="10499" width="18.75" style="136" customWidth="1"/>
    <col min="10500" max="10500" width="3.33203125" style="136" customWidth="1"/>
    <col min="10501" max="10501" width="20.33203125" style="136" customWidth="1"/>
    <col min="10502" max="10502" width="3.33203125" style="136" customWidth="1"/>
    <col min="10503" max="10503" width="18.83203125" style="136" customWidth="1"/>
    <col min="10504" max="10504" width="3.33203125" style="136" customWidth="1"/>
    <col min="10505" max="10505" width="6.5" style="136" customWidth="1"/>
    <col min="10506" max="10507" width="4.75" style="136" customWidth="1"/>
    <col min="10508" max="10508" width="8" style="136" customWidth="1"/>
    <col min="10509" max="10509" width="10.25" style="136" customWidth="1"/>
    <col min="10510" max="10510" width="17.5" style="136" customWidth="1"/>
    <col min="10511" max="10511" width="5.83203125" style="136" customWidth="1"/>
    <col min="10512" max="10512" width="5.75" style="136" customWidth="1"/>
    <col min="10513" max="10513" width="5.58203125" style="136" customWidth="1"/>
    <col min="10514" max="10752" width="9" style="136"/>
    <col min="10753" max="10753" width="1.25" style="136" customWidth="1"/>
    <col min="10754" max="10754" width="17.25" style="136" customWidth="1"/>
    <col min="10755" max="10755" width="18.75" style="136" customWidth="1"/>
    <col min="10756" max="10756" width="3.33203125" style="136" customWidth="1"/>
    <col min="10757" max="10757" width="20.33203125" style="136" customWidth="1"/>
    <col min="10758" max="10758" width="3.33203125" style="136" customWidth="1"/>
    <col min="10759" max="10759" width="18.83203125" style="136" customWidth="1"/>
    <col min="10760" max="10760" width="3.33203125" style="136" customWidth="1"/>
    <col min="10761" max="10761" width="6.5" style="136" customWidth="1"/>
    <col min="10762" max="10763" width="4.75" style="136" customWidth="1"/>
    <col min="10764" max="10764" width="8" style="136" customWidth="1"/>
    <col min="10765" max="10765" width="10.25" style="136" customWidth="1"/>
    <col min="10766" max="10766" width="17.5" style="136" customWidth="1"/>
    <col min="10767" max="10767" width="5.83203125" style="136" customWidth="1"/>
    <col min="10768" max="10768" width="5.75" style="136" customWidth="1"/>
    <col min="10769" max="10769" width="5.58203125" style="136" customWidth="1"/>
    <col min="10770" max="11008" width="9" style="136"/>
    <col min="11009" max="11009" width="1.25" style="136" customWidth="1"/>
    <col min="11010" max="11010" width="17.25" style="136" customWidth="1"/>
    <col min="11011" max="11011" width="18.75" style="136" customWidth="1"/>
    <col min="11012" max="11012" width="3.33203125" style="136" customWidth="1"/>
    <col min="11013" max="11013" width="20.33203125" style="136" customWidth="1"/>
    <col min="11014" max="11014" width="3.33203125" style="136" customWidth="1"/>
    <col min="11015" max="11015" width="18.83203125" style="136" customWidth="1"/>
    <col min="11016" max="11016" width="3.33203125" style="136" customWidth="1"/>
    <col min="11017" max="11017" width="6.5" style="136" customWidth="1"/>
    <col min="11018" max="11019" width="4.75" style="136" customWidth="1"/>
    <col min="11020" max="11020" width="8" style="136" customWidth="1"/>
    <col min="11021" max="11021" width="10.25" style="136" customWidth="1"/>
    <col min="11022" max="11022" width="17.5" style="136" customWidth="1"/>
    <col min="11023" max="11023" width="5.83203125" style="136" customWidth="1"/>
    <col min="11024" max="11024" width="5.75" style="136" customWidth="1"/>
    <col min="11025" max="11025" width="5.58203125" style="136" customWidth="1"/>
    <col min="11026" max="11264" width="9" style="136"/>
    <col min="11265" max="11265" width="1.25" style="136" customWidth="1"/>
    <col min="11266" max="11266" width="17.25" style="136" customWidth="1"/>
    <col min="11267" max="11267" width="18.75" style="136" customWidth="1"/>
    <col min="11268" max="11268" width="3.33203125" style="136" customWidth="1"/>
    <col min="11269" max="11269" width="20.33203125" style="136" customWidth="1"/>
    <col min="11270" max="11270" width="3.33203125" style="136" customWidth="1"/>
    <col min="11271" max="11271" width="18.83203125" style="136" customWidth="1"/>
    <col min="11272" max="11272" width="3.33203125" style="136" customWidth="1"/>
    <col min="11273" max="11273" width="6.5" style="136" customWidth="1"/>
    <col min="11274" max="11275" width="4.75" style="136" customWidth="1"/>
    <col min="11276" max="11276" width="8" style="136" customWidth="1"/>
    <col min="11277" max="11277" width="10.25" style="136" customWidth="1"/>
    <col min="11278" max="11278" width="17.5" style="136" customWidth="1"/>
    <col min="11279" max="11279" width="5.83203125" style="136" customWidth="1"/>
    <col min="11280" max="11280" width="5.75" style="136" customWidth="1"/>
    <col min="11281" max="11281" width="5.58203125" style="136" customWidth="1"/>
    <col min="11282" max="11520" width="9" style="136"/>
    <col min="11521" max="11521" width="1.25" style="136" customWidth="1"/>
    <col min="11522" max="11522" width="17.25" style="136" customWidth="1"/>
    <col min="11523" max="11523" width="18.75" style="136" customWidth="1"/>
    <col min="11524" max="11524" width="3.33203125" style="136" customWidth="1"/>
    <col min="11525" max="11525" width="20.33203125" style="136" customWidth="1"/>
    <col min="11526" max="11526" width="3.33203125" style="136" customWidth="1"/>
    <col min="11527" max="11527" width="18.83203125" style="136" customWidth="1"/>
    <col min="11528" max="11528" width="3.33203125" style="136" customWidth="1"/>
    <col min="11529" max="11529" width="6.5" style="136" customWidth="1"/>
    <col min="11530" max="11531" width="4.75" style="136" customWidth="1"/>
    <col min="11532" max="11532" width="8" style="136" customWidth="1"/>
    <col min="11533" max="11533" width="10.25" style="136" customWidth="1"/>
    <col min="11534" max="11534" width="17.5" style="136" customWidth="1"/>
    <col min="11535" max="11535" width="5.83203125" style="136" customWidth="1"/>
    <col min="11536" max="11536" width="5.75" style="136" customWidth="1"/>
    <col min="11537" max="11537" width="5.58203125" style="136" customWidth="1"/>
    <col min="11538" max="11776" width="9" style="136"/>
    <col min="11777" max="11777" width="1.25" style="136" customWidth="1"/>
    <col min="11778" max="11778" width="17.25" style="136" customWidth="1"/>
    <col min="11779" max="11779" width="18.75" style="136" customWidth="1"/>
    <col min="11780" max="11780" width="3.33203125" style="136" customWidth="1"/>
    <col min="11781" max="11781" width="20.33203125" style="136" customWidth="1"/>
    <col min="11782" max="11782" width="3.33203125" style="136" customWidth="1"/>
    <col min="11783" max="11783" width="18.83203125" style="136" customWidth="1"/>
    <col min="11784" max="11784" width="3.33203125" style="136" customWidth="1"/>
    <col min="11785" max="11785" width="6.5" style="136" customWidth="1"/>
    <col min="11786" max="11787" width="4.75" style="136" customWidth="1"/>
    <col min="11788" max="11788" width="8" style="136" customWidth="1"/>
    <col min="11789" max="11789" width="10.25" style="136" customWidth="1"/>
    <col min="11790" max="11790" width="17.5" style="136" customWidth="1"/>
    <col min="11791" max="11791" width="5.83203125" style="136" customWidth="1"/>
    <col min="11792" max="11792" width="5.75" style="136" customWidth="1"/>
    <col min="11793" max="11793" width="5.58203125" style="136" customWidth="1"/>
    <col min="11794" max="12032" width="9" style="136"/>
    <col min="12033" max="12033" width="1.25" style="136" customWidth="1"/>
    <col min="12034" max="12034" width="17.25" style="136" customWidth="1"/>
    <col min="12035" max="12035" width="18.75" style="136" customWidth="1"/>
    <col min="12036" max="12036" width="3.33203125" style="136" customWidth="1"/>
    <col min="12037" max="12037" width="20.33203125" style="136" customWidth="1"/>
    <col min="12038" max="12038" width="3.33203125" style="136" customWidth="1"/>
    <col min="12039" max="12039" width="18.83203125" style="136" customWidth="1"/>
    <col min="12040" max="12040" width="3.33203125" style="136" customWidth="1"/>
    <col min="12041" max="12041" width="6.5" style="136" customWidth="1"/>
    <col min="12042" max="12043" width="4.75" style="136" customWidth="1"/>
    <col min="12044" max="12044" width="8" style="136" customWidth="1"/>
    <col min="12045" max="12045" width="10.25" style="136" customWidth="1"/>
    <col min="12046" max="12046" width="17.5" style="136" customWidth="1"/>
    <col min="12047" max="12047" width="5.83203125" style="136" customWidth="1"/>
    <col min="12048" max="12048" width="5.75" style="136" customWidth="1"/>
    <col min="12049" max="12049" width="5.58203125" style="136" customWidth="1"/>
    <col min="12050" max="12288" width="9" style="136"/>
    <col min="12289" max="12289" width="1.25" style="136" customWidth="1"/>
    <col min="12290" max="12290" width="17.25" style="136" customWidth="1"/>
    <col min="12291" max="12291" width="18.75" style="136" customWidth="1"/>
    <col min="12292" max="12292" width="3.33203125" style="136" customWidth="1"/>
    <col min="12293" max="12293" width="20.33203125" style="136" customWidth="1"/>
    <col min="12294" max="12294" width="3.33203125" style="136" customWidth="1"/>
    <col min="12295" max="12295" width="18.83203125" style="136" customWidth="1"/>
    <col min="12296" max="12296" width="3.33203125" style="136" customWidth="1"/>
    <col min="12297" max="12297" width="6.5" style="136" customWidth="1"/>
    <col min="12298" max="12299" width="4.75" style="136" customWidth="1"/>
    <col min="12300" max="12300" width="8" style="136" customWidth="1"/>
    <col min="12301" max="12301" width="10.25" style="136" customWidth="1"/>
    <col min="12302" max="12302" width="17.5" style="136" customWidth="1"/>
    <col min="12303" max="12303" width="5.83203125" style="136" customWidth="1"/>
    <col min="12304" max="12304" width="5.75" style="136" customWidth="1"/>
    <col min="12305" max="12305" width="5.58203125" style="136" customWidth="1"/>
    <col min="12306" max="12544" width="9" style="136"/>
    <col min="12545" max="12545" width="1.25" style="136" customWidth="1"/>
    <col min="12546" max="12546" width="17.25" style="136" customWidth="1"/>
    <col min="12547" max="12547" width="18.75" style="136" customWidth="1"/>
    <col min="12548" max="12548" width="3.33203125" style="136" customWidth="1"/>
    <col min="12549" max="12549" width="20.33203125" style="136" customWidth="1"/>
    <col min="12550" max="12550" width="3.33203125" style="136" customWidth="1"/>
    <col min="12551" max="12551" width="18.83203125" style="136" customWidth="1"/>
    <col min="12552" max="12552" width="3.33203125" style="136" customWidth="1"/>
    <col min="12553" max="12553" width="6.5" style="136" customWidth="1"/>
    <col min="12554" max="12555" width="4.75" style="136" customWidth="1"/>
    <col min="12556" max="12556" width="8" style="136" customWidth="1"/>
    <col min="12557" max="12557" width="10.25" style="136" customWidth="1"/>
    <col min="12558" max="12558" width="17.5" style="136" customWidth="1"/>
    <col min="12559" max="12559" width="5.83203125" style="136" customWidth="1"/>
    <col min="12560" max="12560" width="5.75" style="136" customWidth="1"/>
    <col min="12561" max="12561" width="5.58203125" style="136" customWidth="1"/>
    <col min="12562" max="12800" width="9" style="136"/>
    <col min="12801" max="12801" width="1.25" style="136" customWidth="1"/>
    <col min="12802" max="12802" width="17.25" style="136" customWidth="1"/>
    <col min="12803" max="12803" width="18.75" style="136" customWidth="1"/>
    <col min="12804" max="12804" width="3.33203125" style="136" customWidth="1"/>
    <col min="12805" max="12805" width="20.33203125" style="136" customWidth="1"/>
    <col min="12806" max="12806" width="3.33203125" style="136" customWidth="1"/>
    <col min="12807" max="12807" width="18.83203125" style="136" customWidth="1"/>
    <col min="12808" max="12808" width="3.33203125" style="136" customWidth="1"/>
    <col min="12809" max="12809" width="6.5" style="136" customWidth="1"/>
    <col min="12810" max="12811" width="4.75" style="136" customWidth="1"/>
    <col min="12812" max="12812" width="8" style="136" customWidth="1"/>
    <col min="12813" max="12813" width="10.25" style="136" customWidth="1"/>
    <col min="12814" max="12814" width="17.5" style="136" customWidth="1"/>
    <col min="12815" max="12815" width="5.83203125" style="136" customWidth="1"/>
    <col min="12816" max="12816" width="5.75" style="136" customWidth="1"/>
    <col min="12817" max="12817" width="5.58203125" style="136" customWidth="1"/>
    <col min="12818" max="13056" width="9" style="136"/>
    <col min="13057" max="13057" width="1.25" style="136" customWidth="1"/>
    <col min="13058" max="13058" width="17.25" style="136" customWidth="1"/>
    <col min="13059" max="13059" width="18.75" style="136" customWidth="1"/>
    <col min="13060" max="13060" width="3.33203125" style="136" customWidth="1"/>
    <col min="13061" max="13061" width="20.33203125" style="136" customWidth="1"/>
    <col min="13062" max="13062" width="3.33203125" style="136" customWidth="1"/>
    <col min="13063" max="13063" width="18.83203125" style="136" customWidth="1"/>
    <col min="13064" max="13064" width="3.33203125" style="136" customWidth="1"/>
    <col min="13065" max="13065" width="6.5" style="136" customWidth="1"/>
    <col min="13066" max="13067" width="4.75" style="136" customWidth="1"/>
    <col min="13068" max="13068" width="8" style="136" customWidth="1"/>
    <col min="13069" max="13069" width="10.25" style="136" customWidth="1"/>
    <col min="13070" max="13070" width="17.5" style="136" customWidth="1"/>
    <col min="13071" max="13071" width="5.83203125" style="136" customWidth="1"/>
    <col min="13072" max="13072" width="5.75" style="136" customWidth="1"/>
    <col min="13073" max="13073" width="5.58203125" style="136" customWidth="1"/>
    <col min="13074" max="13312" width="9" style="136"/>
    <col min="13313" max="13313" width="1.25" style="136" customWidth="1"/>
    <col min="13314" max="13314" width="17.25" style="136" customWidth="1"/>
    <col min="13315" max="13315" width="18.75" style="136" customWidth="1"/>
    <col min="13316" max="13316" width="3.33203125" style="136" customWidth="1"/>
    <col min="13317" max="13317" width="20.33203125" style="136" customWidth="1"/>
    <col min="13318" max="13318" width="3.33203125" style="136" customWidth="1"/>
    <col min="13319" max="13319" width="18.83203125" style="136" customWidth="1"/>
    <col min="13320" max="13320" width="3.33203125" style="136" customWidth="1"/>
    <col min="13321" max="13321" width="6.5" style="136" customWidth="1"/>
    <col min="13322" max="13323" width="4.75" style="136" customWidth="1"/>
    <col min="13324" max="13324" width="8" style="136" customWidth="1"/>
    <col min="13325" max="13325" width="10.25" style="136" customWidth="1"/>
    <col min="13326" max="13326" width="17.5" style="136" customWidth="1"/>
    <col min="13327" max="13327" width="5.83203125" style="136" customWidth="1"/>
    <col min="13328" max="13328" width="5.75" style="136" customWidth="1"/>
    <col min="13329" max="13329" width="5.58203125" style="136" customWidth="1"/>
    <col min="13330" max="13568" width="9" style="136"/>
    <col min="13569" max="13569" width="1.25" style="136" customWidth="1"/>
    <col min="13570" max="13570" width="17.25" style="136" customWidth="1"/>
    <col min="13571" max="13571" width="18.75" style="136" customWidth="1"/>
    <col min="13572" max="13572" width="3.33203125" style="136" customWidth="1"/>
    <col min="13573" max="13573" width="20.33203125" style="136" customWidth="1"/>
    <col min="13574" max="13574" width="3.33203125" style="136" customWidth="1"/>
    <col min="13575" max="13575" width="18.83203125" style="136" customWidth="1"/>
    <col min="13576" max="13576" width="3.33203125" style="136" customWidth="1"/>
    <col min="13577" max="13577" width="6.5" style="136" customWidth="1"/>
    <col min="13578" max="13579" width="4.75" style="136" customWidth="1"/>
    <col min="13580" max="13580" width="8" style="136" customWidth="1"/>
    <col min="13581" max="13581" width="10.25" style="136" customWidth="1"/>
    <col min="13582" max="13582" width="17.5" style="136" customWidth="1"/>
    <col min="13583" max="13583" width="5.83203125" style="136" customWidth="1"/>
    <col min="13584" max="13584" width="5.75" style="136" customWidth="1"/>
    <col min="13585" max="13585" width="5.58203125" style="136" customWidth="1"/>
    <col min="13586" max="13824" width="9" style="136"/>
    <col min="13825" max="13825" width="1.25" style="136" customWidth="1"/>
    <col min="13826" max="13826" width="17.25" style="136" customWidth="1"/>
    <col min="13827" max="13827" width="18.75" style="136" customWidth="1"/>
    <col min="13828" max="13828" width="3.33203125" style="136" customWidth="1"/>
    <col min="13829" max="13829" width="20.33203125" style="136" customWidth="1"/>
    <col min="13830" max="13830" width="3.33203125" style="136" customWidth="1"/>
    <col min="13831" max="13831" width="18.83203125" style="136" customWidth="1"/>
    <col min="13832" max="13832" width="3.33203125" style="136" customWidth="1"/>
    <col min="13833" max="13833" width="6.5" style="136" customWidth="1"/>
    <col min="13834" max="13835" width="4.75" style="136" customWidth="1"/>
    <col min="13836" max="13836" width="8" style="136" customWidth="1"/>
    <col min="13837" max="13837" width="10.25" style="136" customWidth="1"/>
    <col min="13838" max="13838" width="17.5" style="136" customWidth="1"/>
    <col min="13839" max="13839" width="5.83203125" style="136" customWidth="1"/>
    <col min="13840" max="13840" width="5.75" style="136" customWidth="1"/>
    <col min="13841" max="13841" width="5.58203125" style="136" customWidth="1"/>
    <col min="13842" max="14080" width="9" style="136"/>
    <col min="14081" max="14081" width="1.25" style="136" customWidth="1"/>
    <col min="14082" max="14082" width="17.25" style="136" customWidth="1"/>
    <col min="14083" max="14083" width="18.75" style="136" customWidth="1"/>
    <col min="14084" max="14084" width="3.33203125" style="136" customWidth="1"/>
    <col min="14085" max="14085" width="20.33203125" style="136" customWidth="1"/>
    <col min="14086" max="14086" width="3.33203125" style="136" customWidth="1"/>
    <col min="14087" max="14087" width="18.83203125" style="136" customWidth="1"/>
    <col min="14088" max="14088" width="3.33203125" style="136" customWidth="1"/>
    <col min="14089" max="14089" width="6.5" style="136" customWidth="1"/>
    <col min="14090" max="14091" width="4.75" style="136" customWidth="1"/>
    <col min="14092" max="14092" width="8" style="136" customWidth="1"/>
    <col min="14093" max="14093" width="10.25" style="136" customWidth="1"/>
    <col min="14094" max="14094" width="17.5" style="136" customWidth="1"/>
    <col min="14095" max="14095" width="5.83203125" style="136" customWidth="1"/>
    <col min="14096" max="14096" width="5.75" style="136" customWidth="1"/>
    <col min="14097" max="14097" width="5.58203125" style="136" customWidth="1"/>
    <col min="14098" max="14336" width="9" style="136"/>
    <col min="14337" max="14337" width="1.25" style="136" customWidth="1"/>
    <col min="14338" max="14338" width="17.25" style="136" customWidth="1"/>
    <col min="14339" max="14339" width="18.75" style="136" customWidth="1"/>
    <col min="14340" max="14340" width="3.33203125" style="136" customWidth="1"/>
    <col min="14341" max="14341" width="20.33203125" style="136" customWidth="1"/>
    <col min="14342" max="14342" width="3.33203125" style="136" customWidth="1"/>
    <col min="14343" max="14343" width="18.83203125" style="136" customWidth="1"/>
    <col min="14344" max="14344" width="3.33203125" style="136" customWidth="1"/>
    <col min="14345" max="14345" width="6.5" style="136" customWidth="1"/>
    <col min="14346" max="14347" width="4.75" style="136" customWidth="1"/>
    <col min="14348" max="14348" width="8" style="136" customWidth="1"/>
    <col min="14349" max="14349" width="10.25" style="136" customWidth="1"/>
    <col min="14350" max="14350" width="17.5" style="136" customWidth="1"/>
    <col min="14351" max="14351" width="5.83203125" style="136" customWidth="1"/>
    <col min="14352" max="14352" width="5.75" style="136" customWidth="1"/>
    <col min="14353" max="14353" width="5.58203125" style="136" customWidth="1"/>
    <col min="14354" max="14592" width="9" style="136"/>
    <col min="14593" max="14593" width="1.25" style="136" customWidth="1"/>
    <col min="14594" max="14594" width="17.25" style="136" customWidth="1"/>
    <col min="14595" max="14595" width="18.75" style="136" customWidth="1"/>
    <col min="14596" max="14596" width="3.33203125" style="136" customWidth="1"/>
    <col min="14597" max="14597" width="20.33203125" style="136" customWidth="1"/>
    <col min="14598" max="14598" width="3.33203125" style="136" customWidth="1"/>
    <col min="14599" max="14599" width="18.83203125" style="136" customWidth="1"/>
    <col min="14600" max="14600" width="3.33203125" style="136" customWidth="1"/>
    <col min="14601" max="14601" width="6.5" style="136" customWidth="1"/>
    <col min="14602" max="14603" width="4.75" style="136" customWidth="1"/>
    <col min="14604" max="14604" width="8" style="136" customWidth="1"/>
    <col min="14605" max="14605" width="10.25" style="136" customWidth="1"/>
    <col min="14606" max="14606" width="17.5" style="136" customWidth="1"/>
    <col min="14607" max="14607" width="5.83203125" style="136" customWidth="1"/>
    <col min="14608" max="14608" width="5.75" style="136" customWidth="1"/>
    <col min="14609" max="14609" width="5.58203125" style="136" customWidth="1"/>
    <col min="14610" max="14848" width="9" style="136"/>
    <col min="14849" max="14849" width="1.25" style="136" customWidth="1"/>
    <col min="14850" max="14850" width="17.25" style="136" customWidth="1"/>
    <col min="14851" max="14851" width="18.75" style="136" customWidth="1"/>
    <col min="14852" max="14852" width="3.33203125" style="136" customWidth="1"/>
    <col min="14853" max="14853" width="20.33203125" style="136" customWidth="1"/>
    <col min="14854" max="14854" width="3.33203125" style="136" customWidth="1"/>
    <col min="14855" max="14855" width="18.83203125" style="136" customWidth="1"/>
    <col min="14856" max="14856" width="3.33203125" style="136" customWidth="1"/>
    <col min="14857" max="14857" width="6.5" style="136" customWidth="1"/>
    <col min="14858" max="14859" width="4.75" style="136" customWidth="1"/>
    <col min="14860" max="14860" width="8" style="136" customWidth="1"/>
    <col min="14861" max="14861" width="10.25" style="136" customWidth="1"/>
    <col min="14862" max="14862" width="17.5" style="136" customWidth="1"/>
    <col min="14863" max="14863" width="5.83203125" style="136" customWidth="1"/>
    <col min="14864" max="14864" width="5.75" style="136" customWidth="1"/>
    <col min="14865" max="14865" width="5.58203125" style="136" customWidth="1"/>
    <col min="14866" max="15104" width="9" style="136"/>
    <col min="15105" max="15105" width="1.25" style="136" customWidth="1"/>
    <col min="15106" max="15106" width="17.25" style="136" customWidth="1"/>
    <col min="15107" max="15107" width="18.75" style="136" customWidth="1"/>
    <col min="15108" max="15108" width="3.33203125" style="136" customWidth="1"/>
    <col min="15109" max="15109" width="20.33203125" style="136" customWidth="1"/>
    <col min="15110" max="15110" width="3.33203125" style="136" customWidth="1"/>
    <col min="15111" max="15111" width="18.83203125" style="136" customWidth="1"/>
    <col min="15112" max="15112" width="3.33203125" style="136" customWidth="1"/>
    <col min="15113" max="15113" width="6.5" style="136" customWidth="1"/>
    <col min="15114" max="15115" width="4.75" style="136" customWidth="1"/>
    <col min="15116" max="15116" width="8" style="136" customWidth="1"/>
    <col min="15117" max="15117" width="10.25" style="136" customWidth="1"/>
    <col min="15118" max="15118" width="17.5" style="136" customWidth="1"/>
    <col min="15119" max="15119" width="5.83203125" style="136" customWidth="1"/>
    <col min="15120" max="15120" width="5.75" style="136" customWidth="1"/>
    <col min="15121" max="15121" width="5.58203125" style="136" customWidth="1"/>
    <col min="15122" max="15360" width="9" style="136"/>
    <col min="15361" max="15361" width="1.25" style="136" customWidth="1"/>
    <col min="15362" max="15362" width="17.25" style="136" customWidth="1"/>
    <col min="15363" max="15363" width="18.75" style="136" customWidth="1"/>
    <col min="15364" max="15364" width="3.33203125" style="136" customWidth="1"/>
    <col min="15365" max="15365" width="20.33203125" style="136" customWidth="1"/>
    <col min="15366" max="15366" width="3.33203125" style="136" customWidth="1"/>
    <col min="15367" max="15367" width="18.83203125" style="136" customWidth="1"/>
    <col min="15368" max="15368" width="3.33203125" style="136" customWidth="1"/>
    <col min="15369" max="15369" width="6.5" style="136" customWidth="1"/>
    <col min="15370" max="15371" width="4.75" style="136" customWidth="1"/>
    <col min="15372" max="15372" width="8" style="136" customWidth="1"/>
    <col min="15373" max="15373" width="10.25" style="136" customWidth="1"/>
    <col min="15374" max="15374" width="17.5" style="136" customWidth="1"/>
    <col min="15375" max="15375" width="5.83203125" style="136" customWidth="1"/>
    <col min="15376" max="15376" width="5.75" style="136" customWidth="1"/>
    <col min="15377" max="15377" width="5.58203125" style="136" customWidth="1"/>
    <col min="15378" max="15616" width="9" style="136"/>
    <col min="15617" max="15617" width="1.25" style="136" customWidth="1"/>
    <col min="15618" max="15618" width="17.25" style="136" customWidth="1"/>
    <col min="15619" max="15619" width="18.75" style="136" customWidth="1"/>
    <col min="15620" max="15620" width="3.33203125" style="136" customWidth="1"/>
    <col min="15621" max="15621" width="20.33203125" style="136" customWidth="1"/>
    <col min="15622" max="15622" width="3.33203125" style="136" customWidth="1"/>
    <col min="15623" max="15623" width="18.83203125" style="136" customWidth="1"/>
    <col min="15624" max="15624" width="3.33203125" style="136" customWidth="1"/>
    <col min="15625" max="15625" width="6.5" style="136" customWidth="1"/>
    <col min="15626" max="15627" width="4.75" style="136" customWidth="1"/>
    <col min="15628" max="15628" width="8" style="136" customWidth="1"/>
    <col min="15629" max="15629" width="10.25" style="136" customWidth="1"/>
    <col min="15630" max="15630" width="17.5" style="136" customWidth="1"/>
    <col min="15631" max="15631" width="5.83203125" style="136" customWidth="1"/>
    <col min="15632" max="15632" width="5.75" style="136" customWidth="1"/>
    <col min="15633" max="15633" width="5.58203125" style="136" customWidth="1"/>
    <col min="15634" max="15872" width="9" style="136"/>
    <col min="15873" max="15873" width="1.25" style="136" customWidth="1"/>
    <col min="15874" max="15874" width="17.25" style="136" customWidth="1"/>
    <col min="15875" max="15875" width="18.75" style="136" customWidth="1"/>
    <col min="15876" max="15876" width="3.33203125" style="136" customWidth="1"/>
    <col min="15877" max="15877" width="20.33203125" style="136" customWidth="1"/>
    <col min="15878" max="15878" width="3.33203125" style="136" customWidth="1"/>
    <col min="15879" max="15879" width="18.83203125" style="136" customWidth="1"/>
    <col min="15880" max="15880" width="3.33203125" style="136" customWidth="1"/>
    <col min="15881" max="15881" width="6.5" style="136" customWidth="1"/>
    <col min="15882" max="15883" width="4.75" style="136" customWidth="1"/>
    <col min="15884" max="15884" width="8" style="136" customWidth="1"/>
    <col min="15885" max="15885" width="10.25" style="136" customWidth="1"/>
    <col min="15886" max="15886" width="17.5" style="136" customWidth="1"/>
    <col min="15887" max="15887" width="5.83203125" style="136" customWidth="1"/>
    <col min="15888" max="15888" width="5.75" style="136" customWidth="1"/>
    <col min="15889" max="15889" width="5.58203125" style="136" customWidth="1"/>
    <col min="15890" max="16128" width="9" style="136"/>
    <col min="16129" max="16129" width="1.25" style="136" customWidth="1"/>
    <col min="16130" max="16130" width="17.25" style="136" customWidth="1"/>
    <col min="16131" max="16131" width="18.75" style="136" customWidth="1"/>
    <col min="16132" max="16132" width="3.33203125" style="136" customWidth="1"/>
    <col min="16133" max="16133" width="20.33203125" style="136" customWidth="1"/>
    <col min="16134" max="16134" width="3.33203125" style="136" customWidth="1"/>
    <col min="16135" max="16135" width="18.83203125" style="136" customWidth="1"/>
    <col min="16136" max="16136" width="3.33203125" style="136" customWidth="1"/>
    <col min="16137" max="16137" width="6.5" style="136" customWidth="1"/>
    <col min="16138" max="16139" width="4.75" style="136" customWidth="1"/>
    <col min="16140" max="16140" width="8" style="136" customWidth="1"/>
    <col min="16141" max="16141" width="10.25" style="136" customWidth="1"/>
    <col min="16142" max="16142" width="17.5" style="136" customWidth="1"/>
    <col min="16143" max="16143" width="5.83203125" style="136" customWidth="1"/>
    <col min="16144" max="16144" width="5.75" style="136" customWidth="1"/>
    <col min="16145" max="16145" width="5.58203125" style="136" customWidth="1"/>
    <col min="16146" max="16384" width="9" style="136"/>
  </cols>
  <sheetData>
    <row r="1" spans="1:17" ht="20.149999999999999" customHeight="1">
      <c r="A1" s="36" t="s">
        <v>884</v>
      </c>
      <c r="B1" s="36"/>
      <c r="C1" s="36" t="s">
        <v>271</v>
      </c>
      <c r="D1" s="36"/>
      <c r="E1" s="36"/>
      <c r="F1" s="36"/>
      <c r="G1" s="36"/>
      <c r="H1" s="48" t="e">
        <f>様式６!H1</f>
        <v>#N/A</v>
      </c>
      <c r="I1" s="36"/>
      <c r="J1" s="36"/>
      <c r="K1" s="36"/>
      <c r="L1" s="36"/>
      <c r="M1" s="36"/>
      <c r="N1" s="36"/>
      <c r="O1" s="36"/>
      <c r="P1" s="36"/>
      <c r="Q1" s="36"/>
    </row>
    <row r="2" spans="1:17" ht="16.5" customHeight="1">
      <c r="A2" s="36"/>
      <c r="B2" s="36"/>
      <c r="C2" s="36"/>
      <c r="D2" s="36"/>
      <c r="E2" s="36"/>
      <c r="F2" s="36"/>
      <c r="G2" s="244">
        <f>様式６!G2</f>
        <v>46112</v>
      </c>
      <c r="H2" s="36"/>
      <c r="I2" s="36"/>
      <c r="J2" s="36"/>
      <c r="K2" s="36"/>
      <c r="L2" s="36"/>
      <c r="M2" s="36"/>
      <c r="O2" s="36"/>
      <c r="P2" s="36"/>
      <c r="Q2" s="36"/>
    </row>
    <row r="3" spans="1:17" ht="3.75" customHeight="1">
      <c r="A3" s="36"/>
      <c r="B3" s="36"/>
      <c r="C3" s="36"/>
      <c r="D3" s="36"/>
      <c r="E3" s="36"/>
      <c r="F3" s="36"/>
      <c r="G3" s="36"/>
      <c r="H3" s="36"/>
      <c r="I3" s="36"/>
      <c r="J3" s="36"/>
      <c r="K3" s="36"/>
      <c r="L3" s="36"/>
      <c r="M3" s="36"/>
      <c r="N3" s="36"/>
      <c r="O3" s="36"/>
      <c r="P3" s="36"/>
      <c r="Q3" s="36"/>
    </row>
    <row r="4" spans="1:17" ht="23.15" customHeight="1">
      <c r="A4" s="36"/>
      <c r="B4" s="36"/>
      <c r="C4" s="1009" t="s">
        <v>877</v>
      </c>
      <c r="D4" s="1009"/>
      <c r="E4" s="1009"/>
      <c r="F4" s="36"/>
      <c r="G4" s="36"/>
      <c r="H4" s="36"/>
      <c r="I4" s="36"/>
      <c r="J4" s="36"/>
      <c r="K4" s="36"/>
      <c r="L4" s="36"/>
      <c r="M4" s="36"/>
      <c r="N4" s="36"/>
      <c r="O4" s="36"/>
      <c r="P4" s="36"/>
      <c r="Q4" s="36"/>
    </row>
    <row r="5" spans="1:17" ht="23.15" customHeight="1">
      <c r="A5" s="36"/>
      <c r="B5" s="36"/>
      <c r="C5" s="1009" t="s">
        <v>885</v>
      </c>
      <c r="D5" s="1009"/>
      <c r="E5" s="1009"/>
      <c r="F5" s="36"/>
      <c r="G5" s="36"/>
      <c r="H5" s="36"/>
      <c r="I5" s="36"/>
      <c r="J5" s="36"/>
      <c r="K5" s="36"/>
      <c r="L5" s="36"/>
      <c r="M5" s="36"/>
      <c r="N5" s="36"/>
      <c r="O5" s="36"/>
      <c r="P5" s="36"/>
      <c r="Q5" s="36"/>
    </row>
    <row r="6" spans="1:17" ht="3" customHeight="1">
      <c r="A6" s="36"/>
      <c r="B6" s="36"/>
      <c r="C6" s="36"/>
      <c r="D6" s="36"/>
      <c r="E6" s="36"/>
      <c r="F6" s="36"/>
      <c r="G6" s="36"/>
      <c r="H6" s="36"/>
      <c r="I6" s="36"/>
      <c r="J6" s="36"/>
      <c r="K6" s="36"/>
      <c r="L6" s="36"/>
      <c r="M6" s="36"/>
      <c r="N6" s="36"/>
      <c r="O6" s="36"/>
      <c r="P6" s="36"/>
      <c r="Q6" s="36"/>
    </row>
    <row r="7" spans="1:17" ht="23.15" customHeight="1">
      <c r="A7" s="36"/>
      <c r="B7" s="35" t="s">
        <v>1226</v>
      </c>
      <c r="C7" s="55"/>
      <c r="D7" s="55"/>
      <c r="E7" s="36"/>
      <c r="F7" s="926" t="e">
        <f>VLOOKUP(①基本情報!$Q$5,補助金用基本データ!$B$5:$K$64,16,0)</f>
        <v>#N/A</v>
      </c>
      <c r="G7" s="926"/>
      <c r="H7" s="926"/>
      <c r="I7" s="36"/>
      <c r="J7" s="36"/>
      <c r="K7" s="36"/>
      <c r="L7" s="36"/>
      <c r="M7" s="36"/>
      <c r="N7" s="36"/>
      <c r="O7" s="36"/>
      <c r="P7" s="36"/>
      <c r="Q7" s="36"/>
    </row>
    <row r="8" spans="1:17" ht="3" customHeight="1">
      <c r="A8" s="36"/>
      <c r="B8" s="36"/>
      <c r="C8" s="36"/>
      <c r="D8" s="36"/>
      <c r="E8" s="36"/>
      <c r="F8" s="927"/>
      <c r="G8" s="927"/>
      <c r="H8" s="927"/>
      <c r="I8" s="36"/>
      <c r="J8" s="36"/>
      <c r="K8" s="36"/>
      <c r="L8" s="36"/>
      <c r="M8" s="36"/>
      <c r="N8" s="36"/>
      <c r="O8" s="36"/>
      <c r="P8" s="36"/>
      <c r="Q8" s="36"/>
    </row>
    <row r="9" spans="1:17" ht="29.25" customHeight="1">
      <c r="A9" s="36"/>
      <c r="B9" s="36"/>
      <c r="C9" s="36"/>
      <c r="D9" s="36"/>
      <c r="E9" s="35" t="s">
        <v>886</v>
      </c>
      <c r="F9" s="927"/>
      <c r="G9" s="927"/>
      <c r="H9" s="927"/>
      <c r="I9" s="36"/>
      <c r="J9" s="36"/>
      <c r="K9" s="36"/>
      <c r="L9" s="36"/>
      <c r="Q9" s="36"/>
    </row>
    <row r="10" spans="1:17" ht="23.15" customHeight="1">
      <c r="A10" s="36"/>
      <c r="B10" s="36"/>
      <c r="C10" s="36"/>
      <c r="D10" s="36"/>
      <c r="E10" s="35" t="s">
        <v>887</v>
      </c>
      <c r="F10" s="1010" t="e">
        <f>IF(様式４!F10="","",様式４!F10)</f>
        <v>#N/A</v>
      </c>
      <c r="G10" s="1010"/>
      <c r="H10" s="1010"/>
      <c r="I10" s="36"/>
      <c r="J10" s="36"/>
      <c r="K10" s="36"/>
      <c r="L10" s="36"/>
      <c r="Q10" s="36"/>
    </row>
    <row r="11" spans="1:17" ht="23.15" customHeight="1">
      <c r="A11" s="36"/>
      <c r="B11" s="36"/>
      <c r="C11" s="36"/>
      <c r="D11" s="36"/>
      <c r="E11" s="35" t="s">
        <v>854</v>
      </c>
      <c r="F11" s="1010" t="e">
        <f>VLOOKUP(①基本情報!$Q$5,補助金用基本データ!$B$5:$K$64,17,0)&amp;"　"&amp;VLOOKUP(①基本情報!$Q$5,補助金用基本データ!$B$5:$K$64,18,0)</f>
        <v>#N/A</v>
      </c>
      <c r="G11" s="1010"/>
      <c r="H11" s="1010"/>
      <c r="I11" s="1008"/>
      <c r="J11" s="1008"/>
      <c r="K11" s="1008"/>
      <c r="L11" s="1008"/>
      <c r="Q11" s="36"/>
    </row>
    <row r="12" spans="1:17" ht="23" customHeight="1">
      <c r="A12" s="36"/>
      <c r="B12" s="36"/>
      <c r="C12" s="36"/>
      <c r="D12" s="36"/>
      <c r="E12" s="331" t="s">
        <v>855</v>
      </c>
      <c r="F12" s="1003" t="e">
        <f>IF(様式４!F12="","",様式４!F12)</f>
        <v>#N/A</v>
      </c>
      <c r="G12" s="1003"/>
      <c r="H12" s="1003"/>
      <c r="J12" s="36" t="s">
        <v>856</v>
      </c>
      <c r="K12" s="36"/>
      <c r="L12" s="36" t="s">
        <v>613</v>
      </c>
      <c r="Q12" s="36"/>
    </row>
    <row r="13" spans="1:17" ht="23" customHeight="1">
      <c r="A13" s="36"/>
      <c r="B13" s="36"/>
      <c r="C13" s="36"/>
      <c r="D13" s="36"/>
      <c r="E13" s="331" t="s">
        <v>1224</v>
      </c>
      <c r="F13" s="1003">
        <f>IF(様式４!F13="","",様式４!F13)</f>
        <v>0</v>
      </c>
      <c r="G13" s="1003"/>
      <c r="H13" s="1003"/>
      <c r="J13" s="36"/>
      <c r="K13" s="36"/>
      <c r="L13" s="36"/>
      <c r="Q13" s="36"/>
    </row>
    <row r="14" spans="1:17" ht="3" customHeight="1">
      <c r="A14" s="36"/>
      <c r="B14" s="36"/>
      <c r="C14" s="36"/>
      <c r="D14" s="36"/>
      <c r="E14" s="36"/>
      <c r="F14" s="36"/>
      <c r="G14" s="36"/>
      <c r="H14" s="36"/>
      <c r="I14" s="36"/>
      <c r="J14" s="36"/>
      <c r="K14" s="36"/>
      <c r="L14" s="36"/>
      <c r="M14" s="36"/>
      <c r="N14" s="36"/>
      <c r="O14" s="36"/>
      <c r="P14" s="36"/>
      <c r="Q14" s="36"/>
    </row>
    <row r="15" spans="1:17" ht="23.15" customHeight="1">
      <c r="B15" s="1004" t="s">
        <v>1512</v>
      </c>
      <c r="C15" s="1004"/>
      <c r="D15" s="1004"/>
      <c r="E15" s="1004"/>
      <c r="F15" s="1004"/>
      <c r="G15" s="1004"/>
      <c r="H15" s="1004"/>
      <c r="I15" s="36"/>
      <c r="J15" s="36"/>
      <c r="K15" s="36"/>
      <c r="L15" s="36"/>
      <c r="M15" s="36"/>
      <c r="N15" s="36"/>
      <c r="O15" s="36"/>
      <c r="P15" s="36"/>
      <c r="Q15" s="36"/>
    </row>
    <row r="16" spans="1:17" ht="17.25" customHeight="1">
      <c r="B16" s="1004"/>
      <c r="C16" s="1004"/>
      <c r="D16" s="1004"/>
      <c r="E16" s="1004"/>
      <c r="F16" s="1004"/>
      <c r="G16" s="1004"/>
      <c r="H16" s="1004"/>
      <c r="I16" s="36"/>
      <c r="J16" s="36"/>
      <c r="K16" s="36"/>
      <c r="L16" s="36"/>
      <c r="M16" s="36"/>
      <c r="N16" s="36"/>
      <c r="O16" s="36"/>
      <c r="P16" s="36"/>
      <c r="Q16" s="36"/>
    </row>
    <row r="17" spans="1:17" ht="13.5" customHeight="1">
      <c r="A17" s="36"/>
      <c r="B17" s="1004"/>
      <c r="C17" s="1004"/>
      <c r="D17" s="1004"/>
      <c r="E17" s="1004"/>
      <c r="F17" s="1004"/>
      <c r="G17" s="1004"/>
      <c r="H17" s="1004"/>
      <c r="I17" s="36"/>
      <c r="J17" s="36"/>
      <c r="K17" s="36"/>
      <c r="L17" s="36"/>
      <c r="M17" s="36"/>
      <c r="N17" s="36"/>
      <c r="O17" s="36"/>
      <c r="P17" s="36"/>
      <c r="Q17" s="36"/>
    </row>
    <row r="18" spans="1:17" ht="3.75" customHeight="1">
      <c r="A18" s="36"/>
      <c r="B18" s="36"/>
      <c r="C18" s="36"/>
      <c r="D18" s="36"/>
      <c r="E18" s="36"/>
      <c r="F18" s="36"/>
      <c r="G18" s="36"/>
      <c r="H18" s="36"/>
      <c r="I18" s="36"/>
      <c r="J18" s="36"/>
      <c r="K18" s="36"/>
      <c r="L18" s="36"/>
      <c r="M18" s="36"/>
      <c r="N18" s="36"/>
      <c r="O18" s="36"/>
      <c r="P18" s="36"/>
      <c r="Q18" s="36"/>
    </row>
    <row r="19" spans="1:17" ht="23.15" customHeight="1">
      <c r="A19" s="36" t="s">
        <v>888</v>
      </c>
      <c r="B19" s="36"/>
      <c r="C19" s="36"/>
      <c r="D19" s="36"/>
      <c r="E19" s="161" t="e">
        <f>G57</f>
        <v>#N/A</v>
      </c>
      <c r="F19" s="36"/>
      <c r="G19" s="146" t="s">
        <v>272</v>
      </c>
      <c r="H19" s="146"/>
      <c r="I19" s="36"/>
      <c r="J19" s="908"/>
      <c r="K19" s="908"/>
      <c r="L19" s="908"/>
      <c r="M19" s="908"/>
      <c r="O19" s="36"/>
      <c r="P19" s="36"/>
      <c r="Q19" s="36"/>
    </row>
    <row r="20" spans="1:17" ht="7.5" customHeight="1" thickBot="1">
      <c r="A20" s="36"/>
      <c r="B20" s="36"/>
      <c r="C20" s="36"/>
      <c r="D20" s="36"/>
      <c r="E20" s="36"/>
      <c r="F20" s="36"/>
      <c r="G20" s="36"/>
      <c r="H20" s="36"/>
      <c r="I20" s="36"/>
      <c r="J20" s="36"/>
      <c r="K20" s="36"/>
      <c r="L20" s="36"/>
      <c r="M20" s="36"/>
      <c r="N20" s="36"/>
      <c r="O20" s="36"/>
      <c r="P20" s="36"/>
      <c r="Q20" s="36"/>
    </row>
    <row r="21" spans="1:17" ht="23.15" customHeight="1">
      <c r="A21" s="36"/>
      <c r="B21" s="245" t="s">
        <v>273</v>
      </c>
      <c r="C21" s="264" t="s">
        <v>889</v>
      </c>
      <c r="D21" s="265"/>
      <c r="E21" s="266" t="s">
        <v>277</v>
      </c>
      <c r="F21" s="265"/>
      <c r="G21" s="267" t="s">
        <v>890</v>
      </c>
      <c r="H21" s="268"/>
      <c r="I21" s="36"/>
      <c r="J21" s="36"/>
      <c r="K21" s="36"/>
      <c r="L21" s="36"/>
      <c r="M21" s="36"/>
      <c r="N21" s="36"/>
      <c r="O21" s="36"/>
      <c r="P21" s="36"/>
      <c r="Q21" s="36"/>
    </row>
    <row r="22" spans="1:17" ht="12" customHeight="1">
      <c r="A22" s="36"/>
      <c r="B22" s="1032" t="s">
        <v>891</v>
      </c>
      <c r="C22" s="269"/>
      <c r="D22" s="270"/>
      <c r="E22" s="1026" t="e">
        <f>様式６!E21</f>
        <v>#N/A</v>
      </c>
      <c r="F22" s="271"/>
      <c r="G22" s="34"/>
      <c r="H22" s="272"/>
      <c r="I22" s="36"/>
      <c r="J22" s="36"/>
      <c r="K22" s="36"/>
      <c r="L22" s="36"/>
      <c r="M22" s="36"/>
      <c r="N22" s="36"/>
      <c r="O22" s="36"/>
      <c r="P22" s="36"/>
      <c r="Q22" s="36"/>
    </row>
    <row r="23" spans="1:17" ht="12" customHeight="1">
      <c r="A23" s="36"/>
      <c r="B23" s="1033"/>
      <c r="C23" s="273"/>
      <c r="D23" s="274"/>
      <c r="E23" s="1027"/>
      <c r="F23" s="275"/>
      <c r="G23" s="34"/>
      <c r="H23" s="272"/>
      <c r="I23" s="36"/>
      <c r="J23" s="36"/>
      <c r="K23" s="36"/>
      <c r="L23" s="36"/>
      <c r="M23" s="36"/>
      <c r="N23" s="36"/>
      <c r="O23" s="36"/>
      <c r="P23" s="36"/>
      <c r="Q23" s="36"/>
    </row>
    <row r="24" spans="1:17" ht="12" customHeight="1">
      <c r="A24" s="36"/>
      <c r="B24" s="1033"/>
      <c r="C24" s="1028" t="e">
        <f>様式６!G22</f>
        <v>#N/A</v>
      </c>
      <c r="D24" s="36"/>
      <c r="E24" s="1027"/>
      <c r="F24" s="276"/>
      <c r="G24" s="36"/>
      <c r="H24" s="250"/>
      <c r="I24" s="36"/>
      <c r="J24" s="36"/>
      <c r="K24" s="36"/>
      <c r="L24" s="36"/>
      <c r="M24" s="36"/>
      <c r="N24" s="36"/>
      <c r="O24" s="36"/>
      <c r="P24" s="36"/>
      <c r="Q24" s="36"/>
    </row>
    <row r="25" spans="1:17" ht="25" customHeight="1">
      <c r="A25" s="36"/>
      <c r="B25" s="1034"/>
      <c r="C25" s="1012"/>
      <c r="D25" s="252" t="s">
        <v>274</v>
      </c>
      <c r="E25" s="253" t="e">
        <f>様式６!E22</f>
        <v>#N/A</v>
      </c>
      <c r="F25" s="277" t="s">
        <v>274</v>
      </c>
      <c r="G25" s="278" t="e">
        <f>C24-E25</f>
        <v>#N/A</v>
      </c>
      <c r="H25" s="254" t="s">
        <v>274</v>
      </c>
      <c r="I25" s="36"/>
      <c r="J25" s="36"/>
      <c r="K25" s="36"/>
      <c r="L25" s="36"/>
      <c r="M25" s="36"/>
      <c r="N25" s="36"/>
      <c r="O25" s="36"/>
      <c r="P25" s="36"/>
      <c r="Q25" s="36"/>
    </row>
    <row r="26" spans="1:17" ht="12" customHeight="1">
      <c r="A26" s="36"/>
      <c r="B26" s="1032" t="s">
        <v>862</v>
      </c>
      <c r="C26" s="269"/>
      <c r="D26" s="270"/>
      <c r="E26" s="1026" t="e">
        <f>様式６!E23</f>
        <v>#N/A</v>
      </c>
      <c r="F26" s="271"/>
      <c r="G26" s="34"/>
      <c r="H26" s="272"/>
      <c r="I26" s="36"/>
      <c r="J26" s="36"/>
      <c r="K26" s="36"/>
      <c r="L26" s="36"/>
      <c r="M26" s="36"/>
      <c r="N26" s="36"/>
      <c r="O26" s="36"/>
      <c r="P26" s="36"/>
      <c r="Q26" s="36"/>
    </row>
    <row r="27" spans="1:17" ht="12" customHeight="1">
      <c r="A27" s="36"/>
      <c r="B27" s="1033"/>
      <c r="C27" s="273"/>
      <c r="D27" s="274"/>
      <c r="E27" s="1027"/>
      <c r="F27" s="275"/>
      <c r="G27" s="34"/>
      <c r="H27" s="272"/>
      <c r="I27" s="36"/>
      <c r="J27" s="36"/>
      <c r="K27" s="36"/>
      <c r="L27" s="36"/>
      <c r="M27" s="36"/>
      <c r="N27" s="36"/>
      <c r="O27" s="36"/>
      <c r="P27" s="36"/>
      <c r="Q27" s="36"/>
    </row>
    <row r="28" spans="1:17" ht="12" customHeight="1">
      <c r="A28" s="36"/>
      <c r="B28" s="1033"/>
      <c r="C28" s="1028">
        <f>様式６!G24</f>
        <v>0</v>
      </c>
      <c r="D28" s="36"/>
      <c r="E28" s="1027"/>
      <c r="F28" s="276"/>
      <c r="G28" s="36"/>
      <c r="H28" s="250"/>
      <c r="I28" s="36"/>
      <c r="J28" s="36"/>
      <c r="K28" s="36"/>
      <c r="L28" s="36"/>
      <c r="M28" s="36"/>
      <c r="N28" s="36"/>
      <c r="O28" s="36"/>
      <c r="P28" s="36"/>
      <c r="Q28" s="36"/>
    </row>
    <row r="29" spans="1:17" ht="25" customHeight="1">
      <c r="A29" s="36"/>
      <c r="B29" s="1034"/>
      <c r="C29" s="1012"/>
      <c r="D29" s="252" t="s">
        <v>274</v>
      </c>
      <c r="E29" s="253" t="e">
        <f>様式６!E24</f>
        <v>#N/A</v>
      </c>
      <c r="F29" s="277" t="s">
        <v>274</v>
      </c>
      <c r="G29" s="278" t="e">
        <f>C28-E29</f>
        <v>#N/A</v>
      </c>
      <c r="H29" s="254" t="s">
        <v>274</v>
      </c>
      <c r="I29" s="36"/>
      <c r="J29" s="36"/>
      <c r="K29" s="36"/>
      <c r="L29" s="36"/>
      <c r="M29" s="36"/>
      <c r="N29" s="36"/>
      <c r="O29" s="36"/>
      <c r="P29" s="36"/>
      <c r="Q29" s="36"/>
    </row>
    <row r="30" spans="1:17" ht="12" customHeight="1">
      <c r="A30" s="36"/>
      <c r="B30" s="1032" t="s">
        <v>892</v>
      </c>
      <c r="C30" s="269"/>
      <c r="D30" s="270"/>
      <c r="E30" s="1026" t="e">
        <f>様式６!E25</f>
        <v>#N/A</v>
      </c>
      <c r="F30" s="271"/>
      <c r="G30" s="34"/>
      <c r="H30" s="272"/>
      <c r="I30" s="36"/>
      <c r="J30" s="36"/>
      <c r="K30" s="36"/>
      <c r="L30" s="36"/>
      <c r="M30" s="36"/>
      <c r="N30" s="36"/>
      <c r="O30" s="36"/>
      <c r="P30" s="36"/>
      <c r="Q30" s="36"/>
    </row>
    <row r="31" spans="1:17" ht="12" customHeight="1">
      <c r="A31" s="36"/>
      <c r="B31" s="1033"/>
      <c r="C31" s="273"/>
      <c r="D31" s="274"/>
      <c r="E31" s="1027"/>
      <c r="F31" s="275"/>
      <c r="G31" s="34"/>
      <c r="H31" s="272"/>
      <c r="I31" s="36"/>
      <c r="J31" s="36"/>
      <c r="K31" s="36"/>
      <c r="L31" s="36"/>
      <c r="M31" s="36"/>
      <c r="N31" s="36"/>
      <c r="O31" s="36"/>
      <c r="P31" s="36"/>
      <c r="Q31" s="36"/>
    </row>
    <row r="32" spans="1:17" ht="12" customHeight="1">
      <c r="A32" s="36"/>
      <c r="B32" s="1033"/>
      <c r="C32" s="1028">
        <f>様式６!G26</f>
        <v>0</v>
      </c>
      <c r="D32" s="36"/>
      <c r="E32" s="1027"/>
      <c r="F32" s="276"/>
      <c r="G32" s="36"/>
      <c r="H32" s="250"/>
      <c r="I32" s="36"/>
      <c r="J32" s="36"/>
      <c r="K32" s="36"/>
      <c r="L32" s="36"/>
      <c r="M32" s="36"/>
      <c r="N32" s="36"/>
      <c r="O32" s="36"/>
      <c r="P32" s="36"/>
      <c r="Q32" s="36"/>
    </row>
    <row r="33" spans="1:17" ht="25" customHeight="1">
      <c r="A33" s="36"/>
      <c r="B33" s="1034"/>
      <c r="C33" s="1012"/>
      <c r="D33" s="55" t="s">
        <v>274</v>
      </c>
      <c r="E33" s="253" t="e">
        <f>様式６!E26</f>
        <v>#N/A</v>
      </c>
      <c r="F33" s="277" t="s">
        <v>274</v>
      </c>
      <c r="G33" s="278" t="e">
        <f>C32-E33</f>
        <v>#N/A</v>
      </c>
      <c r="H33" s="254" t="s">
        <v>274</v>
      </c>
      <c r="I33" s="36"/>
      <c r="J33" s="36"/>
      <c r="K33" s="36"/>
      <c r="L33" s="36"/>
      <c r="M33" s="36"/>
      <c r="N33" s="36"/>
      <c r="O33" s="36"/>
      <c r="P33" s="36"/>
      <c r="Q33" s="36"/>
    </row>
    <row r="34" spans="1:17" ht="12" customHeight="1">
      <c r="A34" s="36"/>
      <c r="B34" s="1032" t="s">
        <v>864</v>
      </c>
      <c r="C34" s="246"/>
      <c r="D34" s="279"/>
      <c r="E34" s="1026" t="e">
        <f>様式６!E27</f>
        <v>#N/A</v>
      </c>
      <c r="F34" s="271"/>
      <c r="G34" s="34"/>
      <c r="H34" s="272"/>
      <c r="I34" s="36"/>
      <c r="J34" s="36"/>
      <c r="K34" s="36"/>
      <c r="L34" s="36"/>
      <c r="M34" s="36"/>
      <c r="N34" s="36"/>
      <c r="O34" s="36"/>
      <c r="P34" s="36"/>
      <c r="Q34" s="36"/>
    </row>
    <row r="35" spans="1:17" ht="12" customHeight="1">
      <c r="A35" s="36"/>
      <c r="B35" s="1033"/>
      <c r="C35" s="249"/>
      <c r="D35" s="55"/>
      <c r="E35" s="1027"/>
      <c r="F35" s="275"/>
      <c r="G35" s="34"/>
      <c r="H35" s="272"/>
      <c r="I35" s="36"/>
      <c r="J35" s="36"/>
      <c r="K35" s="36"/>
      <c r="L35" s="36"/>
      <c r="M35" s="36"/>
      <c r="N35" s="36"/>
      <c r="O35" s="36"/>
      <c r="P35" s="36"/>
      <c r="Q35" s="36"/>
    </row>
    <row r="36" spans="1:17" ht="12" customHeight="1">
      <c r="A36" s="36"/>
      <c r="B36" s="1033"/>
      <c r="C36" s="1028">
        <f>様式６!G28</f>
        <v>0</v>
      </c>
      <c r="D36" s="36"/>
      <c r="E36" s="1027"/>
      <c r="F36" s="276"/>
      <c r="G36" s="36"/>
      <c r="H36" s="250"/>
      <c r="I36" s="36"/>
      <c r="J36" s="36"/>
      <c r="K36" s="36"/>
      <c r="L36" s="36"/>
      <c r="M36" s="36"/>
      <c r="N36" s="36"/>
      <c r="O36" s="36"/>
      <c r="P36" s="36"/>
      <c r="Q36" s="36"/>
    </row>
    <row r="37" spans="1:17" ht="25" customHeight="1">
      <c r="A37" s="36"/>
      <c r="B37" s="1034"/>
      <c r="C37" s="1012"/>
      <c r="D37" s="252" t="s">
        <v>274</v>
      </c>
      <c r="E37" s="253" t="e">
        <f>様式６!E28</f>
        <v>#N/A</v>
      </c>
      <c r="F37" s="277" t="s">
        <v>274</v>
      </c>
      <c r="G37" s="278" t="e">
        <f>C36-E37</f>
        <v>#N/A</v>
      </c>
      <c r="H37" s="254" t="s">
        <v>274</v>
      </c>
      <c r="I37" s="36"/>
      <c r="J37" s="36"/>
      <c r="K37" s="36"/>
      <c r="L37" s="36"/>
      <c r="M37" s="36"/>
      <c r="N37" s="36"/>
      <c r="O37" s="36"/>
      <c r="P37" s="36"/>
      <c r="Q37" s="36"/>
    </row>
    <row r="38" spans="1:17" ht="12" customHeight="1">
      <c r="A38" s="36"/>
      <c r="B38" s="1035" t="s">
        <v>893</v>
      </c>
      <c r="C38" s="246"/>
      <c r="D38" s="280"/>
      <c r="E38" s="1026" t="e">
        <f>様式６!E29</f>
        <v>#N/A</v>
      </c>
      <c r="F38" s="271"/>
      <c r="G38" s="161"/>
      <c r="H38" s="281"/>
      <c r="I38" s="36"/>
      <c r="J38" s="36"/>
      <c r="K38" s="36"/>
      <c r="L38" s="36"/>
      <c r="M38" s="36"/>
      <c r="N38" s="36"/>
      <c r="O38" s="36"/>
      <c r="P38" s="36"/>
      <c r="Q38" s="36"/>
    </row>
    <row r="39" spans="1:17" ht="12" customHeight="1">
      <c r="A39" s="36"/>
      <c r="B39" s="1033"/>
      <c r="C39" s="249"/>
      <c r="D39" s="282"/>
      <c r="E39" s="1027"/>
      <c r="F39" s="275"/>
      <c r="G39" s="161"/>
      <c r="H39" s="281"/>
      <c r="I39" s="36"/>
      <c r="J39" s="36"/>
      <c r="K39" s="36"/>
      <c r="L39" s="36"/>
      <c r="M39" s="36"/>
      <c r="N39" s="36"/>
      <c r="O39" s="36"/>
      <c r="P39" s="36"/>
      <c r="Q39" s="36"/>
    </row>
    <row r="40" spans="1:17" ht="12" customHeight="1">
      <c r="A40" s="36"/>
      <c r="B40" s="1033"/>
      <c r="C40" s="1028">
        <f>様式６!G30</f>
        <v>0</v>
      </c>
      <c r="D40" s="283"/>
      <c r="E40" s="1027"/>
      <c r="F40" s="276"/>
      <c r="G40" s="36"/>
      <c r="H40" s="250"/>
      <c r="I40" s="36"/>
      <c r="J40" s="36"/>
      <c r="K40" s="36"/>
      <c r="L40" s="36"/>
      <c r="M40" s="36"/>
      <c r="N40" s="36"/>
      <c r="O40" s="36"/>
      <c r="P40" s="36"/>
      <c r="Q40" s="36"/>
    </row>
    <row r="41" spans="1:17" ht="25" customHeight="1">
      <c r="A41" s="36"/>
      <c r="B41" s="1034"/>
      <c r="C41" s="1012"/>
      <c r="D41" s="277" t="s">
        <v>274</v>
      </c>
      <c r="E41" s="253" t="e">
        <f>様式６!E30</f>
        <v>#N/A</v>
      </c>
      <c r="F41" s="277" t="s">
        <v>274</v>
      </c>
      <c r="G41" s="278" t="e">
        <f>C40-E41</f>
        <v>#N/A</v>
      </c>
      <c r="H41" s="254" t="s">
        <v>274</v>
      </c>
      <c r="I41" s="36"/>
      <c r="J41" s="36"/>
      <c r="K41" s="36"/>
      <c r="L41" s="36"/>
      <c r="M41" s="36"/>
      <c r="N41" s="36"/>
      <c r="O41" s="36"/>
      <c r="P41" s="36"/>
      <c r="Q41" s="36"/>
    </row>
    <row r="42" spans="1:17" ht="12" customHeight="1">
      <c r="A42" s="36"/>
      <c r="B42" s="1023" t="s">
        <v>894</v>
      </c>
      <c r="C42" s="284"/>
      <c r="D42" s="55"/>
      <c r="E42" s="1026" t="e">
        <f>様式６!E31</f>
        <v>#N/A</v>
      </c>
      <c r="F42" s="271"/>
      <c r="G42" s="161"/>
      <c r="H42" s="281"/>
      <c r="I42" s="36"/>
      <c r="J42" s="36"/>
      <c r="K42" s="36"/>
      <c r="L42" s="36"/>
      <c r="M42" s="36"/>
      <c r="N42" s="36"/>
      <c r="O42" s="36"/>
      <c r="P42" s="36"/>
      <c r="Q42" s="36"/>
    </row>
    <row r="43" spans="1:17" ht="12" customHeight="1">
      <c r="A43" s="36"/>
      <c r="B43" s="1024"/>
      <c r="C43" s="284"/>
      <c r="D43" s="55"/>
      <c r="E43" s="1027"/>
      <c r="F43" s="275"/>
      <c r="G43" s="161"/>
      <c r="H43" s="281"/>
      <c r="I43" s="36"/>
      <c r="J43" s="36"/>
      <c r="K43" s="36"/>
      <c r="L43" s="36"/>
      <c r="M43" s="36"/>
      <c r="N43" s="36"/>
      <c r="O43" s="36"/>
      <c r="P43" s="36"/>
      <c r="Q43" s="36"/>
    </row>
    <row r="44" spans="1:17" ht="12" customHeight="1">
      <c r="A44" s="36"/>
      <c r="B44" s="1024"/>
      <c r="C44" s="1028">
        <f>様式６!G32</f>
        <v>0</v>
      </c>
      <c r="D44" s="36"/>
      <c r="E44" s="1027"/>
      <c r="F44" s="276"/>
      <c r="G44" s="36"/>
      <c r="H44" s="250"/>
      <c r="I44" s="36"/>
      <c r="J44" s="36"/>
      <c r="K44" s="36"/>
      <c r="L44" s="36"/>
      <c r="M44" s="36"/>
      <c r="N44" s="36"/>
      <c r="O44" s="36"/>
      <c r="P44" s="36"/>
      <c r="Q44" s="36"/>
    </row>
    <row r="45" spans="1:17" ht="25" customHeight="1">
      <c r="A45" s="36"/>
      <c r="B45" s="1025"/>
      <c r="C45" s="1012"/>
      <c r="D45" s="277" t="s">
        <v>274</v>
      </c>
      <c r="E45" s="253" t="e">
        <f>様式６!E32</f>
        <v>#N/A</v>
      </c>
      <c r="F45" s="277" t="s">
        <v>274</v>
      </c>
      <c r="G45" s="278" t="e">
        <f>C44-E45</f>
        <v>#N/A</v>
      </c>
      <c r="H45" s="254" t="s">
        <v>274</v>
      </c>
      <c r="I45" s="36"/>
      <c r="J45" s="36"/>
      <c r="K45" s="36"/>
      <c r="L45" s="36"/>
      <c r="M45" s="36"/>
      <c r="N45" s="36"/>
      <c r="O45" s="36"/>
      <c r="P45" s="36"/>
      <c r="Q45" s="36"/>
    </row>
    <row r="46" spans="1:17" ht="12" customHeight="1">
      <c r="A46" s="36"/>
      <c r="B46" s="1023" t="s">
        <v>895</v>
      </c>
      <c r="C46" s="284"/>
      <c r="D46" s="55"/>
      <c r="E46" s="1026" t="e">
        <f>様式６!E37</f>
        <v>#N/A</v>
      </c>
      <c r="F46" s="271"/>
      <c r="G46" s="161"/>
      <c r="H46" s="281"/>
      <c r="I46" s="36"/>
      <c r="J46" s="36"/>
      <c r="K46" s="36"/>
      <c r="L46" s="36"/>
      <c r="M46" s="36"/>
      <c r="N46" s="36"/>
      <c r="O46" s="36"/>
      <c r="P46" s="36"/>
      <c r="Q46" s="36"/>
    </row>
    <row r="47" spans="1:17" ht="12" customHeight="1">
      <c r="A47" s="36"/>
      <c r="B47" s="1024"/>
      <c r="C47" s="284"/>
      <c r="D47" s="55"/>
      <c r="E47" s="1027"/>
      <c r="F47" s="275"/>
      <c r="G47" s="161"/>
      <c r="H47" s="281"/>
      <c r="I47" s="36"/>
      <c r="J47" s="36"/>
      <c r="K47" s="36"/>
      <c r="L47" s="36"/>
      <c r="M47" s="36"/>
      <c r="N47" s="36"/>
      <c r="O47" s="36"/>
      <c r="P47" s="36"/>
      <c r="Q47" s="36"/>
    </row>
    <row r="48" spans="1:17" ht="12" customHeight="1">
      <c r="A48" s="36"/>
      <c r="B48" s="1024"/>
      <c r="C48" s="1028">
        <f>様式６!G34</f>
        <v>0</v>
      </c>
      <c r="D48" s="36"/>
      <c r="E48" s="1027"/>
      <c r="F48" s="276"/>
      <c r="G48" s="36"/>
      <c r="H48" s="250"/>
      <c r="I48" s="36"/>
      <c r="J48" s="36"/>
      <c r="K48" s="36"/>
      <c r="L48" s="36"/>
      <c r="M48" s="36"/>
      <c r="N48" s="36"/>
      <c r="O48" s="36"/>
      <c r="P48" s="36"/>
      <c r="Q48" s="36"/>
    </row>
    <row r="49" spans="1:17" ht="25" customHeight="1">
      <c r="A49" s="36"/>
      <c r="B49" s="1025"/>
      <c r="C49" s="1012"/>
      <c r="D49" s="277" t="s">
        <v>274</v>
      </c>
      <c r="E49" s="253" t="e">
        <f>様式６!E34</f>
        <v>#N/A</v>
      </c>
      <c r="F49" s="277" t="s">
        <v>274</v>
      </c>
      <c r="G49" s="278" t="e">
        <f>C48-E49</f>
        <v>#N/A</v>
      </c>
      <c r="H49" s="254" t="s">
        <v>274</v>
      </c>
      <c r="I49" s="36"/>
      <c r="J49" s="36"/>
      <c r="K49" s="36"/>
      <c r="L49" s="36"/>
      <c r="M49" s="36"/>
      <c r="N49" s="36"/>
      <c r="O49" s="36"/>
      <c r="P49" s="36"/>
      <c r="Q49" s="36"/>
    </row>
    <row r="50" spans="1:17" ht="12" customHeight="1">
      <c r="A50" s="36"/>
      <c r="B50" s="1023" t="s">
        <v>1223</v>
      </c>
      <c r="C50" s="284"/>
      <c r="D50" s="55"/>
      <c r="E50" s="1026" t="e">
        <f>様式６!E35</f>
        <v>#N/A</v>
      </c>
      <c r="F50" s="271"/>
      <c r="G50" s="161"/>
      <c r="H50" s="281"/>
      <c r="I50" s="36"/>
      <c r="J50" s="36"/>
      <c r="K50" s="36"/>
      <c r="L50" s="36"/>
      <c r="M50" s="36"/>
      <c r="N50" s="36"/>
      <c r="O50" s="36"/>
      <c r="P50" s="36"/>
      <c r="Q50" s="36"/>
    </row>
    <row r="51" spans="1:17" ht="12" customHeight="1">
      <c r="A51" s="36"/>
      <c r="B51" s="1024"/>
      <c r="C51" s="284"/>
      <c r="D51" s="55"/>
      <c r="E51" s="1027"/>
      <c r="F51" s="275"/>
      <c r="G51" s="161"/>
      <c r="H51" s="281"/>
      <c r="I51" s="36"/>
      <c r="J51" s="36"/>
      <c r="K51" s="36"/>
      <c r="L51" s="36"/>
      <c r="M51" s="36"/>
      <c r="N51" s="36"/>
      <c r="O51" s="36"/>
      <c r="P51" s="36"/>
      <c r="Q51" s="36"/>
    </row>
    <row r="52" spans="1:17" ht="12" customHeight="1">
      <c r="A52" s="36"/>
      <c r="B52" s="1024"/>
      <c r="C52" s="1028" t="e">
        <f>様式６!G36</f>
        <v>#N/A</v>
      </c>
      <c r="D52" s="36"/>
      <c r="E52" s="1027"/>
      <c r="F52" s="276"/>
      <c r="G52" s="36"/>
      <c r="H52" s="250"/>
      <c r="I52" s="36"/>
      <c r="J52" s="36"/>
      <c r="K52" s="36"/>
      <c r="L52" s="36"/>
      <c r="M52" s="36"/>
      <c r="N52" s="36"/>
      <c r="O52" s="36"/>
      <c r="P52" s="36"/>
      <c r="Q52" s="36"/>
    </row>
    <row r="53" spans="1:17" ht="25" customHeight="1">
      <c r="A53" s="36"/>
      <c r="B53" s="1025"/>
      <c r="C53" s="1012"/>
      <c r="D53" s="277" t="s">
        <v>274</v>
      </c>
      <c r="E53" s="253" t="e">
        <f>様式６!E36</f>
        <v>#N/A</v>
      </c>
      <c r="F53" s="277" t="s">
        <v>274</v>
      </c>
      <c r="G53" s="278" t="e">
        <f>C52-E53</f>
        <v>#N/A</v>
      </c>
      <c r="H53" s="254" t="s">
        <v>274</v>
      </c>
      <c r="I53" s="36"/>
      <c r="J53" s="36"/>
      <c r="K53" s="36"/>
      <c r="L53" s="36"/>
      <c r="M53" s="36"/>
      <c r="N53" s="36"/>
      <c r="O53" s="36"/>
      <c r="P53" s="36"/>
      <c r="Q53" s="36"/>
    </row>
    <row r="54" spans="1:17" ht="12" customHeight="1">
      <c r="A54" s="36"/>
      <c r="B54" s="1023" t="s">
        <v>275</v>
      </c>
      <c r="C54" s="249"/>
      <c r="D54" s="55"/>
      <c r="E54" s="1030" t="e">
        <f>E38</f>
        <v>#N/A</v>
      </c>
      <c r="F54" s="271"/>
      <c r="G54" s="161"/>
      <c r="H54" s="281"/>
      <c r="I54" s="36"/>
      <c r="J54" s="36"/>
      <c r="K54" s="36"/>
      <c r="L54" s="36"/>
      <c r="M54" s="36"/>
      <c r="N54" s="36"/>
      <c r="O54" s="36"/>
      <c r="P54" s="36"/>
      <c r="Q54" s="36"/>
    </row>
    <row r="55" spans="1:17" ht="12" customHeight="1">
      <c r="A55" s="36"/>
      <c r="B55" s="1024"/>
      <c r="C55" s="249"/>
      <c r="D55" s="55"/>
      <c r="E55" s="1031"/>
      <c r="F55" s="275"/>
      <c r="G55" s="161"/>
      <c r="H55" s="281"/>
      <c r="I55" s="36"/>
      <c r="J55" s="36"/>
      <c r="K55" s="36"/>
      <c r="L55" s="36"/>
      <c r="M55" s="36"/>
      <c r="N55" s="36"/>
      <c r="O55" s="36"/>
      <c r="P55" s="36"/>
      <c r="Q55" s="36"/>
    </row>
    <row r="56" spans="1:17" ht="12" customHeight="1">
      <c r="A56" s="36"/>
      <c r="B56" s="1024"/>
      <c r="C56" s="1028" t="e">
        <f>SUM(C24,C28,C32,C36,C40,C44,C48,C52)</f>
        <v>#N/A</v>
      </c>
      <c r="D56" s="36"/>
      <c r="E56" s="1031"/>
      <c r="F56" s="276"/>
      <c r="G56" s="36"/>
      <c r="H56" s="250"/>
      <c r="I56" s="36"/>
      <c r="J56" s="36"/>
      <c r="K56" s="36"/>
      <c r="L56" s="36"/>
      <c r="M56" s="36"/>
      <c r="N56" s="36"/>
      <c r="O56" s="36"/>
      <c r="P56" s="36"/>
      <c r="Q56" s="36"/>
    </row>
    <row r="57" spans="1:17" ht="27" customHeight="1" thickBot="1">
      <c r="A57" s="36"/>
      <c r="B57" s="1029"/>
      <c r="C57" s="1013"/>
      <c r="D57" s="258" t="s">
        <v>274</v>
      </c>
      <c r="E57" s="259" t="e">
        <f>様式６!E38</f>
        <v>#N/A</v>
      </c>
      <c r="F57" s="263" t="s">
        <v>274</v>
      </c>
      <c r="G57" s="285" t="e">
        <f>C56-E57</f>
        <v>#N/A</v>
      </c>
      <c r="H57" s="260" t="s">
        <v>274</v>
      </c>
      <c r="I57" s="36"/>
      <c r="J57" s="36"/>
      <c r="K57" s="36"/>
      <c r="L57" s="36"/>
      <c r="M57" s="36"/>
      <c r="N57" s="36"/>
      <c r="O57" s="36"/>
      <c r="P57" s="36"/>
      <c r="Q57" s="36"/>
    </row>
  </sheetData>
  <sheetProtection algorithmName="SHA-512" hashValue="tB81QMEcxcoegEQb9CKBlZs6qbAEukVyftos2QGhiSgVBubKXV1rRn+QBYjvggq6QxepnmLVbTjM5yfolHVjgw==" saltValue="rhVDvYErObSt8CLfDLYn/g==" spinCount="100000" sheet="1" objects="1" scenarios="1" selectLockedCells="1"/>
  <mergeCells count="37">
    <mergeCell ref="I11:L11"/>
    <mergeCell ref="C4:E4"/>
    <mergeCell ref="C5:E5"/>
    <mergeCell ref="F7:H9"/>
    <mergeCell ref="F10:H10"/>
    <mergeCell ref="F11:H11"/>
    <mergeCell ref="F12:H12"/>
    <mergeCell ref="B15:H17"/>
    <mergeCell ref="J19:M19"/>
    <mergeCell ref="B22:B25"/>
    <mergeCell ref="E22:E24"/>
    <mergeCell ref="C24:C25"/>
    <mergeCell ref="F13:H13"/>
    <mergeCell ref="B26:B29"/>
    <mergeCell ref="E26:E28"/>
    <mergeCell ref="C28:C29"/>
    <mergeCell ref="B30:B33"/>
    <mergeCell ref="E30:E32"/>
    <mergeCell ref="C32:C33"/>
    <mergeCell ref="B34:B37"/>
    <mergeCell ref="E34:E36"/>
    <mergeCell ref="C36:C37"/>
    <mergeCell ref="B38:B41"/>
    <mergeCell ref="E38:E40"/>
    <mergeCell ref="C40:C41"/>
    <mergeCell ref="B42:B45"/>
    <mergeCell ref="E42:E44"/>
    <mergeCell ref="C44:C45"/>
    <mergeCell ref="B46:B49"/>
    <mergeCell ref="E46:E48"/>
    <mergeCell ref="C48:C49"/>
    <mergeCell ref="B50:B53"/>
    <mergeCell ref="E50:E52"/>
    <mergeCell ref="C52:C53"/>
    <mergeCell ref="B54:B57"/>
    <mergeCell ref="E54:E56"/>
    <mergeCell ref="C56:C57"/>
  </mergeCells>
  <phoneticPr fontId="1"/>
  <conditionalFormatting sqref="F7:H7 F10:H11">
    <cfRule type="containsBlanks" dxfId="2" priority="2">
      <formula>LEN(TRIM(F7))=0</formula>
    </cfRule>
  </conditionalFormatting>
  <conditionalFormatting sqref="G2">
    <cfRule type="containsBlanks" dxfId="1" priority="1">
      <formula>LEN(TRIM(G2))=0</formula>
    </cfRule>
  </conditionalFormatting>
  <dataValidations count="1">
    <dataValidation type="date" operator="notEqual" allowBlank="1" showInputMessage="1" showErrorMessage="1" sqref="G2" xr:uid="{676FFAA7-6B13-4790-AE56-6E382E1A751D}">
      <formula1>92</formula1>
    </dataValidation>
  </dataValidations>
  <pageMargins left="0.78740157480314965" right="0.78740157480314965" top="0.98425196850393704" bottom="0.98425196850393704" header="0.51181102362204722" footer="0.51181102362204722"/>
  <pageSetup paperSize="9" scale="72" orientation="portrait" blackAndWhite="1"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1315C-07A8-43E8-8657-9079E86E2CC1}">
  <sheetPr>
    <tabColor rgb="FF7030A0"/>
  </sheetPr>
  <dimension ref="A1:AA30"/>
  <sheetViews>
    <sheetView showGridLines="0" view="pageBreakPreview" zoomScale="80" zoomScaleNormal="70" zoomScaleSheetLayoutView="80" workbookViewId="0">
      <selection activeCell="A23" sqref="A23"/>
    </sheetView>
  </sheetViews>
  <sheetFormatPr defaultColWidth="3.33203125" defaultRowHeight="14"/>
  <cols>
    <col min="1" max="1" width="22.5" style="286" customWidth="1"/>
    <col min="2" max="3" width="19.75" style="286" customWidth="1"/>
    <col min="4" max="4" width="26.83203125" style="286" customWidth="1"/>
    <col min="5" max="5" width="3.58203125" style="286" customWidth="1"/>
    <col min="6" max="6" width="14.75" style="286" bestFit="1" customWidth="1"/>
    <col min="7" max="7" width="10.5" style="286" customWidth="1"/>
    <col min="8" max="8" width="11.33203125" style="286" bestFit="1" customWidth="1"/>
    <col min="9" max="238" width="3.33203125" style="286"/>
    <col min="239" max="260" width="3.83203125" style="286" customWidth="1"/>
    <col min="261" max="261" width="3.58203125" style="286" customWidth="1"/>
    <col min="262" max="494" width="3.33203125" style="286"/>
    <col min="495" max="516" width="3.83203125" style="286" customWidth="1"/>
    <col min="517" max="517" width="3.58203125" style="286" customWidth="1"/>
    <col min="518" max="750" width="3.33203125" style="286"/>
    <col min="751" max="772" width="3.83203125" style="286" customWidth="1"/>
    <col min="773" max="773" width="3.58203125" style="286" customWidth="1"/>
    <col min="774" max="1006" width="3.33203125" style="286"/>
    <col min="1007" max="1028" width="3.83203125" style="286" customWidth="1"/>
    <col min="1029" max="1029" width="3.58203125" style="286" customWidth="1"/>
    <col min="1030" max="1262" width="3.33203125" style="286"/>
    <col min="1263" max="1284" width="3.83203125" style="286" customWidth="1"/>
    <col min="1285" max="1285" width="3.58203125" style="286" customWidth="1"/>
    <col min="1286" max="1518" width="3.33203125" style="286"/>
    <col min="1519" max="1540" width="3.83203125" style="286" customWidth="1"/>
    <col min="1541" max="1541" width="3.58203125" style="286" customWidth="1"/>
    <col min="1542" max="1774" width="3.33203125" style="286"/>
    <col min="1775" max="1796" width="3.83203125" style="286" customWidth="1"/>
    <col min="1797" max="1797" width="3.58203125" style="286" customWidth="1"/>
    <col min="1798" max="2030" width="3.33203125" style="286"/>
    <col min="2031" max="2052" width="3.83203125" style="286" customWidth="1"/>
    <col min="2053" max="2053" width="3.58203125" style="286" customWidth="1"/>
    <col min="2054" max="2286" width="3.33203125" style="286"/>
    <col min="2287" max="2308" width="3.83203125" style="286" customWidth="1"/>
    <col min="2309" max="2309" width="3.58203125" style="286" customWidth="1"/>
    <col min="2310" max="2542" width="3.33203125" style="286"/>
    <col min="2543" max="2564" width="3.83203125" style="286" customWidth="1"/>
    <col min="2565" max="2565" width="3.58203125" style="286" customWidth="1"/>
    <col min="2566" max="2798" width="3.33203125" style="286"/>
    <col min="2799" max="2820" width="3.83203125" style="286" customWidth="1"/>
    <col min="2821" max="2821" width="3.58203125" style="286" customWidth="1"/>
    <col min="2822" max="3054" width="3.33203125" style="286"/>
    <col min="3055" max="3076" width="3.83203125" style="286" customWidth="1"/>
    <col min="3077" max="3077" width="3.58203125" style="286" customWidth="1"/>
    <col min="3078" max="3310" width="3.33203125" style="286"/>
    <col min="3311" max="3332" width="3.83203125" style="286" customWidth="1"/>
    <col min="3333" max="3333" width="3.58203125" style="286" customWidth="1"/>
    <col min="3334" max="3566" width="3.33203125" style="286"/>
    <col min="3567" max="3588" width="3.83203125" style="286" customWidth="1"/>
    <col min="3589" max="3589" width="3.58203125" style="286" customWidth="1"/>
    <col min="3590" max="3822" width="3.33203125" style="286"/>
    <col min="3823" max="3844" width="3.83203125" style="286" customWidth="1"/>
    <col min="3845" max="3845" width="3.58203125" style="286" customWidth="1"/>
    <col min="3846" max="4078" width="3.33203125" style="286"/>
    <col min="4079" max="4100" width="3.83203125" style="286" customWidth="1"/>
    <col min="4101" max="4101" width="3.58203125" style="286" customWidth="1"/>
    <col min="4102" max="4334" width="3.33203125" style="286"/>
    <col min="4335" max="4356" width="3.83203125" style="286" customWidth="1"/>
    <col min="4357" max="4357" width="3.58203125" style="286" customWidth="1"/>
    <col min="4358" max="4590" width="3.33203125" style="286"/>
    <col min="4591" max="4612" width="3.83203125" style="286" customWidth="1"/>
    <col min="4613" max="4613" width="3.58203125" style="286" customWidth="1"/>
    <col min="4614" max="4846" width="3.33203125" style="286"/>
    <col min="4847" max="4868" width="3.83203125" style="286" customWidth="1"/>
    <col min="4869" max="4869" width="3.58203125" style="286" customWidth="1"/>
    <col min="4870" max="5102" width="3.33203125" style="286"/>
    <col min="5103" max="5124" width="3.83203125" style="286" customWidth="1"/>
    <col min="5125" max="5125" width="3.58203125" style="286" customWidth="1"/>
    <col min="5126" max="5358" width="3.33203125" style="286"/>
    <col min="5359" max="5380" width="3.83203125" style="286" customWidth="1"/>
    <col min="5381" max="5381" width="3.58203125" style="286" customWidth="1"/>
    <col min="5382" max="5614" width="3.33203125" style="286"/>
    <col min="5615" max="5636" width="3.83203125" style="286" customWidth="1"/>
    <col min="5637" max="5637" width="3.58203125" style="286" customWidth="1"/>
    <col min="5638" max="5870" width="3.33203125" style="286"/>
    <col min="5871" max="5892" width="3.83203125" style="286" customWidth="1"/>
    <col min="5893" max="5893" width="3.58203125" style="286" customWidth="1"/>
    <col min="5894" max="6126" width="3.33203125" style="286"/>
    <col min="6127" max="6148" width="3.83203125" style="286" customWidth="1"/>
    <col min="6149" max="6149" width="3.58203125" style="286" customWidth="1"/>
    <col min="6150" max="6382" width="3.33203125" style="286"/>
    <col min="6383" max="6404" width="3.83203125" style="286" customWidth="1"/>
    <col min="6405" max="6405" width="3.58203125" style="286" customWidth="1"/>
    <col min="6406" max="6638" width="3.33203125" style="286"/>
    <col min="6639" max="6660" width="3.83203125" style="286" customWidth="1"/>
    <col min="6661" max="6661" width="3.58203125" style="286" customWidth="1"/>
    <col min="6662" max="6894" width="3.33203125" style="286"/>
    <col min="6895" max="6916" width="3.83203125" style="286" customWidth="1"/>
    <col min="6917" max="6917" width="3.58203125" style="286" customWidth="1"/>
    <col min="6918" max="7150" width="3.33203125" style="286"/>
    <col min="7151" max="7172" width="3.83203125" style="286" customWidth="1"/>
    <col min="7173" max="7173" width="3.58203125" style="286" customWidth="1"/>
    <col min="7174" max="7406" width="3.33203125" style="286"/>
    <col min="7407" max="7428" width="3.83203125" style="286" customWidth="1"/>
    <col min="7429" max="7429" width="3.58203125" style="286" customWidth="1"/>
    <col min="7430" max="7662" width="3.33203125" style="286"/>
    <col min="7663" max="7684" width="3.83203125" style="286" customWidth="1"/>
    <col min="7685" max="7685" width="3.58203125" style="286" customWidth="1"/>
    <col min="7686" max="7918" width="3.33203125" style="286"/>
    <col min="7919" max="7940" width="3.83203125" style="286" customWidth="1"/>
    <col min="7941" max="7941" width="3.58203125" style="286" customWidth="1"/>
    <col min="7942" max="8174" width="3.33203125" style="286"/>
    <col min="8175" max="8196" width="3.83203125" style="286" customWidth="1"/>
    <col min="8197" max="8197" width="3.58203125" style="286" customWidth="1"/>
    <col min="8198" max="8430" width="3.33203125" style="286"/>
    <col min="8431" max="8452" width="3.83203125" style="286" customWidth="1"/>
    <col min="8453" max="8453" width="3.58203125" style="286" customWidth="1"/>
    <col min="8454" max="8686" width="3.33203125" style="286"/>
    <col min="8687" max="8708" width="3.83203125" style="286" customWidth="1"/>
    <col min="8709" max="8709" width="3.58203125" style="286" customWidth="1"/>
    <col min="8710" max="8942" width="3.33203125" style="286"/>
    <col min="8943" max="8964" width="3.83203125" style="286" customWidth="1"/>
    <col min="8965" max="8965" width="3.58203125" style="286" customWidth="1"/>
    <col min="8966" max="9198" width="3.33203125" style="286"/>
    <col min="9199" max="9220" width="3.83203125" style="286" customWidth="1"/>
    <col min="9221" max="9221" width="3.58203125" style="286" customWidth="1"/>
    <col min="9222" max="9454" width="3.33203125" style="286"/>
    <col min="9455" max="9476" width="3.83203125" style="286" customWidth="1"/>
    <col min="9477" max="9477" width="3.58203125" style="286" customWidth="1"/>
    <col min="9478" max="9710" width="3.33203125" style="286"/>
    <col min="9711" max="9732" width="3.83203125" style="286" customWidth="1"/>
    <col min="9733" max="9733" width="3.58203125" style="286" customWidth="1"/>
    <col min="9734" max="9966" width="3.33203125" style="286"/>
    <col min="9967" max="9988" width="3.83203125" style="286" customWidth="1"/>
    <col min="9989" max="9989" width="3.58203125" style="286" customWidth="1"/>
    <col min="9990" max="10222" width="3.33203125" style="286"/>
    <col min="10223" max="10244" width="3.83203125" style="286" customWidth="1"/>
    <col min="10245" max="10245" width="3.58203125" style="286" customWidth="1"/>
    <col min="10246" max="10478" width="3.33203125" style="286"/>
    <col min="10479" max="10500" width="3.83203125" style="286" customWidth="1"/>
    <col min="10501" max="10501" width="3.58203125" style="286" customWidth="1"/>
    <col min="10502" max="10734" width="3.33203125" style="286"/>
    <col min="10735" max="10756" width="3.83203125" style="286" customWidth="1"/>
    <col min="10757" max="10757" width="3.58203125" style="286" customWidth="1"/>
    <col min="10758" max="10990" width="3.33203125" style="286"/>
    <col min="10991" max="11012" width="3.83203125" style="286" customWidth="1"/>
    <col min="11013" max="11013" width="3.58203125" style="286" customWidth="1"/>
    <col min="11014" max="11246" width="3.33203125" style="286"/>
    <col min="11247" max="11268" width="3.83203125" style="286" customWidth="1"/>
    <col min="11269" max="11269" width="3.58203125" style="286" customWidth="1"/>
    <col min="11270" max="11502" width="3.33203125" style="286"/>
    <col min="11503" max="11524" width="3.83203125" style="286" customWidth="1"/>
    <col min="11525" max="11525" width="3.58203125" style="286" customWidth="1"/>
    <col min="11526" max="11758" width="3.33203125" style="286"/>
    <col min="11759" max="11780" width="3.83203125" style="286" customWidth="1"/>
    <col min="11781" max="11781" width="3.58203125" style="286" customWidth="1"/>
    <col min="11782" max="12014" width="3.33203125" style="286"/>
    <col min="12015" max="12036" width="3.83203125" style="286" customWidth="1"/>
    <col min="12037" max="12037" width="3.58203125" style="286" customWidth="1"/>
    <col min="12038" max="12270" width="3.33203125" style="286"/>
    <col min="12271" max="12292" width="3.83203125" style="286" customWidth="1"/>
    <col min="12293" max="12293" width="3.58203125" style="286" customWidth="1"/>
    <col min="12294" max="12526" width="3.33203125" style="286"/>
    <col min="12527" max="12548" width="3.83203125" style="286" customWidth="1"/>
    <col min="12549" max="12549" width="3.58203125" style="286" customWidth="1"/>
    <col min="12550" max="12782" width="3.33203125" style="286"/>
    <col min="12783" max="12804" width="3.83203125" style="286" customWidth="1"/>
    <col min="12805" max="12805" width="3.58203125" style="286" customWidth="1"/>
    <col min="12806" max="13038" width="3.33203125" style="286"/>
    <col min="13039" max="13060" width="3.83203125" style="286" customWidth="1"/>
    <col min="13061" max="13061" width="3.58203125" style="286" customWidth="1"/>
    <col min="13062" max="13294" width="3.33203125" style="286"/>
    <col min="13295" max="13316" width="3.83203125" style="286" customWidth="1"/>
    <col min="13317" max="13317" width="3.58203125" style="286" customWidth="1"/>
    <col min="13318" max="13550" width="3.33203125" style="286"/>
    <col min="13551" max="13572" width="3.83203125" style="286" customWidth="1"/>
    <col min="13573" max="13573" width="3.58203125" style="286" customWidth="1"/>
    <col min="13574" max="13806" width="3.33203125" style="286"/>
    <col min="13807" max="13828" width="3.83203125" style="286" customWidth="1"/>
    <col min="13829" max="13829" width="3.58203125" style="286" customWidth="1"/>
    <col min="13830" max="14062" width="3.33203125" style="286"/>
    <col min="14063" max="14084" width="3.83203125" style="286" customWidth="1"/>
    <col min="14085" max="14085" width="3.58203125" style="286" customWidth="1"/>
    <col min="14086" max="14318" width="3.33203125" style="286"/>
    <col min="14319" max="14340" width="3.83203125" style="286" customWidth="1"/>
    <col min="14341" max="14341" width="3.58203125" style="286" customWidth="1"/>
    <col min="14342" max="14574" width="3.33203125" style="286"/>
    <col min="14575" max="14596" width="3.83203125" style="286" customWidth="1"/>
    <col min="14597" max="14597" width="3.58203125" style="286" customWidth="1"/>
    <col min="14598" max="14830" width="3.33203125" style="286"/>
    <col min="14831" max="14852" width="3.83203125" style="286" customWidth="1"/>
    <col min="14853" max="14853" width="3.58203125" style="286" customWidth="1"/>
    <col min="14854" max="15086" width="3.33203125" style="286"/>
    <col min="15087" max="15108" width="3.83203125" style="286" customWidth="1"/>
    <col min="15109" max="15109" width="3.58203125" style="286" customWidth="1"/>
    <col min="15110" max="15342" width="3.33203125" style="286"/>
    <col min="15343" max="15364" width="3.83203125" style="286" customWidth="1"/>
    <col min="15365" max="15365" width="3.58203125" style="286" customWidth="1"/>
    <col min="15366" max="15598" width="3.33203125" style="286"/>
    <col min="15599" max="15620" width="3.83203125" style="286" customWidth="1"/>
    <col min="15621" max="15621" width="3.58203125" style="286" customWidth="1"/>
    <col min="15622" max="15854" width="3.33203125" style="286"/>
    <col min="15855" max="15876" width="3.83203125" style="286" customWidth="1"/>
    <col min="15877" max="15877" width="3.58203125" style="286" customWidth="1"/>
    <col min="15878" max="16110" width="3.33203125" style="286"/>
    <col min="16111" max="16132" width="3.83203125" style="286" customWidth="1"/>
    <col min="16133" max="16133" width="3.58203125" style="286" customWidth="1"/>
    <col min="16134" max="16384" width="3.33203125" style="286"/>
  </cols>
  <sheetData>
    <row r="1" spans="1:27" ht="21.75" customHeight="1">
      <c r="D1" s="286" t="e">
        <f>様式８!H1</f>
        <v>#N/A</v>
      </c>
      <c r="E1" s="1037"/>
      <c r="F1" s="1037"/>
    </row>
    <row r="2" spans="1:27" ht="21.75" customHeight="1">
      <c r="E2" s="1037"/>
      <c r="F2" s="1037"/>
    </row>
    <row r="3" spans="1:27" ht="21.75" customHeight="1">
      <c r="D3" s="287">
        <f>様式６!G2</f>
        <v>46112</v>
      </c>
    </row>
    <row r="4" spans="1:27" ht="21.75" customHeight="1"/>
    <row r="5" spans="1:27" ht="21.75" customHeight="1">
      <c r="A5" s="1038" t="s">
        <v>896</v>
      </c>
      <c r="B5" s="1038"/>
      <c r="C5" s="1038"/>
      <c r="D5" s="1038"/>
      <c r="E5" s="288"/>
      <c r="I5" s="289"/>
    </row>
    <row r="6" spans="1:27" ht="21.75" customHeight="1">
      <c r="A6" s="1038" t="s">
        <v>897</v>
      </c>
      <c r="B6" s="1038"/>
      <c r="C6" s="1038"/>
      <c r="D6" s="1038"/>
      <c r="E6" s="288"/>
      <c r="F6" s="290"/>
    </row>
    <row r="7" spans="1:27" ht="21.75" customHeight="1">
      <c r="E7" s="290"/>
      <c r="F7" s="290"/>
      <c r="G7" s="290"/>
    </row>
    <row r="8" spans="1:27" ht="21.75" customHeight="1">
      <c r="B8" s="291"/>
      <c r="C8" s="291"/>
      <c r="D8" s="291"/>
    </row>
    <row r="9" spans="1:27" ht="21.75" customHeight="1">
      <c r="A9" s="286" t="s">
        <v>898</v>
      </c>
    </row>
    <row r="10" spans="1:27" ht="21.75" customHeight="1">
      <c r="C10" s="1039" t="e">
        <f>IF(様式８!F7="","",様式８!F7)</f>
        <v>#N/A</v>
      </c>
      <c r="D10" s="1039"/>
    </row>
    <row r="11" spans="1:27" ht="21.75" customHeight="1">
      <c r="C11" s="1022"/>
      <c r="D11" s="1022"/>
    </row>
    <row r="12" spans="1:27" ht="21.75" customHeight="1">
      <c r="B12" s="292" t="s">
        <v>899</v>
      </c>
      <c r="C12" s="1022"/>
      <c r="D12" s="1022"/>
    </row>
    <row r="13" spans="1:27" ht="21.75" customHeight="1">
      <c r="B13" s="291" t="s">
        <v>278</v>
      </c>
      <c r="C13" s="1036" t="e">
        <f>IF(様式８!F10="","",様式８!F10)</f>
        <v>#N/A</v>
      </c>
      <c r="D13" s="1036"/>
    </row>
    <row r="14" spans="1:27" ht="21.75" customHeight="1">
      <c r="B14" s="291" t="s">
        <v>279</v>
      </c>
      <c r="C14" s="1036" t="e">
        <f>IF(様式８!F11="","",様式８!F11)</f>
        <v>#N/A</v>
      </c>
      <c r="D14" s="1036"/>
      <c r="G14" s="293"/>
      <c r="H14" s="293"/>
      <c r="I14" s="293"/>
      <c r="J14" s="293"/>
      <c r="K14" s="293"/>
      <c r="L14" s="293"/>
      <c r="M14" s="293"/>
      <c r="N14" s="293"/>
      <c r="O14" s="293"/>
      <c r="P14" s="293"/>
      <c r="Q14" s="293"/>
      <c r="R14" s="293"/>
      <c r="S14" s="293"/>
      <c r="T14" s="293"/>
      <c r="U14" s="293"/>
      <c r="V14" s="293"/>
      <c r="W14" s="293"/>
      <c r="X14" s="293"/>
      <c r="Y14" s="293"/>
      <c r="Z14" s="293"/>
      <c r="AA14" s="293"/>
    </row>
    <row r="15" spans="1:27" ht="21.75" customHeight="1">
      <c r="B15" s="291" t="s">
        <v>900</v>
      </c>
      <c r="C15" s="1036" t="e">
        <f>IF(様式８!F12="","",様式８!F12)</f>
        <v>#N/A</v>
      </c>
      <c r="D15" s="1036"/>
    </row>
    <row r="16" spans="1:27" ht="21.75" customHeight="1">
      <c r="B16" s="291" t="s">
        <v>1225</v>
      </c>
      <c r="C16" s="1036">
        <f>IF(様式８!F13="","",様式８!F13)</f>
        <v>0</v>
      </c>
      <c r="D16" s="1036"/>
    </row>
    <row r="17" spans="1:8" ht="21.75" customHeight="1">
      <c r="E17" s="294"/>
      <c r="F17" s="294"/>
      <c r="G17" s="294"/>
    </row>
    <row r="18" spans="1:8" ht="21.75" customHeight="1">
      <c r="A18" s="1008" t="str">
        <f>CONCATENATE(A5,"について、")</f>
        <v>千葉市施設型給付対象施設保育士等配置基準改善事業補助金について、</v>
      </c>
      <c r="B18" s="1008"/>
      <c r="C18" s="1008"/>
      <c r="D18" s="1008"/>
    </row>
    <row r="19" spans="1:8" ht="21.75" customHeight="1">
      <c r="A19" s="1008" t="s">
        <v>901</v>
      </c>
      <c r="B19" s="1008"/>
      <c r="C19" s="1008"/>
      <c r="D19" s="1008"/>
    </row>
    <row r="20" spans="1:8" ht="21.75" customHeight="1">
      <c r="A20" s="295"/>
      <c r="B20" s="292"/>
      <c r="C20" s="292"/>
      <c r="D20" s="289"/>
    </row>
    <row r="21" spans="1:8" ht="21.75" customHeight="1">
      <c r="A21" s="296"/>
      <c r="D21" s="297"/>
    </row>
    <row r="22" spans="1:8" ht="37.5" customHeight="1">
      <c r="A22" s="298" t="s">
        <v>902</v>
      </c>
      <c r="B22" s="299" t="s">
        <v>903</v>
      </c>
      <c r="C22" s="299" t="s">
        <v>904</v>
      </c>
      <c r="D22" s="300" t="s">
        <v>905</v>
      </c>
    </row>
    <row r="23" spans="1:8" ht="50.15" customHeight="1">
      <c r="A23" s="300" t="e">
        <f>様式６!$E$21</f>
        <v>#N/A</v>
      </c>
      <c r="B23" s="311" t="e">
        <f>様式６!E38</f>
        <v>#N/A</v>
      </c>
      <c r="C23" s="311" t="e">
        <f>様式６!G38</f>
        <v>#N/A</v>
      </c>
      <c r="D23" s="312" t="e">
        <f>C23-B23</f>
        <v>#N/A</v>
      </c>
    </row>
    <row r="24" spans="1:8" s="302" customFormat="1">
      <c r="A24" s="286"/>
      <c r="B24" s="286"/>
      <c r="C24" s="301"/>
      <c r="F24" s="303"/>
      <c r="G24" s="303"/>
      <c r="H24" s="303"/>
    </row>
    <row r="25" spans="1:8">
      <c r="C25" s="301"/>
      <c r="D25" s="302"/>
    </row>
    <row r="26" spans="1:8" ht="26.25" customHeight="1"/>
    <row r="28" spans="1:8">
      <c r="D28" s="304"/>
    </row>
    <row r="30" spans="1:8">
      <c r="C30" s="304"/>
    </row>
  </sheetData>
  <sheetProtection algorithmName="SHA-512" hashValue="MZgIYlPabuvN/a/j0eCBZIqChnlpjWzEBMseBT33h4lXPgD6JoLtxY3L8xxUnPrEP51UmhiIP/OZI8ctEQJbFQ==" saltValue="rObsR+RHXS+50joHhozdEw==" spinCount="100000" sheet="1" objects="1" scenarios="1" selectLockedCells="1"/>
  <mergeCells count="10">
    <mergeCell ref="C15:D15"/>
    <mergeCell ref="A18:D18"/>
    <mergeCell ref="A19:D19"/>
    <mergeCell ref="E1:F2"/>
    <mergeCell ref="A5:D5"/>
    <mergeCell ref="A6:D6"/>
    <mergeCell ref="C10:D12"/>
    <mergeCell ref="C13:D13"/>
    <mergeCell ref="C14:D14"/>
    <mergeCell ref="C16:D16"/>
  </mergeCells>
  <phoneticPr fontId="1"/>
  <conditionalFormatting sqref="C10:D15">
    <cfRule type="containsBlanks" dxfId="0" priority="1">
      <formula>LEN(TRIM(C10))=0</formula>
    </cfRule>
  </conditionalFormatting>
  <dataValidations disablePrompts="1" count="1">
    <dataValidation type="date" operator="notEqual" allowBlank="1" showInputMessage="1" showErrorMessage="1" sqref="D3" xr:uid="{51678FD2-CD65-47B5-8454-4B72639A169E}">
      <formula1>92</formula1>
    </dataValidation>
  </dataValidations>
  <pageMargins left="0.7" right="0.7" top="0.75" bottom="0.75" header="0.3" footer="0.3"/>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FC7E3-9631-4121-B9F5-E8DA7C5CA7F7}">
  <sheetPr codeName="Sheet3">
    <tabColor theme="1"/>
  </sheetPr>
  <dimension ref="A1:IA68"/>
  <sheetViews>
    <sheetView zoomScale="80" zoomScaleNormal="80" workbookViewId="0">
      <pane xSplit="4" ySplit="4" topLeftCell="E5" activePane="bottomRight" state="frozen"/>
      <selection activeCell="A6" sqref="A6:AJ42"/>
      <selection pane="topRight" activeCell="A6" sqref="A6:AJ42"/>
      <selection pane="bottomLeft" activeCell="A6" sqref="A6:AJ42"/>
      <selection pane="bottomRight" sqref="A1:XFD1048576"/>
    </sheetView>
  </sheetViews>
  <sheetFormatPr defaultColWidth="9" defaultRowHeight="15"/>
  <cols>
    <col min="1" max="1" width="9" style="575" customWidth="1"/>
    <col min="2" max="2" width="5.33203125" style="575" customWidth="1"/>
    <col min="3" max="3" width="9.08203125" style="576" customWidth="1"/>
    <col min="4" max="4" width="24" style="584" customWidth="1"/>
    <col min="5" max="5" width="9" style="584" customWidth="1"/>
    <col min="6" max="35" width="9" style="600" customWidth="1"/>
    <col min="36" max="105" width="9" style="600"/>
    <col min="106" max="116" width="8.83203125" style="600" hidden="1" customWidth="1"/>
    <col min="117" max="141" width="0" style="600" hidden="1" customWidth="1"/>
    <col min="142" max="16384" width="9" style="600"/>
  </cols>
  <sheetData>
    <row r="1" spans="1:235" ht="26.5">
      <c r="A1" s="578"/>
      <c r="C1" s="576">
        <v>1</v>
      </c>
      <c r="D1" s="576">
        <v>2</v>
      </c>
      <c r="E1" s="576">
        <v>3</v>
      </c>
      <c r="F1" s="576">
        <v>4</v>
      </c>
      <c r="G1" s="576">
        <v>5</v>
      </c>
      <c r="H1" s="576">
        <v>6</v>
      </c>
      <c r="I1" s="576">
        <v>7</v>
      </c>
      <c r="J1" s="576">
        <v>8</v>
      </c>
      <c r="K1" s="576">
        <v>9</v>
      </c>
      <c r="L1" s="576">
        <v>10</v>
      </c>
      <c r="M1" s="576">
        <v>11</v>
      </c>
      <c r="N1" s="576">
        <v>12</v>
      </c>
      <c r="O1" s="576">
        <v>13</v>
      </c>
      <c r="P1" s="576">
        <v>14</v>
      </c>
      <c r="Q1" s="576">
        <v>15</v>
      </c>
      <c r="R1" s="576">
        <v>16</v>
      </c>
      <c r="S1" s="576">
        <v>17</v>
      </c>
      <c r="T1" s="576">
        <v>18</v>
      </c>
      <c r="U1" s="576">
        <v>19</v>
      </c>
      <c r="V1" s="576">
        <v>20</v>
      </c>
      <c r="W1" s="576">
        <v>21</v>
      </c>
      <c r="X1" s="576">
        <v>22</v>
      </c>
      <c r="Y1" s="576">
        <v>23</v>
      </c>
      <c r="Z1" s="576">
        <v>24</v>
      </c>
      <c r="AA1" s="576">
        <v>25</v>
      </c>
      <c r="AB1" s="576">
        <v>26</v>
      </c>
      <c r="AC1" s="576">
        <v>27</v>
      </c>
      <c r="AD1" s="576">
        <v>28</v>
      </c>
      <c r="AE1" s="576">
        <v>29</v>
      </c>
      <c r="AF1" s="576">
        <v>30</v>
      </c>
      <c r="AG1" s="576">
        <v>31</v>
      </c>
      <c r="AH1" s="576">
        <v>32</v>
      </c>
      <c r="AI1" s="576">
        <v>33</v>
      </c>
      <c r="AJ1" s="576">
        <v>34</v>
      </c>
      <c r="AK1" s="576">
        <v>35</v>
      </c>
      <c r="AL1" s="576">
        <v>36</v>
      </c>
      <c r="AM1" s="576">
        <v>37</v>
      </c>
      <c r="AN1" s="576">
        <v>38</v>
      </c>
      <c r="AO1" s="576">
        <v>39</v>
      </c>
      <c r="AP1" s="576">
        <v>40</v>
      </c>
      <c r="AQ1" s="576">
        <v>41</v>
      </c>
      <c r="AR1" s="576">
        <v>42</v>
      </c>
      <c r="AS1" s="576">
        <v>43</v>
      </c>
      <c r="AT1" s="576">
        <v>44</v>
      </c>
      <c r="AU1" s="576">
        <v>45</v>
      </c>
      <c r="AV1" s="576">
        <v>46</v>
      </c>
      <c r="AW1" s="576">
        <v>47</v>
      </c>
      <c r="AX1" s="576">
        <v>48</v>
      </c>
      <c r="AY1" s="576">
        <v>49</v>
      </c>
      <c r="AZ1" s="576">
        <v>50</v>
      </c>
      <c r="BA1" s="576">
        <v>51</v>
      </c>
      <c r="BB1" s="576">
        <v>52</v>
      </c>
      <c r="BC1" s="576">
        <v>53</v>
      </c>
      <c r="BD1" s="576">
        <v>54</v>
      </c>
      <c r="BE1" s="576">
        <v>55</v>
      </c>
      <c r="BF1" s="576">
        <v>56</v>
      </c>
      <c r="BG1" s="576">
        <v>57</v>
      </c>
      <c r="BH1" s="576">
        <v>58</v>
      </c>
      <c r="BI1" s="576">
        <v>59</v>
      </c>
      <c r="BJ1" s="576">
        <v>60</v>
      </c>
      <c r="BK1" s="576">
        <v>61</v>
      </c>
      <c r="BL1" s="576">
        <v>62</v>
      </c>
      <c r="BM1" s="576">
        <v>63</v>
      </c>
      <c r="BN1" s="576">
        <v>64</v>
      </c>
      <c r="BO1" s="576">
        <v>65</v>
      </c>
      <c r="BP1" s="576">
        <v>66</v>
      </c>
      <c r="BQ1" s="576">
        <v>67</v>
      </c>
      <c r="BR1" s="576">
        <v>68</v>
      </c>
      <c r="BS1" s="576">
        <v>69</v>
      </c>
      <c r="BT1" s="576">
        <v>70</v>
      </c>
      <c r="BU1" s="576">
        <v>71</v>
      </c>
      <c r="BV1" s="576">
        <v>72</v>
      </c>
      <c r="BW1" s="576">
        <v>73</v>
      </c>
      <c r="BX1" s="576">
        <v>74</v>
      </c>
      <c r="BY1" s="576">
        <v>75</v>
      </c>
      <c r="BZ1" s="576">
        <v>76</v>
      </c>
      <c r="CA1" s="576">
        <v>77</v>
      </c>
      <c r="CB1" s="576">
        <v>78</v>
      </c>
      <c r="CC1" s="576">
        <v>79</v>
      </c>
      <c r="CD1" s="576">
        <v>80</v>
      </c>
      <c r="CE1" s="576">
        <v>81</v>
      </c>
      <c r="CF1" s="576">
        <v>82</v>
      </c>
      <c r="CG1" s="576">
        <v>83</v>
      </c>
      <c r="CH1" s="576">
        <v>84</v>
      </c>
      <c r="CI1" s="576">
        <v>85</v>
      </c>
      <c r="CJ1" s="576">
        <v>86</v>
      </c>
      <c r="CK1" s="576">
        <v>87</v>
      </c>
      <c r="CL1" s="576">
        <v>88</v>
      </c>
      <c r="CM1" s="576">
        <v>89</v>
      </c>
      <c r="CN1" s="576">
        <v>90</v>
      </c>
      <c r="CO1" s="576">
        <v>91</v>
      </c>
      <c r="CP1" s="576">
        <v>92</v>
      </c>
      <c r="CQ1" s="576">
        <v>93</v>
      </c>
      <c r="CR1" s="576">
        <v>94</v>
      </c>
      <c r="CS1" s="576">
        <v>95</v>
      </c>
      <c r="CT1" s="576">
        <v>96</v>
      </c>
      <c r="CU1" s="576">
        <v>97</v>
      </c>
      <c r="CV1" s="576">
        <v>98</v>
      </c>
      <c r="CW1" s="576">
        <v>99</v>
      </c>
      <c r="CX1" s="576">
        <v>100</v>
      </c>
      <c r="CY1" s="576">
        <v>101</v>
      </c>
      <c r="CZ1" s="576">
        <v>102</v>
      </c>
      <c r="DA1" s="576">
        <v>103</v>
      </c>
      <c r="DB1" s="576">
        <v>104</v>
      </c>
      <c r="DC1" s="576">
        <v>105</v>
      </c>
      <c r="DD1" s="576">
        <v>106</v>
      </c>
      <c r="DE1" s="576">
        <v>107</v>
      </c>
      <c r="DF1" s="576">
        <v>108</v>
      </c>
      <c r="DG1" s="576">
        <v>109</v>
      </c>
      <c r="DH1" s="576">
        <v>110</v>
      </c>
      <c r="DI1" s="576">
        <v>111</v>
      </c>
      <c r="DJ1" s="576">
        <v>112</v>
      </c>
      <c r="DK1" s="576">
        <v>113</v>
      </c>
      <c r="DL1" s="576">
        <v>114</v>
      </c>
      <c r="DM1" s="576">
        <v>115</v>
      </c>
      <c r="DN1" s="576">
        <v>116</v>
      </c>
      <c r="DO1" s="576">
        <v>117</v>
      </c>
      <c r="DP1" s="576">
        <v>118</v>
      </c>
      <c r="DQ1" s="576">
        <v>119</v>
      </c>
      <c r="DR1" s="576">
        <v>120</v>
      </c>
      <c r="DS1" s="576">
        <v>121</v>
      </c>
      <c r="DT1" s="576">
        <v>122</v>
      </c>
      <c r="DU1" s="576">
        <v>123</v>
      </c>
      <c r="DV1" s="576">
        <v>124</v>
      </c>
      <c r="DW1" s="576">
        <v>125</v>
      </c>
      <c r="DX1" s="576">
        <v>126</v>
      </c>
      <c r="DY1" s="576">
        <v>127</v>
      </c>
      <c r="DZ1" s="576">
        <v>128</v>
      </c>
      <c r="EA1" s="576">
        <v>129</v>
      </c>
      <c r="EB1" s="576">
        <v>130</v>
      </c>
      <c r="EC1" s="576">
        <v>131</v>
      </c>
      <c r="ED1" s="576">
        <v>132</v>
      </c>
      <c r="EE1" s="576">
        <v>133</v>
      </c>
      <c r="EF1" s="576">
        <v>134</v>
      </c>
      <c r="EG1" s="576">
        <v>135</v>
      </c>
      <c r="EH1" s="576">
        <v>136</v>
      </c>
      <c r="EI1" s="576">
        <v>137</v>
      </c>
      <c r="EJ1" s="576">
        <v>138</v>
      </c>
      <c r="EK1" s="576">
        <v>139</v>
      </c>
      <c r="EL1" s="576">
        <v>140</v>
      </c>
      <c r="EM1" s="576">
        <v>141</v>
      </c>
      <c r="EN1" s="576">
        <v>142</v>
      </c>
      <c r="EO1" s="576">
        <v>143</v>
      </c>
      <c r="EP1" s="576">
        <v>144</v>
      </c>
      <c r="EQ1" s="576">
        <v>145</v>
      </c>
      <c r="ER1" s="576">
        <v>146</v>
      </c>
      <c r="ES1" s="576">
        <v>147</v>
      </c>
      <c r="ET1" s="576">
        <v>148</v>
      </c>
      <c r="EU1" s="576">
        <v>149</v>
      </c>
      <c r="EV1" s="576">
        <v>150</v>
      </c>
      <c r="EW1" s="576">
        <v>151</v>
      </c>
      <c r="EX1" s="576">
        <v>152</v>
      </c>
      <c r="EY1" s="576">
        <v>153</v>
      </c>
      <c r="EZ1" s="576">
        <v>154</v>
      </c>
      <c r="FA1" s="576">
        <v>155</v>
      </c>
      <c r="FB1" s="576">
        <v>156</v>
      </c>
      <c r="FC1" s="576">
        <v>157</v>
      </c>
      <c r="FD1" s="576">
        <v>158</v>
      </c>
      <c r="FE1" s="576">
        <v>159</v>
      </c>
      <c r="FF1" s="576">
        <v>160</v>
      </c>
      <c r="FG1" s="576">
        <v>161</v>
      </c>
      <c r="FH1" s="576">
        <v>162</v>
      </c>
      <c r="FI1" s="576">
        <v>163</v>
      </c>
      <c r="FJ1" s="576">
        <v>164</v>
      </c>
      <c r="FK1" s="576">
        <v>165</v>
      </c>
      <c r="FL1" s="576">
        <v>166</v>
      </c>
      <c r="FM1" s="576">
        <v>167</v>
      </c>
      <c r="FN1" s="576">
        <v>168</v>
      </c>
      <c r="FO1" s="576">
        <v>169</v>
      </c>
      <c r="FP1" s="576">
        <v>170</v>
      </c>
      <c r="FQ1" s="576">
        <v>171</v>
      </c>
      <c r="FR1" s="576">
        <v>172</v>
      </c>
      <c r="FS1" s="576">
        <v>173</v>
      </c>
      <c r="FT1" s="576">
        <v>174</v>
      </c>
      <c r="FU1" s="576">
        <v>175</v>
      </c>
      <c r="FV1" s="576">
        <v>176</v>
      </c>
      <c r="FW1" s="576">
        <v>177</v>
      </c>
      <c r="FX1" s="576">
        <v>178</v>
      </c>
      <c r="FY1" s="576">
        <v>179</v>
      </c>
      <c r="FZ1" s="576">
        <v>180</v>
      </c>
      <c r="GA1" s="576">
        <v>181</v>
      </c>
      <c r="GB1" s="576">
        <v>182</v>
      </c>
      <c r="GC1" s="576">
        <v>183</v>
      </c>
      <c r="GD1" s="576">
        <v>184</v>
      </c>
      <c r="GE1" s="576">
        <v>185</v>
      </c>
      <c r="GF1" s="576">
        <v>186</v>
      </c>
      <c r="GG1" s="576">
        <v>187</v>
      </c>
      <c r="GH1" s="576">
        <v>188</v>
      </c>
      <c r="GI1" s="576">
        <v>189</v>
      </c>
      <c r="GJ1" s="576">
        <v>190</v>
      </c>
      <c r="GK1" s="576">
        <v>191</v>
      </c>
      <c r="GL1" s="576">
        <v>192</v>
      </c>
      <c r="GM1" s="576">
        <v>193</v>
      </c>
      <c r="GN1" s="576">
        <v>194</v>
      </c>
      <c r="GO1" s="576">
        <v>195</v>
      </c>
      <c r="GP1" s="576">
        <v>196</v>
      </c>
      <c r="GQ1" s="576">
        <v>197</v>
      </c>
      <c r="GR1" s="576">
        <v>198</v>
      </c>
      <c r="GS1" s="576">
        <v>199</v>
      </c>
      <c r="GT1" s="576">
        <v>200</v>
      </c>
      <c r="GU1" s="576">
        <v>201</v>
      </c>
      <c r="GV1" s="576">
        <v>202</v>
      </c>
      <c r="GW1" s="576">
        <v>203</v>
      </c>
      <c r="GX1" s="576">
        <v>204</v>
      </c>
      <c r="GY1" s="576">
        <v>205</v>
      </c>
      <c r="GZ1" s="576">
        <v>206</v>
      </c>
      <c r="HA1" s="576">
        <v>207</v>
      </c>
      <c r="HB1" s="576">
        <v>208</v>
      </c>
      <c r="HC1" s="576">
        <v>209</v>
      </c>
      <c r="HD1" s="576">
        <v>210</v>
      </c>
      <c r="HE1" s="576">
        <v>211</v>
      </c>
      <c r="HF1" s="576">
        <v>212</v>
      </c>
      <c r="HG1" s="576">
        <v>213</v>
      </c>
      <c r="HH1" s="576">
        <v>214</v>
      </c>
      <c r="HI1" s="576">
        <v>215</v>
      </c>
      <c r="HJ1" s="576">
        <v>216</v>
      </c>
      <c r="HK1" s="576">
        <v>217</v>
      </c>
      <c r="HL1" s="576">
        <v>218</v>
      </c>
      <c r="HM1" s="576">
        <v>219</v>
      </c>
      <c r="HN1" s="576">
        <v>220</v>
      </c>
      <c r="HO1" s="576">
        <v>221</v>
      </c>
      <c r="HP1" s="576">
        <v>222</v>
      </c>
      <c r="HQ1" s="576">
        <v>223</v>
      </c>
      <c r="HR1" s="576">
        <v>224</v>
      </c>
      <c r="HS1" s="576">
        <v>225</v>
      </c>
      <c r="HT1" s="576">
        <v>226</v>
      </c>
      <c r="HU1" s="576">
        <v>227</v>
      </c>
      <c r="HV1" s="576">
        <v>228</v>
      </c>
      <c r="HW1" s="576">
        <v>229</v>
      </c>
      <c r="HX1" s="576">
        <v>230</v>
      </c>
      <c r="HY1" s="576">
        <v>231</v>
      </c>
      <c r="HZ1" s="576">
        <v>232</v>
      </c>
      <c r="IA1" s="576">
        <v>233</v>
      </c>
    </row>
    <row r="2" spans="1:235" ht="26.5">
      <c r="A2" s="578"/>
      <c r="D2" s="576"/>
      <c r="E2" s="576"/>
      <c r="F2" s="576"/>
      <c r="G2" s="576"/>
      <c r="H2" s="576"/>
      <c r="I2" s="576"/>
      <c r="J2" s="576"/>
      <c r="K2" s="576"/>
      <c r="L2" s="576"/>
      <c r="M2" s="576"/>
      <c r="N2" s="576"/>
    </row>
    <row r="3" spans="1:235" ht="56.25" customHeight="1">
      <c r="E3" s="584" t="s">
        <v>646</v>
      </c>
      <c r="O3" s="600" t="s">
        <v>403</v>
      </c>
      <c r="W3" s="600" t="s">
        <v>706</v>
      </c>
      <c r="AE3" s="600" t="s">
        <v>707</v>
      </c>
      <c r="AM3" s="600" t="s">
        <v>631</v>
      </c>
      <c r="AN3" s="600" t="s">
        <v>631</v>
      </c>
      <c r="AO3" s="600" t="s">
        <v>631</v>
      </c>
      <c r="AP3" s="600" t="s">
        <v>631</v>
      </c>
      <c r="AQ3" s="606" t="s">
        <v>458</v>
      </c>
      <c r="AR3" s="606" t="s">
        <v>1007</v>
      </c>
      <c r="AS3" s="606" t="s">
        <v>1007</v>
      </c>
      <c r="AT3" s="606" t="s">
        <v>1007</v>
      </c>
      <c r="AU3" s="606" t="s">
        <v>1007</v>
      </c>
      <c r="AV3" s="606" t="s">
        <v>1007</v>
      </c>
      <c r="AW3" s="606" t="s">
        <v>1007</v>
      </c>
      <c r="AX3" s="606" t="s">
        <v>1007</v>
      </c>
      <c r="AY3" s="606" t="s">
        <v>1007</v>
      </c>
      <c r="AZ3" s="606" t="s">
        <v>1007</v>
      </c>
      <c r="BA3" s="606" t="s">
        <v>1007</v>
      </c>
      <c r="BB3" s="606" t="s">
        <v>1007</v>
      </c>
      <c r="BC3" s="606" t="s">
        <v>1007</v>
      </c>
      <c r="BD3" s="606" t="s">
        <v>1008</v>
      </c>
      <c r="BE3" s="606" t="s">
        <v>1008</v>
      </c>
      <c r="BF3" s="606" t="s">
        <v>1008</v>
      </c>
      <c r="BG3" s="606" t="s">
        <v>1008</v>
      </c>
      <c r="BH3" s="606" t="s">
        <v>1008</v>
      </c>
      <c r="BI3" s="606" t="s">
        <v>1008</v>
      </c>
      <c r="BJ3" s="606" t="s">
        <v>1008</v>
      </c>
      <c r="BK3" s="606" t="s">
        <v>1008</v>
      </c>
      <c r="BL3" s="606" t="s">
        <v>1008</v>
      </c>
      <c r="BM3" s="606" t="s">
        <v>1008</v>
      </c>
      <c r="BN3" s="606" t="s">
        <v>1008</v>
      </c>
      <c r="BO3" s="606" t="s">
        <v>1008</v>
      </c>
      <c r="BP3" s="606" t="s">
        <v>1009</v>
      </c>
      <c r="BQ3" s="606" t="s">
        <v>1009</v>
      </c>
      <c r="BR3" s="606" t="s">
        <v>1009</v>
      </c>
      <c r="BS3" s="606" t="s">
        <v>1009</v>
      </c>
      <c r="BT3" s="606" t="s">
        <v>1009</v>
      </c>
      <c r="BU3" s="606" t="s">
        <v>1009</v>
      </c>
      <c r="BV3" s="606" t="s">
        <v>1009</v>
      </c>
      <c r="BW3" s="606" t="s">
        <v>1009</v>
      </c>
      <c r="BX3" s="606" t="s">
        <v>1009</v>
      </c>
      <c r="BY3" s="606" t="s">
        <v>1009</v>
      </c>
      <c r="BZ3" s="606" t="s">
        <v>1009</v>
      </c>
      <c r="CA3" s="606" t="s">
        <v>1009</v>
      </c>
      <c r="CB3" s="606" t="s">
        <v>459</v>
      </c>
      <c r="CC3" s="606" t="s">
        <v>459</v>
      </c>
      <c r="CD3" s="606" t="s">
        <v>459</v>
      </c>
      <c r="CE3" s="606" t="s">
        <v>459</v>
      </c>
      <c r="CF3" s="606" t="s">
        <v>459</v>
      </c>
      <c r="CG3" s="606" t="s">
        <v>459</v>
      </c>
      <c r="CH3" s="606" t="s">
        <v>459</v>
      </c>
      <c r="CI3" s="606" t="s">
        <v>459</v>
      </c>
      <c r="CJ3" s="606" t="s">
        <v>459</v>
      </c>
      <c r="CK3" s="606" t="s">
        <v>459</v>
      </c>
      <c r="CL3" s="606" t="s">
        <v>459</v>
      </c>
      <c r="CM3" s="606" t="s">
        <v>459</v>
      </c>
      <c r="CN3" s="606" t="s">
        <v>1009</v>
      </c>
      <c r="CO3" s="606" t="s">
        <v>1009</v>
      </c>
      <c r="CP3" s="606" t="s">
        <v>1009</v>
      </c>
      <c r="CQ3" s="606" t="s">
        <v>1009</v>
      </c>
      <c r="CR3" s="606" t="s">
        <v>1009</v>
      </c>
      <c r="CS3" s="606" t="s">
        <v>1009</v>
      </c>
      <c r="CT3" s="606" t="s">
        <v>1009</v>
      </c>
      <c r="CU3" s="606" t="s">
        <v>1009</v>
      </c>
      <c r="CV3" s="606" t="s">
        <v>1009</v>
      </c>
      <c r="CW3" s="606" t="s">
        <v>1009</v>
      </c>
      <c r="CX3" s="606" t="s">
        <v>1009</v>
      </c>
      <c r="CY3" s="606" t="s">
        <v>1009</v>
      </c>
      <c r="CZ3" s="606" t="s">
        <v>1050</v>
      </c>
      <c r="DA3" s="606" t="s">
        <v>1009</v>
      </c>
      <c r="DB3" s="606" t="s">
        <v>1050</v>
      </c>
      <c r="DC3" s="606" t="s">
        <v>1050</v>
      </c>
      <c r="DD3" s="606" t="s">
        <v>1050</v>
      </c>
      <c r="DE3" s="606" t="s">
        <v>1050</v>
      </c>
      <c r="DF3" s="606" t="s">
        <v>1050</v>
      </c>
      <c r="DG3" s="606" t="s">
        <v>1050</v>
      </c>
      <c r="DH3" s="606" t="s">
        <v>1050</v>
      </c>
      <c r="DI3" s="606" t="s">
        <v>1050</v>
      </c>
      <c r="DJ3" s="606" t="s">
        <v>1050</v>
      </c>
      <c r="DK3" s="606" t="s">
        <v>1050</v>
      </c>
      <c r="DL3" s="606" t="s">
        <v>1050</v>
      </c>
      <c r="DM3" s="606" t="s">
        <v>1050</v>
      </c>
      <c r="DN3" s="606" t="s">
        <v>1051</v>
      </c>
      <c r="DO3" s="606" t="s">
        <v>1051</v>
      </c>
      <c r="DP3" s="606" t="s">
        <v>1051</v>
      </c>
      <c r="DQ3" s="606" t="s">
        <v>1051</v>
      </c>
      <c r="DR3" s="606" t="s">
        <v>1051</v>
      </c>
      <c r="DS3" s="606" t="s">
        <v>1051</v>
      </c>
      <c r="DT3" s="606" t="s">
        <v>1051</v>
      </c>
      <c r="DU3" s="606" t="s">
        <v>1051</v>
      </c>
      <c r="DV3" s="606" t="s">
        <v>1051</v>
      </c>
      <c r="DW3" s="606" t="s">
        <v>1051</v>
      </c>
      <c r="DX3" s="606" t="s">
        <v>1051</v>
      </c>
      <c r="DY3" s="606" t="s">
        <v>1051</v>
      </c>
      <c r="DZ3" s="606" t="s">
        <v>1051</v>
      </c>
      <c r="EA3" s="606" t="s">
        <v>1051</v>
      </c>
      <c r="EB3" s="606" t="s">
        <v>1051</v>
      </c>
      <c r="EC3" s="606" t="s">
        <v>1051</v>
      </c>
      <c r="ED3" s="606" t="s">
        <v>1051</v>
      </c>
      <c r="EE3" s="606" t="s">
        <v>1051</v>
      </c>
      <c r="EF3" s="606" t="s">
        <v>1051</v>
      </c>
      <c r="EG3" s="606" t="s">
        <v>1051</v>
      </c>
      <c r="EH3" s="606" t="s">
        <v>1051</v>
      </c>
      <c r="EI3" s="606" t="s">
        <v>1051</v>
      </c>
      <c r="EJ3" s="606" t="s">
        <v>1051</v>
      </c>
      <c r="EK3" s="606" t="s">
        <v>1051</v>
      </c>
      <c r="EL3" s="606" t="s">
        <v>1050</v>
      </c>
      <c r="EM3" s="606" t="s">
        <v>1050</v>
      </c>
      <c r="EN3" s="606" t="s">
        <v>1050</v>
      </c>
      <c r="EO3" s="606" t="s">
        <v>1050</v>
      </c>
      <c r="EP3" s="606" t="s">
        <v>1050</v>
      </c>
      <c r="EQ3" s="606" t="s">
        <v>1050</v>
      </c>
      <c r="ER3" s="606" t="s">
        <v>1050</v>
      </c>
      <c r="ES3" s="606" t="s">
        <v>1050</v>
      </c>
      <c r="ET3" s="606" t="s">
        <v>1050</v>
      </c>
      <c r="EU3" s="606" t="s">
        <v>1050</v>
      </c>
      <c r="EV3" s="606" t="s">
        <v>1050</v>
      </c>
      <c r="EW3" s="606" t="s">
        <v>1050</v>
      </c>
      <c r="EX3" s="606"/>
      <c r="EY3" s="606"/>
      <c r="EZ3" s="606"/>
      <c r="FA3" s="606"/>
      <c r="FB3" s="606"/>
      <c r="FC3" s="606"/>
      <c r="FD3" s="606"/>
      <c r="FE3" s="606"/>
      <c r="FF3" s="606"/>
      <c r="FG3" s="606"/>
      <c r="FH3" s="606"/>
      <c r="FI3" s="606"/>
      <c r="FJ3" s="606"/>
      <c r="FK3" s="606"/>
      <c r="FL3" s="606"/>
      <c r="FM3" s="606"/>
      <c r="FN3" s="606"/>
      <c r="FO3" s="606"/>
      <c r="FP3" s="606"/>
      <c r="FQ3" s="606"/>
      <c r="FR3" s="606"/>
      <c r="FS3" s="606"/>
      <c r="FT3" s="606"/>
      <c r="FU3" s="606"/>
      <c r="FV3" s="606"/>
      <c r="FW3" s="606"/>
      <c r="FX3" s="606"/>
      <c r="FY3" s="606"/>
      <c r="FZ3" s="606"/>
      <c r="GA3" s="606"/>
      <c r="GB3" s="606"/>
      <c r="GC3" s="606"/>
      <c r="GD3" s="606"/>
      <c r="GE3" s="606"/>
      <c r="GF3" s="606"/>
      <c r="GG3" s="606"/>
      <c r="GH3" s="606"/>
      <c r="GI3" s="606"/>
      <c r="GJ3" s="606"/>
      <c r="GK3" s="606"/>
      <c r="GL3" s="606"/>
      <c r="GM3" s="606"/>
      <c r="GN3" s="606"/>
      <c r="GO3" s="606"/>
      <c r="GP3" s="606"/>
      <c r="GQ3" s="606"/>
      <c r="GR3" s="606"/>
      <c r="GS3" s="606"/>
      <c r="GT3" s="606"/>
      <c r="GU3" s="606"/>
      <c r="GV3" s="606"/>
      <c r="GW3" s="606"/>
      <c r="GX3" s="606"/>
      <c r="GY3" s="606"/>
      <c r="GZ3" s="606"/>
      <c r="HA3" s="606"/>
      <c r="HB3" s="606"/>
      <c r="HC3" s="606" t="s">
        <v>1052</v>
      </c>
      <c r="HD3" s="606" t="s">
        <v>1052</v>
      </c>
      <c r="HE3" s="606" t="s">
        <v>1052</v>
      </c>
      <c r="HF3" s="606" t="s">
        <v>1052</v>
      </c>
      <c r="HG3" s="606" t="s">
        <v>1052</v>
      </c>
      <c r="HH3" s="606" t="s">
        <v>1052</v>
      </c>
      <c r="HI3" s="606" t="s">
        <v>1052</v>
      </c>
      <c r="HJ3" s="606" t="s">
        <v>1052</v>
      </c>
      <c r="HK3" s="606" t="s">
        <v>1052</v>
      </c>
      <c r="HL3" s="606" t="s">
        <v>1052</v>
      </c>
      <c r="HM3" s="606" t="s">
        <v>1052</v>
      </c>
      <c r="HN3" s="606" t="s">
        <v>1052</v>
      </c>
      <c r="HO3" s="607">
        <v>79950</v>
      </c>
      <c r="HP3" s="653" t="s">
        <v>1210</v>
      </c>
      <c r="HQ3" s="654"/>
      <c r="HR3" s="654"/>
      <c r="HS3" s="654"/>
      <c r="HT3" s="608"/>
      <c r="HU3" s="608"/>
      <c r="HV3" s="608"/>
      <c r="HW3" s="608"/>
      <c r="HX3" s="608"/>
      <c r="HY3" s="608"/>
      <c r="HZ3" s="608"/>
    </row>
    <row r="4" spans="1:235" ht="75.5" thickBot="1">
      <c r="A4" s="589"/>
      <c r="B4" s="585" t="s">
        <v>741</v>
      </c>
      <c r="C4" s="609" t="s">
        <v>402</v>
      </c>
      <c r="D4" s="585" t="s">
        <v>742</v>
      </c>
      <c r="E4" s="590" t="s">
        <v>645</v>
      </c>
      <c r="F4" s="610" t="s">
        <v>643</v>
      </c>
      <c r="G4" s="610" t="s">
        <v>668</v>
      </c>
      <c r="H4" s="610" t="s">
        <v>669</v>
      </c>
      <c r="I4" s="610" t="s">
        <v>670</v>
      </c>
      <c r="J4" s="610" t="s">
        <v>644</v>
      </c>
      <c r="K4" s="610" t="s">
        <v>671</v>
      </c>
      <c r="L4" s="610" t="s">
        <v>672</v>
      </c>
      <c r="M4" s="610" t="s">
        <v>673</v>
      </c>
      <c r="N4" s="610" t="s">
        <v>10</v>
      </c>
      <c r="O4" s="610" t="s">
        <v>625</v>
      </c>
      <c r="P4" s="610" t="s">
        <v>626</v>
      </c>
      <c r="Q4" s="610" t="s">
        <v>627</v>
      </c>
      <c r="R4" s="610" t="s">
        <v>628</v>
      </c>
      <c r="S4" s="610" t="s">
        <v>532</v>
      </c>
      <c r="T4" s="610" t="s">
        <v>530</v>
      </c>
      <c r="U4" s="610" t="s">
        <v>533</v>
      </c>
      <c r="V4" s="610" t="s">
        <v>1314</v>
      </c>
      <c r="W4" s="610" t="s">
        <v>625</v>
      </c>
      <c r="X4" s="610" t="s">
        <v>626</v>
      </c>
      <c r="Y4" s="610" t="s">
        <v>627</v>
      </c>
      <c r="Z4" s="610" t="s">
        <v>628</v>
      </c>
      <c r="AA4" s="610" t="s">
        <v>532</v>
      </c>
      <c r="AB4" s="610" t="s">
        <v>530</v>
      </c>
      <c r="AC4" s="610" t="s">
        <v>533</v>
      </c>
      <c r="AD4" s="610" t="s">
        <v>1314</v>
      </c>
      <c r="AE4" s="610" t="s">
        <v>625</v>
      </c>
      <c r="AF4" s="610" t="s">
        <v>626</v>
      </c>
      <c r="AG4" s="610" t="s">
        <v>627</v>
      </c>
      <c r="AH4" s="610" t="s">
        <v>628</v>
      </c>
      <c r="AI4" s="610" t="s">
        <v>532</v>
      </c>
      <c r="AJ4" s="610" t="s">
        <v>530</v>
      </c>
      <c r="AK4" s="610" t="s">
        <v>533</v>
      </c>
      <c r="AL4" s="610" t="s">
        <v>1314</v>
      </c>
      <c r="AM4" s="610" t="s">
        <v>404</v>
      </c>
      <c r="AN4" s="610" t="s">
        <v>405</v>
      </c>
      <c r="AO4" s="610" t="s">
        <v>406</v>
      </c>
      <c r="AP4" s="610" t="s">
        <v>418</v>
      </c>
      <c r="AQ4" s="610" t="s">
        <v>460</v>
      </c>
      <c r="AR4" s="610" t="s">
        <v>1010</v>
      </c>
      <c r="AS4" s="610" t="s">
        <v>1011</v>
      </c>
      <c r="AT4" s="610" t="s">
        <v>1012</v>
      </c>
      <c r="AU4" s="610" t="s">
        <v>1013</v>
      </c>
      <c r="AV4" s="610" t="s">
        <v>1014</v>
      </c>
      <c r="AW4" s="610" t="s">
        <v>1015</v>
      </c>
      <c r="AX4" s="610" t="s">
        <v>1016</v>
      </c>
      <c r="AY4" s="610" t="s">
        <v>1017</v>
      </c>
      <c r="AZ4" s="610" t="s">
        <v>1018</v>
      </c>
      <c r="BA4" s="610" t="s">
        <v>1019</v>
      </c>
      <c r="BB4" s="610" t="s">
        <v>1020</v>
      </c>
      <c r="BC4" s="610" t="s">
        <v>1021</v>
      </c>
      <c r="BD4" s="610" t="s">
        <v>1022</v>
      </c>
      <c r="BE4" s="610" t="s">
        <v>1023</v>
      </c>
      <c r="BF4" s="610" t="s">
        <v>1024</v>
      </c>
      <c r="BG4" s="610" t="s">
        <v>1025</v>
      </c>
      <c r="BH4" s="610" t="s">
        <v>1026</v>
      </c>
      <c r="BI4" s="610" t="s">
        <v>1027</v>
      </c>
      <c r="BJ4" s="610" t="s">
        <v>1028</v>
      </c>
      <c r="BK4" s="610" t="s">
        <v>1029</v>
      </c>
      <c r="BL4" s="610" t="s">
        <v>1030</v>
      </c>
      <c r="BM4" s="610" t="s">
        <v>1031</v>
      </c>
      <c r="BN4" s="610" t="s">
        <v>1032</v>
      </c>
      <c r="BO4" s="610" t="s">
        <v>1033</v>
      </c>
      <c r="BP4" s="610" t="s">
        <v>1034</v>
      </c>
      <c r="BQ4" s="610" t="s">
        <v>1035</v>
      </c>
      <c r="BR4" s="610" t="s">
        <v>1036</v>
      </c>
      <c r="BS4" s="610" t="s">
        <v>1037</v>
      </c>
      <c r="BT4" s="610" t="s">
        <v>1038</v>
      </c>
      <c r="BU4" s="610" t="s">
        <v>1039</v>
      </c>
      <c r="BV4" s="610" t="s">
        <v>1040</v>
      </c>
      <c r="BW4" s="610" t="s">
        <v>1041</v>
      </c>
      <c r="BX4" s="610" t="s">
        <v>1042</v>
      </c>
      <c r="BY4" s="610" t="s">
        <v>1043</v>
      </c>
      <c r="BZ4" s="610" t="s">
        <v>1044</v>
      </c>
      <c r="CA4" s="610" t="s">
        <v>1045</v>
      </c>
      <c r="CB4" s="610" t="s">
        <v>708</v>
      </c>
      <c r="CC4" s="610" t="s">
        <v>709</v>
      </c>
      <c r="CD4" s="610" t="s">
        <v>710</v>
      </c>
      <c r="CE4" s="610" t="s">
        <v>711</v>
      </c>
      <c r="CF4" s="610" t="s">
        <v>712</v>
      </c>
      <c r="CG4" s="610" t="s">
        <v>713</v>
      </c>
      <c r="CH4" s="610" t="s">
        <v>714</v>
      </c>
      <c r="CI4" s="610" t="s">
        <v>715</v>
      </c>
      <c r="CJ4" s="610" t="s">
        <v>716</v>
      </c>
      <c r="CK4" s="610" t="s">
        <v>717</v>
      </c>
      <c r="CL4" s="610" t="s">
        <v>718</v>
      </c>
      <c r="CM4" s="610" t="s">
        <v>719</v>
      </c>
      <c r="CN4" s="610" t="s">
        <v>1053</v>
      </c>
      <c r="CO4" s="610" t="s">
        <v>1054</v>
      </c>
      <c r="CP4" s="610" t="s">
        <v>1055</v>
      </c>
      <c r="CQ4" s="610" t="s">
        <v>1056</v>
      </c>
      <c r="CR4" s="610" t="s">
        <v>1057</v>
      </c>
      <c r="CS4" s="610" t="s">
        <v>1058</v>
      </c>
      <c r="CT4" s="610" t="s">
        <v>1059</v>
      </c>
      <c r="CU4" s="610" t="s">
        <v>1060</v>
      </c>
      <c r="CV4" s="610" t="s">
        <v>1061</v>
      </c>
      <c r="CW4" s="610" t="s">
        <v>1062</v>
      </c>
      <c r="CX4" s="610" t="s">
        <v>1063</v>
      </c>
      <c r="CY4" s="610" t="s">
        <v>1064</v>
      </c>
      <c r="CZ4" s="610" t="s">
        <v>1065</v>
      </c>
      <c r="DA4" s="610" t="s">
        <v>1066</v>
      </c>
      <c r="DB4" s="610" t="s">
        <v>1067</v>
      </c>
      <c r="DC4" s="610" t="s">
        <v>1068</v>
      </c>
      <c r="DD4" s="610" t="s">
        <v>1069</v>
      </c>
      <c r="DE4" s="610" t="s">
        <v>1070</v>
      </c>
      <c r="DF4" s="610" t="s">
        <v>1071</v>
      </c>
      <c r="DG4" s="610" t="s">
        <v>1072</v>
      </c>
      <c r="DH4" s="610" t="s">
        <v>1073</v>
      </c>
      <c r="DI4" s="610" t="s">
        <v>1074</v>
      </c>
      <c r="DJ4" s="610" t="s">
        <v>1075</v>
      </c>
      <c r="DK4" s="610" t="s">
        <v>1076</v>
      </c>
      <c r="DL4" s="610" t="s">
        <v>1077</v>
      </c>
      <c r="DM4" s="610" t="s">
        <v>1078</v>
      </c>
      <c r="DN4" s="610" t="s">
        <v>1079</v>
      </c>
      <c r="DO4" s="610" t="s">
        <v>1080</v>
      </c>
      <c r="DP4" s="610" t="s">
        <v>1081</v>
      </c>
      <c r="DQ4" s="610" t="s">
        <v>1082</v>
      </c>
      <c r="DR4" s="610" t="s">
        <v>1083</v>
      </c>
      <c r="DS4" s="610" t="s">
        <v>1084</v>
      </c>
      <c r="DT4" s="610" t="s">
        <v>1085</v>
      </c>
      <c r="DU4" s="610" t="s">
        <v>1086</v>
      </c>
      <c r="DV4" s="610" t="s">
        <v>1087</v>
      </c>
      <c r="DW4" s="610" t="s">
        <v>1088</v>
      </c>
      <c r="DX4" s="610" t="s">
        <v>1089</v>
      </c>
      <c r="DY4" s="610" t="s">
        <v>1090</v>
      </c>
      <c r="DZ4" s="610" t="s">
        <v>1164</v>
      </c>
      <c r="EA4" s="610" t="s">
        <v>1165</v>
      </c>
      <c r="EB4" s="610" t="s">
        <v>1166</v>
      </c>
      <c r="EC4" s="610" t="s">
        <v>1167</v>
      </c>
      <c r="ED4" s="610" t="s">
        <v>1168</v>
      </c>
      <c r="EE4" s="610" t="s">
        <v>1169</v>
      </c>
      <c r="EF4" s="610" t="s">
        <v>1170</v>
      </c>
      <c r="EG4" s="610" t="s">
        <v>1171</v>
      </c>
      <c r="EH4" s="610" t="s">
        <v>1172</v>
      </c>
      <c r="EI4" s="610" t="s">
        <v>1173</v>
      </c>
      <c r="EJ4" s="610" t="s">
        <v>1174</v>
      </c>
      <c r="EK4" s="610" t="s">
        <v>1175</v>
      </c>
      <c r="EL4" s="610" t="s">
        <v>1091</v>
      </c>
      <c r="EM4" s="610" t="s">
        <v>1092</v>
      </c>
      <c r="EN4" s="610" t="s">
        <v>1093</v>
      </c>
      <c r="EO4" s="610" t="s">
        <v>1094</v>
      </c>
      <c r="EP4" s="610" t="s">
        <v>832</v>
      </c>
      <c r="EQ4" s="610" t="s">
        <v>1095</v>
      </c>
      <c r="ER4" s="610" t="s">
        <v>1096</v>
      </c>
      <c r="ES4" s="610" t="s">
        <v>1097</v>
      </c>
      <c r="ET4" s="610" t="s">
        <v>1098</v>
      </c>
      <c r="EU4" s="610" t="s">
        <v>1099</v>
      </c>
      <c r="EV4" s="610" t="s">
        <v>1100</v>
      </c>
      <c r="EW4" s="610" t="s">
        <v>1101</v>
      </c>
      <c r="EX4" s="610" t="s">
        <v>1527</v>
      </c>
      <c r="EY4" s="610" t="s">
        <v>1528</v>
      </c>
      <c r="EZ4" s="610" t="s">
        <v>1194</v>
      </c>
      <c r="FA4" s="610" t="s">
        <v>1195</v>
      </c>
      <c r="FB4" s="610" t="s">
        <v>1196</v>
      </c>
      <c r="FC4" s="610" t="s">
        <v>1197</v>
      </c>
      <c r="FD4" s="610" t="s">
        <v>1198</v>
      </c>
      <c r="FE4" s="610" t="s">
        <v>1199</v>
      </c>
      <c r="FF4" s="610" t="s">
        <v>1200</v>
      </c>
      <c r="FG4" s="610" t="s">
        <v>1201</v>
      </c>
      <c r="FH4" s="610" t="s">
        <v>1202</v>
      </c>
      <c r="FI4" s="610" t="s">
        <v>1203</v>
      </c>
      <c r="FJ4" s="610" t="s">
        <v>1204</v>
      </c>
      <c r="FK4" s="610" t="s">
        <v>1205</v>
      </c>
      <c r="FL4" s="610" t="s">
        <v>1529</v>
      </c>
      <c r="FM4" s="610" t="s">
        <v>1530</v>
      </c>
      <c r="FN4" s="610" t="s">
        <v>1531</v>
      </c>
      <c r="FO4" s="610" t="s">
        <v>1532</v>
      </c>
      <c r="FP4" s="610" t="s">
        <v>1533</v>
      </c>
      <c r="FQ4" s="610" t="s">
        <v>1534</v>
      </c>
      <c r="FR4" s="610" t="s">
        <v>1535</v>
      </c>
      <c r="FS4" s="610" t="s">
        <v>1536</v>
      </c>
      <c r="FT4" s="610" t="s">
        <v>1537</v>
      </c>
      <c r="FU4" s="610" t="s">
        <v>1538</v>
      </c>
      <c r="FV4" s="610" t="s">
        <v>1539</v>
      </c>
      <c r="FW4" s="610" t="s">
        <v>1540</v>
      </c>
      <c r="FX4" s="610" t="s">
        <v>1541</v>
      </c>
      <c r="FY4" s="610" t="s">
        <v>1542</v>
      </c>
      <c r="FZ4" s="610" t="s">
        <v>1543</v>
      </c>
      <c r="GA4" s="610" t="s">
        <v>1544</v>
      </c>
      <c r="GB4" s="610" t="s">
        <v>1545</v>
      </c>
      <c r="GC4" s="610" t="s">
        <v>1546</v>
      </c>
      <c r="GD4" s="610" t="s">
        <v>1547</v>
      </c>
      <c r="GE4" s="610" t="s">
        <v>1548</v>
      </c>
      <c r="GF4" s="610" t="s">
        <v>1336</v>
      </c>
      <c r="GG4" s="610" t="s">
        <v>1337</v>
      </c>
      <c r="GH4" s="610" t="s">
        <v>1338</v>
      </c>
      <c r="GI4" s="610" t="s">
        <v>1339</v>
      </c>
      <c r="GJ4" s="610" t="s">
        <v>1340</v>
      </c>
      <c r="GK4" s="610" t="s">
        <v>1341</v>
      </c>
      <c r="GL4" s="610" t="s">
        <v>1342</v>
      </c>
      <c r="GM4" s="610" t="s">
        <v>1343</v>
      </c>
      <c r="GN4" s="610" t="s">
        <v>1344</v>
      </c>
      <c r="GO4" s="610" t="s">
        <v>1345</v>
      </c>
      <c r="GP4" s="610" t="s">
        <v>1346</v>
      </c>
      <c r="GQ4" s="610" t="s">
        <v>1347</v>
      </c>
      <c r="GR4" s="610" t="s">
        <v>1348</v>
      </c>
      <c r="GS4" s="610" t="s">
        <v>1349</v>
      </c>
      <c r="GT4" s="610" t="s">
        <v>1350</v>
      </c>
      <c r="GU4" s="610" t="s">
        <v>1351</v>
      </c>
      <c r="GV4" s="610" t="s">
        <v>1352</v>
      </c>
      <c r="GW4" s="610" t="s">
        <v>1353</v>
      </c>
      <c r="GX4" s="610" t="s">
        <v>1354</v>
      </c>
      <c r="GY4" s="610" t="s">
        <v>1355</v>
      </c>
      <c r="GZ4" s="610" t="s">
        <v>1356</v>
      </c>
      <c r="HA4" s="610" t="s">
        <v>1357</v>
      </c>
      <c r="HB4" s="610" t="s">
        <v>1358</v>
      </c>
      <c r="HC4" s="610" t="s">
        <v>1102</v>
      </c>
      <c r="HD4" s="610" t="s">
        <v>1103</v>
      </c>
      <c r="HE4" s="610" t="s">
        <v>1104</v>
      </c>
      <c r="HF4" s="610" t="s">
        <v>1105</v>
      </c>
      <c r="HG4" s="610" t="s">
        <v>1106</v>
      </c>
      <c r="HH4" s="610" t="s">
        <v>1107</v>
      </c>
      <c r="HI4" s="610" t="s">
        <v>1108</v>
      </c>
      <c r="HJ4" s="610" t="s">
        <v>1109</v>
      </c>
      <c r="HK4" s="610" t="s">
        <v>1110</v>
      </c>
      <c r="HL4" s="610" t="s">
        <v>1111</v>
      </c>
      <c r="HM4" s="610" t="s">
        <v>1112</v>
      </c>
      <c r="HN4" s="610" t="s">
        <v>1113</v>
      </c>
      <c r="HO4" s="610" t="s">
        <v>462</v>
      </c>
      <c r="HP4" s="610" t="s">
        <v>463</v>
      </c>
      <c r="HQ4" s="610" t="s">
        <v>464</v>
      </c>
      <c r="HR4" s="610" t="s">
        <v>465</v>
      </c>
      <c r="HS4" s="610" t="s">
        <v>466</v>
      </c>
      <c r="HT4" s="610" t="s">
        <v>467</v>
      </c>
      <c r="HU4" s="610" t="s">
        <v>468</v>
      </c>
      <c r="HV4" s="610" t="s">
        <v>469</v>
      </c>
      <c r="HW4" s="610" t="s">
        <v>470</v>
      </c>
      <c r="HX4" s="610" t="s">
        <v>471</v>
      </c>
      <c r="HY4" s="610" t="s">
        <v>472</v>
      </c>
      <c r="HZ4" s="610" t="s">
        <v>473</v>
      </c>
    </row>
    <row r="5" spans="1:235" ht="15" customHeight="1" thickBot="1">
      <c r="A5" s="583"/>
      <c r="B5" s="594">
        <v>1</v>
      </c>
      <c r="C5" s="594">
        <v>201</v>
      </c>
      <c r="D5" s="611" t="s">
        <v>1176</v>
      </c>
      <c r="E5" s="612" t="s">
        <v>13</v>
      </c>
      <c r="F5" s="612">
        <v>195</v>
      </c>
      <c r="G5" s="612">
        <v>10</v>
      </c>
      <c r="H5" s="612">
        <v>119</v>
      </c>
      <c r="I5" s="612">
        <v>73</v>
      </c>
      <c r="J5" s="612"/>
      <c r="K5" s="612"/>
      <c r="L5" s="612"/>
      <c r="M5" s="612"/>
      <c r="N5" s="612"/>
      <c r="O5" s="612"/>
      <c r="P5" s="612"/>
      <c r="Q5" s="612"/>
      <c r="R5" s="612"/>
      <c r="S5" s="612"/>
      <c r="T5" s="612"/>
      <c r="U5" s="612"/>
      <c r="V5" s="612"/>
      <c r="W5" s="612"/>
      <c r="X5" s="612"/>
      <c r="Y5" s="612"/>
      <c r="Z5" s="612"/>
      <c r="AA5" s="612"/>
      <c r="AB5" s="612"/>
      <c r="AC5" s="612"/>
      <c r="AD5" s="612"/>
      <c r="AE5" s="612"/>
      <c r="AF5" s="612"/>
      <c r="AG5" s="612"/>
      <c r="AH5" s="612"/>
      <c r="AI5" s="612"/>
      <c r="AJ5" s="612"/>
      <c r="AK5" s="612"/>
      <c r="AL5" s="612"/>
      <c r="AM5" s="613"/>
      <c r="AN5" s="613"/>
      <c r="AO5" s="613"/>
      <c r="AP5" s="614"/>
      <c r="AQ5" s="612" t="s">
        <v>11</v>
      </c>
      <c r="AR5" s="615" t="s">
        <v>1047</v>
      </c>
      <c r="AS5" s="615" t="s">
        <v>1047</v>
      </c>
      <c r="AT5" s="615" t="s">
        <v>1047</v>
      </c>
      <c r="AU5" s="615" t="s">
        <v>1047</v>
      </c>
      <c r="AV5" s="615" t="s">
        <v>1047</v>
      </c>
      <c r="AW5" s="615" t="s">
        <v>1047</v>
      </c>
      <c r="AX5" s="615" t="s">
        <v>1047</v>
      </c>
      <c r="AY5" s="615" t="s">
        <v>1047</v>
      </c>
      <c r="AZ5" s="615" t="s">
        <v>1047</v>
      </c>
      <c r="BA5" s="615" t="s">
        <v>1047</v>
      </c>
      <c r="BB5" s="615" t="s">
        <v>1047</v>
      </c>
      <c r="BC5" s="615" t="s">
        <v>1047</v>
      </c>
      <c r="BD5" s="615" t="s">
        <v>833</v>
      </c>
      <c r="BE5" s="615" t="s">
        <v>833</v>
      </c>
      <c r="BF5" s="615" t="s">
        <v>833</v>
      </c>
      <c r="BG5" s="615" t="s">
        <v>833</v>
      </c>
      <c r="BH5" s="615" t="s">
        <v>833</v>
      </c>
      <c r="BI5" s="615" t="s">
        <v>833</v>
      </c>
      <c r="BJ5" s="615" t="s">
        <v>833</v>
      </c>
      <c r="BK5" s="615" t="s">
        <v>833</v>
      </c>
      <c r="BL5" s="615" t="s">
        <v>833</v>
      </c>
      <c r="BM5" s="615" t="s">
        <v>833</v>
      </c>
      <c r="BN5" s="615" t="s">
        <v>833</v>
      </c>
      <c r="BO5" s="615" t="s">
        <v>833</v>
      </c>
      <c r="BP5" s="616">
        <v>3</v>
      </c>
      <c r="BQ5" s="616">
        <v>3</v>
      </c>
      <c r="BR5" s="616">
        <v>3</v>
      </c>
      <c r="BS5" s="616">
        <v>3</v>
      </c>
      <c r="BT5" s="616">
        <v>3</v>
      </c>
      <c r="BU5" s="616">
        <v>3</v>
      </c>
      <c r="BV5" s="616">
        <v>3</v>
      </c>
      <c r="BW5" s="616">
        <v>3</v>
      </c>
      <c r="BX5" s="616">
        <v>3</v>
      </c>
      <c r="BY5" s="616">
        <v>3</v>
      </c>
      <c r="BZ5" s="616">
        <v>3</v>
      </c>
      <c r="CA5" s="616">
        <v>3</v>
      </c>
      <c r="CB5" s="615">
        <v>0</v>
      </c>
      <c r="CC5" s="615">
        <v>0</v>
      </c>
      <c r="CD5" s="615">
        <v>0</v>
      </c>
      <c r="CE5" s="615">
        <v>0</v>
      </c>
      <c r="CF5" s="615">
        <v>0</v>
      </c>
      <c r="CG5" s="615">
        <v>0</v>
      </c>
      <c r="CH5" s="615">
        <v>0</v>
      </c>
      <c r="CI5" s="615">
        <v>0</v>
      </c>
      <c r="CJ5" s="615">
        <v>0</v>
      </c>
      <c r="CK5" s="615">
        <v>0</v>
      </c>
      <c r="CL5" s="615">
        <v>0</v>
      </c>
      <c r="CM5" s="615">
        <v>0</v>
      </c>
      <c r="CN5" s="615">
        <v>0</v>
      </c>
      <c r="CO5" s="615">
        <v>0</v>
      </c>
      <c r="CP5" s="615">
        <v>0</v>
      </c>
      <c r="CQ5" s="615">
        <v>0</v>
      </c>
      <c r="CR5" s="615">
        <v>0</v>
      </c>
      <c r="CS5" s="615">
        <v>0</v>
      </c>
      <c r="CT5" s="615">
        <v>0</v>
      </c>
      <c r="CU5" s="615">
        <v>0</v>
      </c>
      <c r="CV5" s="615">
        <v>0</v>
      </c>
      <c r="CW5" s="615">
        <v>0</v>
      </c>
      <c r="CX5" s="615">
        <v>0</v>
      </c>
      <c r="CY5" s="615">
        <v>0</v>
      </c>
      <c r="CZ5" s="615" t="s">
        <v>1049</v>
      </c>
      <c r="DA5" s="615">
        <v>0</v>
      </c>
      <c r="DB5" s="617"/>
      <c r="DC5" s="617"/>
      <c r="DD5" s="617"/>
      <c r="DE5" s="617"/>
      <c r="DF5" s="617"/>
      <c r="DG5" s="617"/>
      <c r="DH5" s="617"/>
      <c r="DI5" s="617"/>
      <c r="DJ5" s="617"/>
      <c r="DK5" s="617"/>
      <c r="DL5" s="617"/>
      <c r="DM5" s="617"/>
      <c r="DN5" s="617"/>
      <c r="DO5" s="617"/>
      <c r="DP5" s="617"/>
      <c r="DQ5" s="617"/>
      <c r="DR5" s="617"/>
      <c r="DS5" s="617"/>
      <c r="DT5" s="617"/>
      <c r="DU5" s="617"/>
      <c r="DV5" s="617"/>
      <c r="DW5" s="617"/>
      <c r="DX5" s="617"/>
      <c r="DY5" s="617"/>
      <c r="DZ5" s="617"/>
      <c r="EA5" s="617"/>
      <c r="EB5" s="617"/>
      <c r="EC5" s="617"/>
      <c r="ED5" s="617"/>
      <c r="EE5" s="617"/>
      <c r="EF5" s="617"/>
      <c r="EG5" s="617"/>
      <c r="EH5" s="617"/>
      <c r="EI5" s="617"/>
      <c r="EJ5" s="617"/>
      <c r="EK5" s="617"/>
      <c r="EL5" s="615" t="s">
        <v>833</v>
      </c>
      <c r="EM5" s="615" t="s">
        <v>833</v>
      </c>
      <c r="EN5" s="615" t="s">
        <v>833</v>
      </c>
      <c r="EO5" s="615" t="s">
        <v>833</v>
      </c>
      <c r="EP5" s="615" t="s">
        <v>833</v>
      </c>
      <c r="EQ5" s="615" t="s">
        <v>833</v>
      </c>
      <c r="ER5" s="615" t="s">
        <v>833</v>
      </c>
      <c r="ES5" s="615" t="s">
        <v>833</v>
      </c>
      <c r="ET5" s="615" t="s">
        <v>833</v>
      </c>
      <c r="EU5" s="615" t="s">
        <v>833</v>
      </c>
      <c r="EV5" s="615" t="s">
        <v>833</v>
      </c>
      <c r="EW5" s="615" t="s">
        <v>833</v>
      </c>
      <c r="EX5" s="615">
        <v>3670</v>
      </c>
      <c r="EY5" s="615">
        <v>3820</v>
      </c>
      <c r="EZ5" s="615" t="s">
        <v>1206</v>
      </c>
      <c r="FA5" s="615" t="s">
        <v>1206</v>
      </c>
      <c r="FB5" s="615" t="s">
        <v>1206</v>
      </c>
      <c r="FC5" s="615" t="s">
        <v>1206</v>
      </c>
      <c r="FD5" s="615" t="s">
        <v>1206</v>
      </c>
      <c r="FE5" s="615" t="s">
        <v>1206</v>
      </c>
      <c r="FF5" s="615" t="s">
        <v>1206</v>
      </c>
      <c r="FG5" s="615" t="s">
        <v>1206</v>
      </c>
      <c r="FH5" s="615" t="s">
        <v>1206</v>
      </c>
      <c r="FI5" s="615" t="s">
        <v>1206</v>
      </c>
      <c r="FJ5" s="615" t="s">
        <v>1206</v>
      </c>
      <c r="FK5" s="615" t="s">
        <v>1206</v>
      </c>
      <c r="FL5" s="615">
        <v>8</v>
      </c>
      <c r="FM5" s="615">
        <v>8</v>
      </c>
      <c r="FN5" s="615">
        <v>8</v>
      </c>
      <c r="FO5" s="615">
        <v>8</v>
      </c>
      <c r="FP5" s="615">
        <v>8</v>
      </c>
      <c r="FQ5" s="615">
        <v>8</v>
      </c>
      <c r="FR5" s="615">
        <v>8</v>
      </c>
      <c r="FS5" s="615">
        <v>8</v>
      </c>
      <c r="FT5" s="615">
        <v>8</v>
      </c>
      <c r="FU5" s="615">
        <v>8</v>
      </c>
      <c r="FV5" s="615">
        <v>71</v>
      </c>
      <c r="FW5" s="615">
        <v>71</v>
      </c>
      <c r="FX5" s="615">
        <v>71</v>
      </c>
      <c r="FY5" s="615">
        <v>71</v>
      </c>
      <c r="FZ5" s="615">
        <v>71</v>
      </c>
      <c r="GA5" s="615">
        <v>71</v>
      </c>
      <c r="GB5" s="615">
        <v>71</v>
      </c>
      <c r="GC5" s="615">
        <v>71</v>
      </c>
      <c r="GD5" s="615">
        <v>71</v>
      </c>
      <c r="GE5" s="615">
        <v>71</v>
      </c>
      <c r="GF5" s="615">
        <v>18350</v>
      </c>
      <c r="GG5" s="615" t="s">
        <v>1206</v>
      </c>
      <c r="GH5" s="615" t="s">
        <v>1206</v>
      </c>
      <c r="GI5" s="615" t="s">
        <v>1206</v>
      </c>
      <c r="GJ5" s="615" t="s">
        <v>1206</v>
      </c>
      <c r="GK5" s="615" t="s">
        <v>1206</v>
      </c>
      <c r="GL5" s="615" t="s">
        <v>1206</v>
      </c>
      <c r="GM5" s="615" t="s">
        <v>1206</v>
      </c>
      <c r="GN5" s="615" t="s">
        <v>1206</v>
      </c>
      <c r="GO5" s="615" t="s">
        <v>1206</v>
      </c>
      <c r="GP5" s="615" t="s">
        <v>1206</v>
      </c>
      <c r="GQ5" s="615" t="s">
        <v>1206</v>
      </c>
      <c r="GR5" s="615" t="s">
        <v>1206</v>
      </c>
      <c r="GS5" s="615">
        <v>22</v>
      </c>
      <c r="GT5" s="615">
        <v>24</v>
      </c>
      <c r="GU5" s="615">
        <v>25</v>
      </c>
      <c r="GV5" s="615">
        <v>25</v>
      </c>
      <c r="GW5" s="615">
        <v>25</v>
      </c>
      <c r="GX5" s="615">
        <v>25</v>
      </c>
      <c r="GY5" s="615">
        <v>25</v>
      </c>
      <c r="GZ5" s="615">
        <v>25</v>
      </c>
      <c r="HA5" s="615">
        <v>25</v>
      </c>
      <c r="HB5" s="615">
        <v>25</v>
      </c>
      <c r="HC5" s="615" t="s">
        <v>1207</v>
      </c>
      <c r="HD5" s="615" t="s">
        <v>1207</v>
      </c>
      <c r="HE5" s="615" t="s">
        <v>1207</v>
      </c>
      <c r="HF5" s="615" t="s">
        <v>1207</v>
      </c>
      <c r="HG5" s="615" t="s">
        <v>1207</v>
      </c>
      <c r="HH5" s="615" t="s">
        <v>1207</v>
      </c>
      <c r="HI5" s="615" t="s">
        <v>1207</v>
      </c>
      <c r="HJ5" s="615" t="s">
        <v>1207</v>
      </c>
      <c r="HK5" s="615" t="s">
        <v>1207</v>
      </c>
      <c r="HL5" s="615" t="s">
        <v>1207</v>
      </c>
      <c r="HM5" s="615" t="s">
        <v>1207</v>
      </c>
      <c r="HN5" s="615" t="s">
        <v>1207</v>
      </c>
      <c r="HO5" s="611">
        <f>IF(HC5="配置",$HO$3,"")</f>
        <v>79950</v>
      </c>
      <c r="HP5" s="611">
        <f t="shared" ref="HP5:HZ5" si="0">IF(HD5="配置",$HO$3,"")</f>
        <v>79950</v>
      </c>
      <c r="HQ5" s="611">
        <f t="shared" si="0"/>
        <v>79950</v>
      </c>
      <c r="HR5" s="611">
        <f t="shared" si="0"/>
        <v>79950</v>
      </c>
      <c r="HS5" s="611">
        <f t="shared" si="0"/>
        <v>79950</v>
      </c>
      <c r="HT5" s="611">
        <f t="shared" si="0"/>
        <v>79950</v>
      </c>
      <c r="HU5" s="611">
        <f t="shared" si="0"/>
        <v>79950</v>
      </c>
      <c r="HV5" s="611">
        <f t="shared" si="0"/>
        <v>79950</v>
      </c>
      <c r="HW5" s="611">
        <f t="shared" si="0"/>
        <v>79950</v>
      </c>
      <c r="HX5" s="611">
        <f t="shared" si="0"/>
        <v>79950</v>
      </c>
      <c r="HY5" s="611">
        <f t="shared" si="0"/>
        <v>79950</v>
      </c>
      <c r="HZ5" s="611">
        <f t="shared" si="0"/>
        <v>79950</v>
      </c>
      <c r="IA5" s="618" t="s">
        <v>1297</v>
      </c>
    </row>
    <row r="6" spans="1:235">
      <c r="B6" s="594">
        <v>2</v>
      </c>
      <c r="C6" s="594">
        <v>202</v>
      </c>
      <c r="D6" s="611" t="s">
        <v>1177</v>
      </c>
      <c r="E6" s="612" t="s">
        <v>13</v>
      </c>
      <c r="F6" s="612">
        <v>90</v>
      </c>
      <c r="G6" s="612">
        <v>0</v>
      </c>
      <c r="H6" s="612">
        <v>50</v>
      </c>
      <c r="I6" s="612">
        <v>40</v>
      </c>
      <c r="J6" s="612"/>
      <c r="K6" s="612"/>
      <c r="L6" s="612"/>
      <c r="M6" s="612"/>
      <c r="N6" s="612"/>
      <c r="O6" s="612"/>
      <c r="P6" s="612"/>
      <c r="Q6" s="612"/>
      <c r="R6" s="612"/>
      <c r="S6" s="612"/>
      <c r="T6" s="612"/>
      <c r="U6" s="612"/>
      <c r="V6" s="612"/>
      <c r="W6" s="612"/>
      <c r="X6" s="612"/>
      <c r="Y6" s="612"/>
      <c r="Z6" s="612"/>
      <c r="AA6" s="612"/>
      <c r="AB6" s="612"/>
      <c r="AC6" s="612"/>
      <c r="AD6" s="612"/>
      <c r="AE6" s="612"/>
      <c r="AF6" s="612"/>
      <c r="AG6" s="612"/>
      <c r="AH6" s="612"/>
      <c r="AI6" s="612"/>
      <c r="AJ6" s="612"/>
      <c r="AK6" s="612"/>
      <c r="AL6" s="612"/>
      <c r="AM6" s="613"/>
      <c r="AN6" s="613"/>
      <c r="AO6" s="613"/>
      <c r="AP6" s="614"/>
      <c r="AQ6" s="612" t="s">
        <v>11</v>
      </c>
      <c r="AR6" s="615" t="s">
        <v>629</v>
      </c>
      <c r="AS6" s="615" t="s">
        <v>629</v>
      </c>
      <c r="AT6" s="615" t="s">
        <v>629</v>
      </c>
      <c r="AU6" s="615" t="s">
        <v>629</v>
      </c>
      <c r="AV6" s="615" t="s">
        <v>629</v>
      </c>
      <c r="AW6" s="615" t="s">
        <v>629</v>
      </c>
      <c r="AX6" s="615" t="s">
        <v>629</v>
      </c>
      <c r="AY6" s="615" t="s">
        <v>629</v>
      </c>
      <c r="AZ6" s="615" t="s">
        <v>629</v>
      </c>
      <c r="BA6" s="615" t="s">
        <v>629</v>
      </c>
      <c r="BB6" s="615" t="s">
        <v>629</v>
      </c>
      <c r="BC6" s="615" t="s">
        <v>629</v>
      </c>
      <c r="BD6" s="615" t="s">
        <v>629</v>
      </c>
      <c r="BE6" s="615" t="s">
        <v>629</v>
      </c>
      <c r="BF6" s="615" t="s">
        <v>629</v>
      </c>
      <c r="BG6" s="615" t="s">
        <v>629</v>
      </c>
      <c r="BH6" s="615" t="s">
        <v>629</v>
      </c>
      <c r="BI6" s="615" t="s">
        <v>629</v>
      </c>
      <c r="BJ6" s="615" t="s">
        <v>629</v>
      </c>
      <c r="BK6" s="615" t="s">
        <v>629</v>
      </c>
      <c r="BL6" s="615" t="s">
        <v>629</v>
      </c>
      <c r="BM6" s="615" t="s">
        <v>629</v>
      </c>
      <c r="BN6" s="615" t="s">
        <v>629</v>
      </c>
      <c r="BO6" s="615" t="s">
        <v>629</v>
      </c>
      <c r="BP6" s="615">
        <v>1</v>
      </c>
      <c r="BQ6" s="615">
        <v>1</v>
      </c>
      <c r="BR6" s="615">
        <v>1</v>
      </c>
      <c r="BS6" s="615">
        <v>1</v>
      </c>
      <c r="BT6" s="615">
        <v>1</v>
      </c>
      <c r="BU6" s="615">
        <v>1</v>
      </c>
      <c r="BV6" s="615">
        <v>1</v>
      </c>
      <c r="BW6" s="615">
        <v>1</v>
      </c>
      <c r="BX6" s="615">
        <v>1</v>
      </c>
      <c r="BY6" s="615">
        <v>1</v>
      </c>
      <c r="BZ6" s="615">
        <v>1</v>
      </c>
      <c r="CA6" s="615">
        <v>1</v>
      </c>
      <c r="CB6" s="615">
        <v>0</v>
      </c>
      <c r="CC6" s="615">
        <v>0</v>
      </c>
      <c r="CD6" s="615">
        <v>0</v>
      </c>
      <c r="CE6" s="615">
        <v>0</v>
      </c>
      <c r="CF6" s="615">
        <v>0</v>
      </c>
      <c r="CG6" s="615">
        <v>0</v>
      </c>
      <c r="CH6" s="615">
        <v>0</v>
      </c>
      <c r="CI6" s="615">
        <v>0</v>
      </c>
      <c r="CJ6" s="615">
        <v>0</v>
      </c>
      <c r="CK6" s="615">
        <v>0</v>
      </c>
      <c r="CL6" s="615">
        <v>0</v>
      </c>
      <c r="CM6" s="615">
        <v>0</v>
      </c>
      <c r="CN6" s="615">
        <v>0</v>
      </c>
      <c r="CO6" s="615">
        <v>0</v>
      </c>
      <c r="CP6" s="615">
        <v>0</v>
      </c>
      <c r="CQ6" s="615">
        <v>0</v>
      </c>
      <c r="CR6" s="615">
        <v>0</v>
      </c>
      <c r="CS6" s="615">
        <v>0</v>
      </c>
      <c r="CT6" s="615">
        <v>0</v>
      </c>
      <c r="CU6" s="615">
        <v>0</v>
      </c>
      <c r="CV6" s="615">
        <v>0</v>
      </c>
      <c r="CW6" s="615">
        <v>0</v>
      </c>
      <c r="CX6" s="615">
        <v>0</v>
      </c>
      <c r="CY6" s="615">
        <v>0</v>
      </c>
      <c r="CZ6" s="615" t="s">
        <v>1048</v>
      </c>
      <c r="DA6" s="615">
        <v>2</v>
      </c>
      <c r="DB6" s="617"/>
      <c r="DC6" s="617"/>
      <c r="DD6" s="617"/>
      <c r="DE6" s="617"/>
      <c r="DF6" s="617"/>
      <c r="DG6" s="617"/>
      <c r="DH6" s="617"/>
      <c r="DI6" s="617"/>
      <c r="DJ6" s="617"/>
      <c r="DK6" s="617"/>
      <c r="DL6" s="617"/>
      <c r="DM6" s="617"/>
      <c r="DN6" s="617"/>
      <c r="DO6" s="617"/>
      <c r="DP6" s="617"/>
      <c r="DQ6" s="617"/>
      <c r="DR6" s="617"/>
      <c r="DS6" s="617"/>
      <c r="DT6" s="617"/>
      <c r="DU6" s="617"/>
      <c r="DV6" s="617"/>
      <c r="DW6" s="617"/>
      <c r="DX6" s="617"/>
      <c r="DY6" s="617"/>
      <c r="DZ6" s="617"/>
      <c r="EA6" s="617"/>
      <c r="EB6" s="617"/>
      <c r="EC6" s="617"/>
      <c r="ED6" s="617"/>
      <c r="EE6" s="617"/>
      <c r="EF6" s="617"/>
      <c r="EG6" s="617"/>
      <c r="EH6" s="617"/>
      <c r="EI6" s="617"/>
      <c r="EJ6" s="617"/>
      <c r="EK6" s="617"/>
      <c r="EL6" s="615" t="s">
        <v>833</v>
      </c>
      <c r="EM6" s="615" t="s">
        <v>833</v>
      </c>
      <c r="EN6" s="615" t="s">
        <v>833</v>
      </c>
      <c r="EO6" s="615" t="s">
        <v>833</v>
      </c>
      <c r="EP6" s="615" t="s">
        <v>833</v>
      </c>
      <c r="EQ6" s="615" t="s">
        <v>833</v>
      </c>
      <c r="ER6" s="615" t="s">
        <v>833</v>
      </c>
      <c r="ES6" s="615" t="s">
        <v>833</v>
      </c>
      <c r="ET6" s="615" t="s">
        <v>833</v>
      </c>
      <c r="EU6" s="615" t="s">
        <v>833</v>
      </c>
      <c r="EV6" s="615" t="s">
        <v>833</v>
      </c>
      <c r="EW6" s="615" t="s">
        <v>833</v>
      </c>
      <c r="EX6" s="615">
        <v>3670</v>
      </c>
      <c r="EY6" s="615">
        <v>3820</v>
      </c>
      <c r="EZ6" s="616" t="s">
        <v>1577</v>
      </c>
      <c r="FA6" s="616" t="s">
        <v>1577</v>
      </c>
      <c r="FB6" s="616" t="s">
        <v>1577</v>
      </c>
      <c r="FC6" s="616" t="s">
        <v>1577</v>
      </c>
      <c r="FD6" s="616" t="s">
        <v>1577</v>
      </c>
      <c r="FE6" s="616" t="s">
        <v>1577</v>
      </c>
      <c r="FF6" s="616" t="s">
        <v>1577</v>
      </c>
      <c r="FG6" s="616" t="s">
        <v>1577</v>
      </c>
      <c r="FH6" s="616" t="s">
        <v>1577</v>
      </c>
      <c r="FI6" s="616" t="s">
        <v>1577</v>
      </c>
      <c r="FJ6" s="616" t="s">
        <v>1577</v>
      </c>
      <c r="FK6" s="616" t="s">
        <v>1577</v>
      </c>
      <c r="FL6" s="615">
        <v>0</v>
      </c>
      <c r="FM6" s="615">
        <v>0</v>
      </c>
      <c r="FN6" s="615">
        <v>0</v>
      </c>
      <c r="FO6" s="615">
        <v>0</v>
      </c>
      <c r="FP6" s="615">
        <v>0</v>
      </c>
      <c r="FQ6" s="615">
        <v>0</v>
      </c>
      <c r="FR6" s="615">
        <v>0</v>
      </c>
      <c r="FS6" s="615">
        <v>0</v>
      </c>
      <c r="FT6" s="615">
        <v>0</v>
      </c>
      <c r="FU6" s="615">
        <v>0</v>
      </c>
      <c r="FV6" s="615">
        <v>40</v>
      </c>
      <c r="FW6" s="615">
        <v>40</v>
      </c>
      <c r="FX6" s="615">
        <v>40</v>
      </c>
      <c r="FY6" s="615">
        <v>40</v>
      </c>
      <c r="FZ6" s="615">
        <v>40</v>
      </c>
      <c r="GA6" s="615">
        <v>40</v>
      </c>
      <c r="GB6" s="615">
        <v>40</v>
      </c>
      <c r="GC6" s="615">
        <v>40</v>
      </c>
      <c r="GD6" s="615">
        <v>40</v>
      </c>
      <c r="GE6" s="615">
        <v>40</v>
      </c>
      <c r="GF6" s="615">
        <v>18350</v>
      </c>
      <c r="GG6" s="615" t="s">
        <v>833</v>
      </c>
      <c r="GH6" s="615" t="s">
        <v>833</v>
      </c>
      <c r="GI6" s="615" t="s">
        <v>833</v>
      </c>
      <c r="GJ6" s="615" t="s">
        <v>833</v>
      </c>
      <c r="GK6" s="615" t="s">
        <v>833</v>
      </c>
      <c r="GL6" s="615" t="s">
        <v>833</v>
      </c>
      <c r="GM6" s="615" t="s">
        <v>833</v>
      </c>
      <c r="GN6" s="615" t="s">
        <v>833</v>
      </c>
      <c r="GO6" s="615" t="s">
        <v>833</v>
      </c>
      <c r="GP6" s="615" t="s">
        <v>833</v>
      </c>
      <c r="GQ6" s="615" t="s">
        <v>833</v>
      </c>
      <c r="GR6" s="615" t="s">
        <v>833</v>
      </c>
      <c r="GS6" s="615">
        <v>9</v>
      </c>
      <c r="GT6" s="615">
        <v>9</v>
      </c>
      <c r="GU6" s="615">
        <v>11</v>
      </c>
      <c r="GV6" s="615">
        <v>11</v>
      </c>
      <c r="GW6" s="615">
        <v>11</v>
      </c>
      <c r="GX6" s="615">
        <v>11</v>
      </c>
      <c r="GY6" s="615">
        <v>11</v>
      </c>
      <c r="GZ6" s="615">
        <v>12</v>
      </c>
      <c r="HA6" s="615">
        <v>12</v>
      </c>
      <c r="HB6" s="615">
        <v>12</v>
      </c>
      <c r="HC6" s="615" t="s">
        <v>1207</v>
      </c>
      <c r="HD6" s="615" t="s">
        <v>1207</v>
      </c>
      <c r="HE6" s="615" t="s">
        <v>1207</v>
      </c>
      <c r="HF6" s="615" t="s">
        <v>1207</v>
      </c>
      <c r="HG6" s="615" t="s">
        <v>1207</v>
      </c>
      <c r="HH6" s="615" t="s">
        <v>1207</v>
      </c>
      <c r="HI6" s="615" t="s">
        <v>1207</v>
      </c>
      <c r="HJ6" s="615" t="s">
        <v>1207</v>
      </c>
      <c r="HK6" s="615" t="s">
        <v>1207</v>
      </c>
      <c r="HL6" s="615" t="s">
        <v>1207</v>
      </c>
      <c r="HM6" s="615" t="s">
        <v>1207</v>
      </c>
      <c r="HN6" s="615" t="s">
        <v>1207</v>
      </c>
      <c r="HO6" s="611">
        <f t="shared" ref="HO6:HO35" si="1">IF(HC6="配置",$HO$3,"")</f>
        <v>79950</v>
      </c>
      <c r="HP6" s="611">
        <f t="shared" ref="HP6:HP35" si="2">IF(HD6="配置",$HO$3,"")</f>
        <v>79950</v>
      </c>
      <c r="HQ6" s="611">
        <f t="shared" ref="HQ6:HQ35" si="3">IF(HE6="配置",$HO$3,"")</f>
        <v>79950</v>
      </c>
      <c r="HR6" s="611">
        <f t="shared" ref="HR6:HR35" si="4">IF(HF6="配置",$HO$3,"")</f>
        <v>79950</v>
      </c>
      <c r="HS6" s="611">
        <f t="shared" ref="HS6:HS35" si="5">IF(HG6="配置",$HO$3,"")</f>
        <v>79950</v>
      </c>
      <c r="HT6" s="611">
        <f t="shared" ref="HT6:HT35" si="6">IF(HH6="配置",$HO$3,"")</f>
        <v>79950</v>
      </c>
      <c r="HU6" s="611">
        <f t="shared" ref="HU6:HU35" si="7">IF(HI6="配置",$HO$3,"")</f>
        <v>79950</v>
      </c>
      <c r="HV6" s="611">
        <f t="shared" ref="HV6:HV35" si="8">IF(HJ6="配置",$HO$3,"")</f>
        <v>79950</v>
      </c>
      <c r="HW6" s="611">
        <f t="shared" ref="HW6:HW35" si="9">IF(HK6="配置",$HO$3,"")</f>
        <v>79950</v>
      </c>
      <c r="HX6" s="611">
        <f t="shared" ref="HX6:HX35" si="10">IF(HL6="配置",$HO$3,"")</f>
        <v>79950</v>
      </c>
      <c r="HY6" s="611">
        <f t="shared" ref="HY6:HY35" si="11">IF(HM6="配置",$HO$3,"")</f>
        <v>79950</v>
      </c>
      <c r="HZ6" s="611">
        <f t="shared" ref="HZ6:HZ35" si="12">IF(HN6="配置",$HO$3,"")</f>
        <v>79950</v>
      </c>
      <c r="IA6" s="619" t="s">
        <v>1297</v>
      </c>
    </row>
    <row r="7" spans="1:235">
      <c r="B7" s="594">
        <v>3</v>
      </c>
      <c r="C7" s="594">
        <v>203</v>
      </c>
      <c r="D7" s="611" t="s">
        <v>1178</v>
      </c>
      <c r="E7" s="612" t="s">
        <v>13</v>
      </c>
      <c r="F7" s="612">
        <v>156</v>
      </c>
      <c r="G7" s="612">
        <v>66</v>
      </c>
      <c r="H7" s="612">
        <v>60</v>
      </c>
      <c r="I7" s="612">
        <v>30</v>
      </c>
      <c r="J7" s="612"/>
      <c r="K7" s="612"/>
      <c r="L7" s="612"/>
      <c r="M7" s="612"/>
      <c r="N7" s="612"/>
      <c r="O7" s="612"/>
      <c r="P7" s="612"/>
      <c r="Q7" s="612"/>
      <c r="R7" s="612"/>
      <c r="S7" s="612"/>
      <c r="T7" s="612"/>
      <c r="U7" s="612"/>
      <c r="V7" s="612"/>
      <c r="W7" s="612"/>
      <c r="X7" s="612"/>
      <c r="Y7" s="612"/>
      <c r="Z7" s="612"/>
      <c r="AA7" s="612"/>
      <c r="AB7" s="612"/>
      <c r="AC7" s="612"/>
      <c r="AD7" s="612"/>
      <c r="AE7" s="612"/>
      <c r="AF7" s="612"/>
      <c r="AG7" s="612"/>
      <c r="AH7" s="612"/>
      <c r="AI7" s="612"/>
      <c r="AJ7" s="612"/>
      <c r="AK7" s="612"/>
      <c r="AL7" s="612"/>
      <c r="AM7" s="613"/>
      <c r="AN7" s="613"/>
      <c r="AO7" s="613"/>
      <c r="AP7" s="614"/>
      <c r="AQ7" s="612" t="s">
        <v>11</v>
      </c>
      <c r="AR7" s="615" t="s">
        <v>629</v>
      </c>
      <c r="AS7" s="615" t="s">
        <v>629</v>
      </c>
      <c r="AT7" s="615" t="s">
        <v>629</v>
      </c>
      <c r="AU7" s="615" t="s">
        <v>629</v>
      </c>
      <c r="AV7" s="615" t="s">
        <v>629</v>
      </c>
      <c r="AW7" s="615" t="s">
        <v>629</v>
      </c>
      <c r="AX7" s="615" t="s">
        <v>629</v>
      </c>
      <c r="AY7" s="615" t="s">
        <v>629</v>
      </c>
      <c r="AZ7" s="615" t="s">
        <v>629</v>
      </c>
      <c r="BA7" s="615" t="s">
        <v>629</v>
      </c>
      <c r="BB7" s="615" t="s">
        <v>629</v>
      </c>
      <c r="BC7" s="615" t="s">
        <v>629</v>
      </c>
      <c r="BD7" s="615" t="s">
        <v>629</v>
      </c>
      <c r="BE7" s="615" t="s">
        <v>629</v>
      </c>
      <c r="BF7" s="615" t="s">
        <v>629</v>
      </c>
      <c r="BG7" s="615" t="s">
        <v>629</v>
      </c>
      <c r="BH7" s="615" t="s">
        <v>629</v>
      </c>
      <c r="BI7" s="615" t="s">
        <v>629</v>
      </c>
      <c r="BJ7" s="615" t="s">
        <v>629</v>
      </c>
      <c r="BK7" s="615" t="s">
        <v>629</v>
      </c>
      <c r="BL7" s="615" t="s">
        <v>629</v>
      </c>
      <c r="BM7" s="615" t="s">
        <v>629</v>
      </c>
      <c r="BN7" s="615" t="s">
        <v>629</v>
      </c>
      <c r="BO7" s="615" t="s">
        <v>629</v>
      </c>
      <c r="BP7" s="615">
        <v>0</v>
      </c>
      <c r="BQ7" s="615">
        <v>0</v>
      </c>
      <c r="BR7" s="615">
        <v>0</v>
      </c>
      <c r="BS7" s="615">
        <v>0</v>
      </c>
      <c r="BT7" s="615">
        <v>0</v>
      </c>
      <c r="BU7" s="615">
        <v>0</v>
      </c>
      <c r="BV7" s="615">
        <v>0</v>
      </c>
      <c r="BW7" s="615">
        <v>0</v>
      </c>
      <c r="BX7" s="615">
        <v>0</v>
      </c>
      <c r="BY7" s="615">
        <v>0</v>
      </c>
      <c r="BZ7" s="615">
        <v>0</v>
      </c>
      <c r="CA7" s="615">
        <v>0</v>
      </c>
      <c r="CB7" s="615">
        <v>0</v>
      </c>
      <c r="CC7" s="615">
        <v>0</v>
      </c>
      <c r="CD7" s="615">
        <v>0</v>
      </c>
      <c r="CE7" s="615">
        <v>0</v>
      </c>
      <c r="CF7" s="615">
        <v>0</v>
      </c>
      <c r="CG7" s="615">
        <v>0</v>
      </c>
      <c r="CH7" s="615">
        <v>0</v>
      </c>
      <c r="CI7" s="615">
        <v>0</v>
      </c>
      <c r="CJ7" s="615">
        <v>0</v>
      </c>
      <c r="CK7" s="615">
        <v>0</v>
      </c>
      <c r="CL7" s="615">
        <v>0</v>
      </c>
      <c r="CM7" s="615">
        <v>0</v>
      </c>
      <c r="CN7" s="615">
        <v>0</v>
      </c>
      <c r="CO7" s="615">
        <v>0</v>
      </c>
      <c r="CP7" s="615">
        <v>0</v>
      </c>
      <c r="CQ7" s="615">
        <v>0</v>
      </c>
      <c r="CR7" s="615">
        <v>0</v>
      </c>
      <c r="CS7" s="615">
        <v>0</v>
      </c>
      <c r="CT7" s="615">
        <v>0</v>
      </c>
      <c r="CU7" s="615">
        <v>0</v>
      </c>
      <c r="CV7" s="615">
        <v>0</v>
      </c>
      <c r="CW7" s="615">
        <v>0</v>
      </c>
      <c r="CX7" s="615">
        <v>0</v>
      </c>
      <c r="CY7" s="615">
        <v>0</v>
      </c>
      <c r="CZ7" s="615" t="s">
        <v>1049</v>
      </c>
      <c r="DA7" s="615">
        <v>2</v>
      </c>
      <c r="DB7" s="617"/>
      <c r="DC7" s="617"/>
      <c r="DD7" s="617"/>
      <c r="DE7" s="617"/>
      <c r="DF7" s="617"/>
      <c r="DG7" s="617"/>
      <c r="DH7" s="617"/>
      <c r="DI7" s="617"/>
      <c r="DJ7" s="617"/>
      <c r="DK7" s="617"/>
      <c r="DL7" s="617"/>
      <c r="DM7" s="617"/>
      <c r="DN7" s="617"/>
      <c r="DO7" s="617"/>
      <c r="DP7" s="617"/>
      <c r="DQ7" s="617"/>
      <c r="DR7" s="617"/>
      <c r="DS7" s="617"/>
      <c r="DT7" s="617"/>
      <c r="DU7" s="617"/>
      <c r="DV7" s="617"/>
      <c r="DW7" s="617"/>
      <c r="DX7" s="617"/>
      <c r="DY7" s="617"/>
      <c r="DZ7" s="617"/>
      <c r="EA7" s="617"/>
      <c r="EB7" s="617"/>
      <c r="EC7" s="617"/>
      <c r="ED7" s="617"/>
      <c r="EE7" s="617"/>
      <c r="EF7" s="617"/>
      <c r="EG7" s="617"/>
      <c r="EH7" s="617"/>
      <c r="EI7" s="617"/>
      <c r="EJ7" s="617"/>
      <c r="EK7" s="617"/>
      <c r="EL7" s="615" t="s">
        <v>833</v>
      </c>
      <c r="EM7" s="615" t="s">
        <v>833</v>
      </c>
      <c r="EN7" s="615" t="s">
        <v>833</v>
      </c>
      <c r="EO7" s="615" t="s">
        <v>833</v>
      </c>
      <c r="EP7" s="615" t="s">
        <v>833</v>
      </c>
      <c r="EQ7" s="615" t="s">
        <v>833</v>
      </c>
      <c r="ER7" s="615" t="s">
        <v>833</v>
      </c>
      <c r="ES7" s="615" t="s">
        <v>833</v>
      </c>
      <c r="ET7" s="615" t="s">
        <v>833</v>
      </c>
      <c r="EU7" s="615" t="s">
        <v>833</v>
      </c>
      <c r="EV7" s="615" t="s">
        <v>833</v>
      </c>
      <c r="EW7" s="615" t="s">
        <v>833</v>
      </c>
      <c r="EX7" s="615">
        <v>3670</v>
      </c>
      <c r="EY7" s="615">
        <v>3820</v>
      </c>
      <c r="EZ7" s="616" t="s">
        <v>1577</v>
      </c>
      <c r="FA7" s="616" t="s">
        <v>1577</v>
      </c>
      <c r="FB7" s="616" t="s">
        <v>1577</v>
      </c>
      <c r="FC7" s="616" t="s">
        <v>1577</v>
      </c>
      <c r="FD7" s="616" t="s">
        <v>1577</v>
      </c>
      <c r="FE7" s="616" t="s">
        <v>1577</v>
      </c>
      <c r="FF7" s="616" t="s">
        <v>1577</v>
      </c>
      <c r="FG7" s="616" t="s">
        <v>1577</v>
      </c>
      <c r="FH7" s="616" t="s">
        <v>1577</v>
      </c>
      <c r="FI7" s="616" t="s">
        <v>1577</v>
      </c>
      <c r="FJ7" s="616" t="s">
        <v>1577</v>
      </c>
      <c r="FK7" s="616" t="s">
        <v>1577</v>
      </c>
      <c r="FL7" s="615">
        <v>21</v>
      </c>
      <c r="FM7" s="615">
        <v>21</v>
      </c>
      <c r="FN7" s="615">
        <v>22</v>
      </c>
      <c r="FO7" s="615">
        <v>23</v>
      </c>
      <c r="FP7" s="615">
        <v>23</v>
      </c>
      <c r="FQ7" s="615">
        <v>23</v>
      </c>
      <c r="FR7" s="615">
        <v>23</v>
      </c>
      <c r="FS7" s="615">
        <v>23</v>
      </c>
      <c r="FT7" s="615">
        <v>21</v>
      </c>
      <c r="FU7" s="615">
        <v>21</v>
      </c>
      <c r="FV7" s="615">
        <v>51</v>
      </c>
      <c r="FW7" s="615">
        <v>51</v>
      </c>
      <c r="FX7" s="615">
        <v>50</v>
      </c>
      <c r="FY7" s="615">
        <v>49</v>
      </c>
      <c r="FZ7" s="615">
        <v>49</v>
      </c>
      <c r="GA7" s="615">
        <v>49</v>
      </c>
      <c r="GB7" s="615">
        <v>49</v>
      </c>
      <c r="GC7" s="615">
        <v>50</v>
      </c>
      <c r="GD7" s="615">
        <v>52</v>
      </c>
      <c r="GE7" s="615">
        <v>52</v>
      </c>
      <c r="GF7" s="615">
        <v>18350</v>
      </c>
      <c r="GG7" s="615" t="s">
        <v>1206</v>
      </c>
      <c r="GH7" s="615" t="s">
        <v>1206</v>
      </c>
      <c r="GI7" s="615" t="s">
        <v>1206</v>
      </c>
      <c r="GJ7" s="615" t="s">
        <v>1206</v>
      </c>
      <c r="GK7" s="615" t="s">
        <v>1206</v>
      </c>
      <c r="GL7" s="615" t="s">
        <v>1206</v>
      </c>
      <c r="GM7" s="615" t="s">
        <v>1206</v>
      </c>
      <c r="GN7" s="615" t="s">
        <v>1206</v>
      </c>
      <c r="GO7" s="615" t="s">
        <v>1206</v>
      </c>
      <c r="GP7" s="615" t="s">
        <v>1206</v>
      </c>
      <c r="GQ7" s="615" t="s">
        <v>1206</v>
      </c>
      <c r="GR7" s="615" t="s">
        <v>1206</v>
      </c>
      <c r="GS7" s="615">
        <v>9</v>
      </c>
      <c r="GT7" s="615">
        <v>9</v>
      </c>
      <c r="GU7" s="615">
        <v>9</v>
      </c>
      <c r="GV7" s="615">
        <v>11</v>
      </c>
      <c r="GW7" s="615">
        <v>11</v>
      </c>
      <c r="GX7" s="615">
        <v>10</v>
      </c>
      <c r="GY7" s="615">
        <v>11</v>
      </c>
      <c r="GZ7" s="615">
        <v>12</v>
      </c>
      <c r="HA7" s="615">
        <v>12</v>
      </c>
      <c r="HB7" s="615">
        <v>12</v>
      </c>
      <c r="HC7" s="615" t="s">
        <v>1208</v>
      </c>
      <c r="HD7" s="615" t="s">
        <v>1208</v>
      </c>
      <c r="HE7" s="615" t="s">
        <v>1208</v>
      </c>
      <c r="HF7" s="615" t="s">
        <v>1208</v>
      </c>
      <c r="HG7" s="615" t="s">
        <v>1208</v>
      </c>
      <c r="HH7" s="615" t="s">
        <v>1208</v>
      </c>
      <c r="HI7" s="615" t="s">
        <v>1208</v>
      </c>
      <c r="HJ7" s="615" t="s">
        <v>1208</v>
      </c>
      <c r="HK7" s="615" t="s">
        <v>1208</v>
      </c>
      <c r="HL7" s="615" t="s">
        <v>1208</v>
      </c>
      <c r="HM7" s="615" t="s">
        <v>1208</v>
      </c>
      <c r="HN7" s="615" t="s">
        <v>1208</v>
      </c>
      <c r="HO7" s="611" t="str">
        <f t="shared" si="1"/>
        <v/>
      </c>
      <c r="HP7" s="611" t="str">
        <f t="shared" si="2"/>
        <v/>
      </c>
      <c r="HQ7" s="611" t="str">
        <f t="shared" si="3"/>
        <v/>
      </c>
      <c r="HR7" s="611" t="str">
        <f t="shared" si="4"/>
        <v/>
      </c>
      <c r="HS7" s="611" t="str">
        <f t="shared" si="5"/>
        <v/>
      </c>
      <c r="HT7" s="611" t="str">
        <f t="shared" si="6"/>
        <v/>
      </c>
      <c r="HU7" s="611" t="str">
        <f t="shared" si="7"/>
        <v/>
      </c>
      <c r="HV7" s="611" t="str">
        <f t="shared" si="8"/>
        <v/>
      </c>
      <c r="HW7" s="611" t="str">
        <f t="shared" si="9"/>
        <v/>
      </c>
      <c r="HX7" s="611" t="str">
        <f t="shared" si="10"/>
        <v/>
      </c>
      <c r="HY7" s="611" t="str">
        <f t="shared" si="11"/>
        <v/>
      </c>
      <c r="HZ7" s="611" t="str">
        <f t="shared" si="12"/>
        <v/>
      </c>
      <c r="IA7" s="619" t="s">
        <v>1297</v>
      </c>
    </row>
    <row r="8" spans="1:235">
      <c r="B8" s="594">
        <v>4</v>
      </c>
      <c r="C8" s="594">
        <v>204</v>
      </c>
      <c r="D8" s="611" t="s">
        <v>1179</v>
      </c>
      <c r="E8" s="612" t="s">
        <v>13</v>
      </c>
      <c r="F8" s="612">
        <v>59</v>
      </c>
      <c r="G8" s="612">
        <v>9</v>
      </c>
      <c r="H8" s="612">
        <v>27</v>
      </c>
      <c r="I8" s="612">
        <v>23</v>
      </c>
      <c r="J8" s="612"/>
      <c r="K8" s="612"/>
      <c r="L8" s="612"/>
      <c r="M8" s="612"/>
      <c r="N8" s="612"/>
      <c r="O8" s="612"/>
      <c r="P8" s="612"/>
      <c r="Q8" s="612"/>
      <c r="R8" s="612"/>
      <c r="S8" s="612"/>
      <c r="T8" s="612"/>
      <c r="U8" s="612"/>
      <c r="V8" s="612"/>
      <c r="W8" s="612"/>
      <c r="X8" s="612"/>
      <c r="Y8" s="612"/>
      <c r="Z8" s="612"/>
      <c r="AA8" s="612"/>
      <c r="AB8" s="612"/>
      <c r="AC8" s="612"/>
      <c r="AD8" s="612"/>
      <c r="AE8" s="612"/>
      <c r="AF8" s="612"/>
      <c r="AG8" s="612"/>
      <c r="AH8" s="612"/>
      <c r="AI8" s="612"/>
      <c r="AJ8" s="612"/>
      <c r="AK8" s="612"/>
      <c r="AL8" s="612"/>
      <c r="AM8" s="613"/>
      <c r="AN8" s="613"/>
      <c r="AO8" s="613"/>
      <c r="AP8" s="614"/>
      <c r="AQ8" s="612" t="s">
        <v>11</v>
      </c>
      <c r="AR8" s="615" t="s">
        <v>1046</v>
      </c>
      <c r="AS8" s="615" t="s">
        <v>1046</v>
      </c>
      <c r="AT8" s="615" t="s">
        <v>1046</v>
      </c>
      <c r="AU8" s="615" t="s">
        <v>1046</v>
      </c>
      <c r="AV8" s="615" t="s">
        <v>1046</v>
      </c>
      <c r="AW8" s="615" t="s">
        <v>1046</v>
      </c>
      <c r="AX8" s="615" t="s">
        <v>1046</v>
      </c>
      <c r="AY8" s="615" t="s">
        <v>1046</v>
      </c>
      <c r="AZ8" s="615" t="s">
        <v>1046</v>
      </c>
      <c r="BA8" s="615" t="s">
        <v>1046</v>
      </c>
      <c r="BB8" s="615" t="s">
        <v>1046</v>
      </c>
      <c r="BC8" s="615" t="s">
        <v>1046</v>
      </c>
      <c r="BD8" s="615" t="s">
        <v>629</v>
      </c>
      <c r="BE8" s="615" t="s">
        <v>629</v>
      </c>
      <c r="BF8" s="615" t="s">
        <v>629</v>
      </c>
      <c r="BG8" s="615" t="s">
        <v>629</v>
      </c>
      <c r="BH8" s="615" t="s">
        <v>629</v>
      </c>
      <c r="BI8" s="615" t="s">
        <v>629</v>
      </c>
      <c r="BJ8" s="615" t="s">
        <v>629</v>
      </c>
      <c r="BK8" s="615" t="s">
        <v>629</v>
      </c>
      <c r="BL8" s="615" t="s">
        <v>629</v>
      </c>
      <c r="BM8" s="615" t="s">
        <v>629</v>
      </c>
      <c r="BN8" s="615" t="s">
        <v>629</v>
      </c>
      <c r="BO8" s="615" t="s">
        <v>629</v>
      </c>
      <c r="BP8" s="615">
        <v>1</v>
      </c>
      <c r="BQ8" s="615">
        <v>1</v>
      </c>
      <c r="BR8" s="615">
        <v>1</v>
      </c>
      <c r="BS8" s="615">
        <v>1</v>
      </c>
      <c r="BT8" s="615">
        <v>1</v>
      </c>
      <c r="BU8" s="615">
        <v>1</v>
      </c>
      <c r="BV8" s="615">
        <v>1</v>
      </c>
      <c r="BW8" s="615">
        <v>1</v>
      </c>
      <c r="BX8" s="615">
        <v>1</v>
      </c>
      <c r="BY8" s="615">
        <v>1</v>
      </c>
      <c r="BZ8" s="615">
        <v>1</v>
      </c>
      <c r="CA8" s="615">
        <v>1</v>
      </c>
      <c r="CB8" s="615">
        <v>0</v>
      </c>
      <c r="CC8" s="615">
        <v>0</v>
      </c>
      <c r="CD8" s="615">
        <v>0</v>
      </c>
      <c r="CE8" s="615">
        <v>0</v>
      </c>
      <c r="CF8" s="615">
        <v>0</v>
      </c>
      <c r="CG8" s="615">
        <v>0</v>
      </c>
      <c r="CH8" s="615">
        <v>0</v>
      </c>
      <c r="CI8" s="615">
        <v>0</v>
      </c>
      <c r="CJ8" s="615">
        <v>0</v>
      </c>
      <c r="CK8" s="615">
        <v>0</v>
      </c>
      <c r="CL8" s="615">
        <v>0</v>
      </c>
      <c r="CM8" s="615">
        <v>0</v>
      </c>
      <c r="CN8" s="615">
        <v>0</v>
      </c>
      <c r="CO8" s="615">
        <v>0</v>
      </c>
      <c r="CP8" s="615">
        <v>0</v>
      </c>
      <c r="CQ8" s="615">
        <v>0</v>
      </c>
      <c r="CR8" s="615">
        <v>0</v>
      </c>
      <c r="CS8" s="615">
        <v>0</v>
      </c>
      <c r="CT8" s="615">
        <v>0</v>
      </c>
      <c r="CU8" s="615">
        <v>0</v>
      </c>
      <c r="CV8" s="615">
        <v>0</v>
      </c>
      <c r="CW8" s="615">
        <v>0</v>
      </c>
      <c r="CX8" s="615">
        <v>0</v>
      </c>
      <c r="CY8" s="615">
        <v>0</v>
      </c>
      <c r="CZ8" s="615" t="s">
        <v>1049</v>
      </c>
      <c r="DA8" s="615">
        <v>0</v>
      </c>
      <c r="DB8" s="617"/>
      <c r="DC8" s="617"/>
      <c r="DD8" s="617"/>
      <c r="DE8" s="617"/>
      <c r="DF8" s="617"/>
      <c r="DG8" s="617"/>
      <c r="DH8" s="617"/>
      <c r="DI8" s="617"/>
      <c r="DJ8" s="617"/>
      <c r="DK8" s="617"/>
      <c r="DL8" s="617"/>
      <c r="DM8" s="617"/>
      <c r="DN8" s="617"/>
      <c r="DO8" s="617"/>
      <c r="DP8" s="617"/>
      <c r="DQ8" s="617"/>
      <c r="DR8" s="617"/>
      <c r="DS8" s="617"/>
      <c r="DT8" s="617"/>
      <c r="DU8" s="617"/>
      <c r="DV8" s="617"/>
      <c r="DW8" s="617"/>
      <c r="DX8" s="617"/>
      <c r="DY8" s="617"/>
      <c r="DZ8" s="617"/>
      <c r="EA8" s="617"/>
      <c r="EB8" s="617"/>
      <c r="EC8" s="617"/>
      <c r="ED8" s="617"/>
      <c r="EE8" s="617"/>
      <c r="EF8" s="617"/>
      <c r="EG8" s="617"/>
      <c r="EH8" s="617"/>
      <c r="EI8" s="617"/>
      <c r="EJ8" s="617"/>
      <c r="EK8" s="617"/>
      <c r="EL8" s="615" t="s">
        <v>833</v>
      </c>
      <c r="EM8" s="615" t="s">
        <v>833</v>
      </c>
      <c r="EN8" s="615" t="s">
        <v>833</v>
      </c>
      <c r="EO8" s="615" t="s">
        <v>833</v>
      </c>
      <c r="EP8" s="615" t="s">
        <v>833</v>
      </c>
      <c r="EQ8" s="615" t="s">
        <v>833</v>
      </c>
      <c r="ER8" s="615" t="s">
        <v>833</v>
      </c>
      <c r="ES8" s="615" t="s">
        <v>833</v>
      </c>
      <c r="ET8" s="615" t="s">
        <v>833</v>
      </c>
      <c r="EU8" s="615" t="s">
        <v>833</v>
      </c>
      <c r="EV8" s="615" t="s">
        <v>833</v>
      </c>
      <c r="EW8" s="615" t="s">
        <v>833</v>
      </c>
      <c r="EX8" s="615">
        <v>3670</v>
      </c>
      <c r="EY8" s="615">
        <v>3820</v>
      </c>
      <c r="EZ8" s="615" t="s">
        <v>1206</v>
      </c>
      <c r="FA8" s="615" t="s">
        <v>1206</v>
      </c>
      <c r="FB8" s="615" t="s">
        <v>1206</v>
      </c>
      <c r="FC8" s="615" t="s">
        <v>1206</v>
      </c>
      <c r="FD8" s="615" t="s">
        <v>1206</v>
      </c>
      <c r="FE8" s="615" t="s">
        <v>1206</v>
      </c>
      <c r="FF8" s="615" t="s">
        <v>1206</v>
      </c>
      <c r="FG8" s="615" t="s">
        <v>1206</v>
      </c>
      <c r="FH8" s="615" t="s">
        <v>1206</v>
      </c>
      <c r="FI8" s="615" t="s">
        <v>1206</v>
      </c>
      <c r="FJ8" s="615" t="s">
        <v>1206</v>
      </c>
      <c r="FK8" s="615" t="s">
        <v>1206</v>
      </c>
      <c r="FL8" s="615">
        <v>4</v>
      </c>
      <c r="FM8" s="615">
        <v>4</v>
      </c>
      <c r="FN8" s="615">
        <v>4</v>
      </c>
      <c r="FO8" s="615">
        <v>4</v>
      </c>
      <c r="FP8" s="615">
        <v>3</v>
      </c>
      <c r="FQ8" s="615">
        <v>3</v>
      </c>
      <c r="FR8" s="615">
        <v>3</v>
      </c>
      <c r="FS8" s="615">
        <v>3</v>
      </c>
      <c r="FT8" s="615">
        <v>3</v>
      </c>
      <c r="FU8" s="615">
        <v>3</v>
      </c>
      <c r="FV8" s="615">
        <v>12</v>
      </c>
      <c r="FW8" s="615">
        <v>11</v>
      </c>
      <c r="FX8" s="615">
        <v>11</v>
      </c>
      <c r="FY8" s="615">
        <v>11</v>
      </c>
      <c r="FZ8" s="615">
        <v>12</v>
      </c>
      <c r="GA8" s="615">
        <v>12</v>
      </c>
      <c r="GB8" s="615">
        <v>11</v>
      </c>
      <c r="GC8" s="615">
        <v>11</v>
      </c>
      <c r="GD8" s="615">
        <v>11</v>
      </c>
      <c r="GE8" s="615">
        <v>11</v>
      </c>
      <c r="GF8" s="615">
        <v>18350</v>
      </c>
      <c r="GG8" s="615" t="s">
        <v>1206</v>
      </c>
      <c r="GH8" s="615" t="s">
        <v>1206</v>
      </c>
      <c r="GI8" s="615" t="s">
        <v>1206</v>
      </c>
      <c r="GJ8" s="615" t="s">
        <v>1206</v>
      </c>
      <c r="GK8" s="615" t="s">
        <v>1206</v>
      </c>
      <c r="GL8" s="615" t="s">
        <v>1206</v>
      </c>
      <c r="GM8" s="615" t="s">
        <v>1206</v>
      </c>
      <c r="GN8" s="615" t="s">
        <v>1206</v>
      </c>
      <c r="GO8" s="615" t="s">
        <v>1206</v>
      </c>
      <c r="GP8" s="615" t="s">
        <v>1206</v>
      </c>
      <c r="GQ8" s="615" t="s">
        <v>1206</v>
      </c>
      <c r="GR8" s="615" t="s">
        <v>1206</v>
      </c>
      <c r="GS8" s="615">
        <v>9</v>
      </c>
      <c r="GT8" s="615">
        <v>9</v>
      </c>
      <c r="GU8" s="615">
        <v>9</v>
      </c>
      <c r="GV8" s="615">
        <v>9</v>
      </c>
      <c r="GW8" s="615">
        <v>9</v>
      </c>
      <c r="GX8" s="615">
        <v>9</v>
      </c>
      <c r="GY8" s="615">
        <v>9</v>
      </c>
      <c r="GZ8" s="615">
        <v>9</v>
      </c>
      <c r="HA8" s="615">
        <v>9</v>
      </c>
      <c r="HB8" s="615">
        <v>9</v>
      </c>
      <c r="HC8" s="615" t="s">
        <v>1208</v>
      </c>
      <c r="HD8" s="615" t="s">
        <v>1208</v>
      </c>
      <c r="HE8" s="615" t="s">
        <v>1208</v>
      </c>
      <c r="HF8" s="615" t="s">
        <v>1208</v>
      </c>
      <c r="HG8" s="615" t="s">
        <v>1208</v>
      </c>
      <c r="HH8" s="615" t="s">
        <v>1208</v>
      </c>
      <c r="HI8" s="615" t="s">
        <v>1208</v>
      </c>
      <c r="HJ8" s="615" t="s">
        <v>1208</v>
      </c>
      <c r="HK8" s="615" t="s">
        <v>1208</v>
      </c>
      <c r="HL8" s="615" t="s">
        <v>1208</v>
      </c>
      <c r="HM8" s="615" t="s">
        <v>1208</v>
      </c>
      <c r="HN8" s="615" t="s">
        <v>1208</v>
      </c>
      <c r="HO8" s="611" t="str">
        <f t="shared" si="1"/>
        <v/>
      </c>
      <c r="HP8" s="611" t="str">
        <f t="shared" si="2"/>
        <v/>
      </c>
      <c r="HQ8" s="611" t="str">
        <f t="shared" si="3"/>
        <v/>
      </c>
      <c r="HR8" s="611" t="str">
        <f t="shared" si="4"/>
        <v/>
      </c>
      <c r="HS8" s="611" t="str">
        <f t="shared" si="5"/>
        <v/>
      </c>
      <c r="HT8" s="611" t="str">
        <f t="shared" si="6"/>
        <v/>
      </c>
      <c r="HU8" s="611" t="str">
        <f t="shared" si="7"/>
        <v/>
      </c>
      <c r="HV8" s="611" t="str">
        <f t="shared" si="8"/>
        <v/>
      </c>
      <c r="HW8" s="611" t="str">
        <f t="shared" si="9"/>
        <v/>
      </c>
      <c r="HX8" s="611" t="str">
        <f t="shared" si="10"/>
        <v/>
      </c>
      <c r="HY8" s="611" t="str">
        <f t="shared" si="11"/>
        <v/>
      </c>
      <c r="HZ8" s="611" t="str">
        <f t="shared" si="12"/>
        <v/>
      </c>
      <c r="IA8" s="619" t="s">
        <v>1297</v>
      </c>
    </row>
    <row r="9" spans="1:235">
      <c r="B9" s="594">
        <v>5</v>
      </c>
      <c r="C9" s="594">
        <v>205</v>
      </c>
      <c r="D9" s="611" t="s">
        <v>1619</v>
      </c>
      <c r="E9" s="612" t="s">
        <v>13</v>
      </c>
      <c r="F9" s="612">
        <v>36</v>
      </c>
      <c r="G9" s="612">
        <v>6</v>
      </c>
      <c r="H9" s="612">
        <v>30</v>
      </c>
      <c r="I9" s="612">
        <v>0</v>
      </c>
      <c r="J9" s="612"/>
      <c r="K9" s="612"/>
      <c r="L9" s="612"/>
      <c r="M9" s="612"/>
      <c r="N9" s="612"/>
      <c r="O9" s="612"/>
      <c r="P9" s="612"/>
      <c r="Q9" s="612"/>
      <c r="R9" s="612"/>
      <c r="S9" s="612"/>
      <c r="T9" s="612"/>
      <c r="U9" s="612"/>
      <c r="V9" s="612"/>
      <c r="W9" s="612"/>
      <c r="X9" s="612"/>
      <c r="Y9" s="612"/>
      <c r="Z9" s="612"/>
      <c r="AA9" s="612"/>
      <c r="AB9" s="612"/>
      <c r="AC9" s="612"/>
      <c r="AD9" s="612"/>
      <c r="AE9" s="612"/>
      <c r="AF9" s="612"/>
      <c r="AG9" s="612"/>
      <c r="AH9" s="612"/>
      <c r="AI9" s="612"/>
      <c r="AJ9" s="612"/>
      <c r="AK9" s="612"/>
      <c r="AL9" s="612"/>
      <c r="AM9" s="613"/>
      <c r="AN9" s="613"/>
      <c r="AO9" s="613"/>
      <c r="AP9" s="614"/>
      <c r="AQ9" s="612" t="s">
        <v>11</v>
      </c>
      <c r="AR9" s="615" t="s">
        <v>629</v>
      </c>
      <c r="AS9" s="615" t="s">
        <v>629</v>
      </c>
      <c r="AT9" s="615" t="s">
        <v>629</v>
      </c>
      <c r="AU9" s="615" t="s">
        <v>629</v>
      </c>
      <c r="AV9" s="615" t="s">
        <v>629</v>
      </c>
      <c r="AW9" s="615" t="s">
        <v>629</v>
      </c>
      <c r="AX9" s="615" t="s">
        <v>629</v>
      </c>
      <c r="AY9" s="615" t="s">
        <v>629</v>
      </c>
      <c r="AZ9" s="615" t="s">
        <v>629</v>
      </c>
      <c r="BA9" s="615" t="s">
        <v>629</v>
      </c>
      <c r="BB9" s="615" t="s">
        <v>629</v>
      </c>
      <c r="BC9" s="615" t="s">
        <v>629</v>
      </c>
      <c r="BD9" s="615" t="s">
        <v>629</v>
      </c>
      <c r="BE9" s="615" t="s">
        <v>629</v>
      </c>
      <c r="BF9" s="615" t="s">
        <v>629</v>
      </c>
      <c r="BG9" s="615" t="s">
        <v>629</v>
      </c>
      <c r="BH9" s="615" t="s">
        <v>629</v>
      </c>
      <c r="BI9" s="615" t="s">
        <v>629</v>
      </c>
      <c r="BJ9" s="615" t="s">
        <v>629</v>
      </c>
      <c r="BK9" s="615" t="s">
        <v>629</v>
      </c>
      <c r="BL9" s="615" t="s">
        <v>629</v>
      </c>
      <c r="BM9" s="615" t="s">
        <v>629</v>
      </c>
      <c r="BN9" s="615" t="s">
        <v>629</v>
      </c>
      <c r="BO9" s="615" t="s">
        <v>629</v>
      </c>
      <c r="BP9" s="615">
        <v>0</v>
      </c>
      <c r="BQ9" s="615">
        <v>0</v>
      </c>
      <c r="BR9" s="615">
        <v>0</v>
      </c>
      <c r="BS9" s="615">
        <v>0</v>
      </c>
      <c r="BT9" s="615">
        <v>0</v>
      </c>
      <c r="BU9" s="615">
        <v>0</v>
      </c>
      <c r="BV9" s="615">
        <v>0</v>
      </c>
      <c r="BW9" s="615">
        <v>0</v>
      </c>
      <c r="BX9" s="615">
        <v>0</v>
      </c>
      <c r="BY9" s="615">
        <v>0</v>
      </c>
      <c r="BZ9" s="615">
        <v>0</v>
      </c>
      <c r="CA9" s="615">
        <v>0</v>
      </c>
      <c r="CB9" s="615">
        <v>0</v>
      </c>
      <c r="CC9" s="615">
        <v>0</v>
      </c>
      <c r="CD9" s="615">
        <v>0</v>
      </c>
      <c r="CE9" s="615">
        <v>0</v>
      </c>
      <c r="CF9" s="615">
        <v>0</v>
      </c>
      <c r="CG9" s="615">
        <v>0</v>
      </c>
      <c r="CH9" s="615">
        <v>0</v>
      </c>
      <c r="CI9" s="615">
        <v>0</v>
      </c>
      <c r="CJ9" s="615">
        <v>0</v>
      </c>
      <c r="CK9" s="615">
        <v>0</v>
      </c>
      <c r="CL9" s="615">
        <v>0</v>
      </c>
      <c r="CM9" s="615">
        <v>0</v>
      </c>
      <c r="CN9" s="615">
        <v>0</v>
      </c>
      <c r="CO9" s="615">
        <v>0</v>
      </c>
      <c r="CP9" s="615">
        <v>0</v>
      </c>
      <c r="CQ9" s="615">
        <v>0</v>
      </c>
      <c r="CR9" s="615">
        <v>0</v>
      </c>
      <c r="CS9" s="615">
        <v>0</v>
      </c>
      <c r="CT9" s="615">
        <v>0</v>
      </c>
      <c r="CU9" s="615">
        <v>0</v>
      </c>
      <c r="CV9" s="615">
        <v>0</v>
      </c>
      <c r="CW9" s="615">
        <v>0</v>
      </c>
      <c r="CX9" s="615">
        <v>0</v>
      </c>
      <c r="CY9" s="615">
        <v>0</v>
      </c>
      <c r="CZ9" s="615" t="s">
        <v>1049</v>
      </c>
      <c r="DA9" s="615">
        <v>0</v>
      </c>
      <c r="DB9" s="617"/>
      <c r="DC9" s="617"/>
      <c r="DD9" s="617"/>
      <c r="DE9" s="617"/>
      <c r="DF9" s="617"/>
      <c r="DG9" s="617"/>
      <c r="DH9" s="617"/>
      <c r="DI9" s="617"/>
      <c r="DJ9" s="617"/>
      <c r="DK9" s="617"/>
      <c r="DL9" s="617"/>
      <c r="DM9" s="617"/>
      <c r="DN9" s="617"/>
      <c r="DO9" s="617"/>
      <c r="DP9" s="617"/>
      <c r="DQ9" s="617"/>
      <c r="DR9" s="617"/>
      <c r="DS9" s="617"/>
      <c r="DT9" s="617"/>
      <c r="DU9" s="617"/>
      <c r="DV9" s="617"/>
      <c r="DW9" s="617"/>
      <c r="DX9" s="617"/>
      <c r="DY9" s="617"/>
      <c r="DZ9" s="617"/>
      <c r="EA9" s="617"/>
      <c r="EB9" s="617"/>
      <c r="EC9" s="617"/>
      <c r="ED9" s="617"/>
      <c r="EE9" s="617"/>
      <c r="EF9" s="617"/>
      <c r="EG9" s="617"/>
      <c r="EH9" s="617"/>
      <c r="EI9" s="617"/>
      <c r="EJ9" s="617"/>
      <c r="EK9" s="617"/>
      <c r="EL9" s="615" t="s">
        <v>833</v>
      </c>
      <c r="EM9" s="615" t="s">
        <v>833</v>
      </c>
      <c r="EN9" s="615" t="s">
        <v>833</v>
      </c>
      <c r="EO9" s="615" t="s">
        <v>833</v>
      </c>
      <c r="EP9" s="615" t="s">
        <v>833</v>
      </c>
      <c r="EQ9" s="615" t="s">
        <v>833</v>
      </c>
      <c r="ER9" s="615" t="s">
        <v>833</v>
      </c>
      <c r="ES9" s="615" t="s">
        <v>833</v>
      </c>
      <c r="ET9" s="615" t="s">
        <v>833</v>
      </c>
      <c r="EU9" s="615" t="s">
        <v>833</v>
      </c>
      <c r="EV9" s="615" t="s">
        <v>833</v>
      </c>
      <c r="EW9" s="615" t="s">
        <v>833</v>
      </c>
      <c r="EX9" s="615">
        <v>3670</v>
      </c>
      <c r="EY9" s="615">
        <v>3820</v>
      </c>
      <c r="EZ9" s="615" t="s">
        <v>1206</v>
      </c>
      <c r="FA9" s="615" t="s">
        <v>1206</v>
      </c>
      <c r="FB9" s="615" t="s">
        <v>1206</v>
      </c>
      <c r="FC9" s="615" t="s">
        <v>1206</v>
      </c>
      <c r="FD9" s="615" t="s">
        <v>1206</v>
      </c>
      <c r="FE9" s="615" t="s">
        <v>1206</v>
      </c>
      <c r="FF9" s="615" t="s">
        <v>1206</v>
      </c>
      <c r="FG9" s="615" t="s">
        <v>1206</v>
      </c>
      <c r="FH9" s="615" t="s">
        <v>1206</v>
      </c>
      <c r="FI9" s="615" t="s">
        <v>1206</v>
      </c>
      <c r="FJ9" s="615" t="s">
        <v>1206</v>
      </c>
      <c r="FK9" s="615" t="s">
        <v>1206</v>
      </c>
      <c r="FL9" s="615">
        <v>1</v>
      </c>
      <c r="FM9" s="615">
        <v>1</v>
      </c>
      <c r="FN9" s="615">
        <v>1</v>
      </c>
      <c r="FO9" s="615">
        <v>1</v>
      </c>
      <c r="FP9" s="615">
        <v>1</v>
      </c>
      <c r="FQ9" s="615">
        <v>1</v>
      </c>
      <c r="FR9" s="615">
        <v>1</v>
      </c>
      <c r="FS9" s="615">
        <v>1</v>
      </c>
      <c r="FT9" s="615">
        <v>0</v>
      </c>
      <c r="FU9" s="615">
        <v>0</v>
      </c>
      <c r="FV9" s="615">
        <v>11</v>
      </c>
      <c r="FW9" s="615">
        <v>11</v>
      </c>
      <c r="FX9" s="615">
        <v>11</v>
      </c>
      <c r="FY9" s="615">
        <v>11</v>
      </c>
      <c r="FZ9" s="615">
        <v>10</v>
      </c>
      <c r="GA9" s="615">
        <v>10</v>
      </c>
      <c r="GB9" s="615">
        <v>10</v>
      </c>
      <c r="GC9" s="615">
        <v>10</v>
      </c>
      <c r="GD9" s="615">
        <v>10</v>
      </c>
      <c r="GE9" s="615">
        <v>10</v>
      </c>
      <c r="GF9" s="615">
        <v>18350</v>
      </c>
      <c r="GG9" s="615" t="s">
        <v>1206</v>
      </c>
      <c r="GH9" s="615" t="s">
        <v>1206</v>
      </c>
      <c r="GI9" s="615" t="s">
        <v>1206</v>
      </c>
      <c r="GJ9" s="615" t="s">
        <v>1206</v>
      </c>
      <c r="GK9" s="615" t="s">
        <v>1206</v>
      </c>
      <c r="GL9" s="615" t="s">
        <v>1206</v>
      </c>
      <c r="GM9" s="615" t="s">
        <v>1206</v>
      </c>
      <c r="GN9" s="615" t="s">
        <v>1206</v>
      </c>
      <c r="GO9" s="615" t="s">
        <v>1206</v>
      </c>
      <c r="GP9" s="615" t="s">
        <v>1206</v>
      </c>
      <c r="GQ9" s="615" t="s">
        <v>1206</v>
      </c>
      <c r="GR9" s="615" t="s">
        <v>1206</v>
      </c>
      <c r="GS9" s="615">
        <v>0</v>
      </c>
      <c r="GT9" s="615">
        <v>0</v>
      </c>
      <c r="GU9" s="615">
        <v>0</v>
      </c>
      <c r="GV9" s="615">
        <v>0</v>
      </c>
      <c r="GW9" s="615">
        <v>0</v>
      </c>
      <c r="GX9" s="615">
        <v>0</v>
      </c>
      <c r="GY9" s="615">
        <v>0</v>
      </c>
      <c r="GZ9" s="615">
        <v>0</v>
      </c>
      <c r="HA9" s="615">
        <v>0</v>
      </c>
      <c r="HB9" s="615">
        <v>0</v>
      </c>
      <c r="HC9" s="615" t="s">
        <v>629</v>
      </c>
      <c r="HD9" s="615" t="s">
        <v>629</v>
      </c>
      <c r="HE9" s="615" t="s">
        <v>629</v>
      </c>
      <c r="HF9" s="615" t="s">
        <v>629</v>
      </c>
      <c r="HG9" s="615" t="s">
        <v>629</v>
      </c>
      <c r="HH9" s="615" t="s">
        <v>629</v>
      </c>
      <c r="HI9" s="615" t="s">
        <v>629</v>
      </c>
      <c r="HJ9" s="615" t="s">
        <v>629</v>
      </c>
      <c r="HK9" s="615" t="s">
        <v>629</v>
      </c>
      <c r="HL9" s="615" t="s">
        <v>629</v>
      </c>
      <c r="HM9" s="615" t="s">
        <v>629</v>
      </c>
      <c r="HN9" s="615" t="s">
        <v>629</v>
      </c>
      <c r="HO9" s="611" t="str">
        <f t="shared" si="1"/>
        <v/>
      </c>
      <c r="HP9" s="611" t="str">
        <f t="shared" si="2"/>
        <v/>
      </c>
      <c r="HQ9" s="611" t="str">
        <f t="shared" si="3"/>
        <v/>
      </c>
      <c r="HR9" s="611" t="str">
        <f t="shared" si="4"/>
        <v/>
      </c>
      <c r="HS9" s="611" t="str">
        <f t="shared" si="5"/>
        <v/>
      </c>
      <c r="HT9" s="611" t="str">
        <f t="shared" si="6"/>
        <v/>
      </c>
      <c r="HU9" s="611" t="str">
        <f t="shared" si="7"/>
        <v/>
      </c>
      <c r="HV9" s="611" t="str">
        <f t="shared" si="8"/>
        <v/>
      </c>
      <c r="HW9" s="611" t="str">
        <f t="shared" si="9"/>
        <v/>
      </c>
      <c r="HX9" s="611" t="str">
        <f t="shared" si="10"/>
        <v/>
      </c>
      <c r="HY9" s="611" t="str">
        <f t="shared" si="11"/>
        <v/>
      </c>
      <c r="HZ9" s="611" t="str">
        <f t="shared" si="12"/>
        <v/>
      </c>
      <c r="IA9" s="619" t="s">
        <v>1660</v>
      </c>
    </row>
    <row r="10" spans="1:235">
      <c r="B10" s="594">
        <v>6</v>
      </c>
      <c r="C10" s="594">
        <v>206</v>
      </c>
      <c r="D10" s="611" t="s">
        <v>1699</v>
      </c>
      <c r="E10" s="612" t="s">
        <v>13</v>
      </c>
      <c r="F10" s="612">
        <v>155</v>
      </c>
      <c r="G10" s="612">
        <v>105</v>
      </c>
      <c r="H10" s="612">
        <v>50</v>
      </c>
      <c r="I10" s="612">
        <v>0</v>
      </c>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3"/>
      <c r="AN10" s="613"/>
      <c r="AO10" s="613"/>
      <c r="AP10" s="614"/>
      <c r="AQ10" s="612" t="s">
        <v>11</v>
      </c>
      <c r="AR10" s="615" t="s">
        <v>629</v>
      </c>
      <c r="AS10" s="615" t="s">
        <v>629</v>
      </c>
      <c r="AT10" s="615" t="s">
        <v>629</v>
      </c>
      <c r="AU10" s="615" t="s">
        <v>629</v>
      </c>
      <c r="AV10" s="615" t="s">
        <v>629</v>
      </c>
      <c r="AW10" s="615" t="s">
        <v>629</v>
      </c>
      <c r="AX10" s="615" t="s">
        <v>629</v>
      </c>
      <c r="AY10" s="615" t="s">
        <v>629</v>
      </c>
      <c r="AZ10" s="615" t="s">
        <v>629</v>
      </c>
      <c r="BA10" s="615" t="s">
        <v>629</v>
      </c>
      <c r="BB10" s="615" t="s">
        <v>629</v>
      </c>
      <c r="BC10" s="615" t="s">
        <v>629</v>
      </c>
      <c r="BD10" s="615" t="s">
        <v>629</v>
      </c>
      <c r="BE10" s="615" t="s">
        <v>629</v>
      </c>
      <c r="BF10" s="615" t="s">
        <v>629</v>
      </c>
      <c r="BG10" s="615" t="s">
        <v>629</v>
      </c>
      <c r="BH10" s="615" t="s">
        <v>629</v>
      </c>
      <c r="BI10" s="615" t="s">
        <v>629</v>
      </c>
      <c r="BJ10" s="615" t="s">
        <v>629</v>
      </c>
      <c r="BK10" s="615" t="s">
        <v>629</v>
      </c>
      <c r="BL10" s="615" t="s">
        <v>629</v>
      </c>
      <c r="BM10" s="615" t="s">
        <v>629</v>
      </c>
      <c r="BN10" s="615" t="s">
        <v>629</v>
      </c>
      <c r="BO10" s="615" t="s">
        <v>629</v>
      </c>
      <c r="BP10" s="615">
        <v>0</v>
      </c>
      <c r="BQ10" s="615">
        <v>0</v>
      </c>
      <c r="BR10" s="615">
        <v>0</v>
      </c>
      <c r="BS10" s="615">
        <v>0</v>
      </c>
      <c r="BT10" s="615">
        <v>0</v>
      </c>
      <c r="BU10" s="615">
        <v>0</v>
      </c>
      <c r="BV10" s="615">
        <v>0</v>
      </c>
      <c r="BW10" s="615">
        <v>0</v>
      </c>
      <c r="BX10" s="615">
        <v>0</v>
      </c>
      <c r="BY10" s="615">
        <v>0</v>
      </c>
      <c r="BZ10" s="615">
        <v>0</v>
      </c>
      <c r="CA10" s="615">
        <v>0</v>
      </c>
      <c r="CB10" s="615">
        <v>0</v>
      </c>
      <c r="CC10" s="615">
        <v>0</v>
      </c>
      <c r="CD10" s="615">
        <v>0</v>
      </c>
      <c r="CE10" s="615">
        <v>0</v>
      </c>
      <c r="CF10" s="615">
        <v>0</v>
      </c>
      <c r="CG10" s="615">
        <v>0</v>
      </c>
      <c r="CH10" s="615">
        <v>0</v>
      </c>
      <c r="CI10" s="615">
        <v>0</v>
      </c>
      <c r="CJ10" s="615">
        <v>0</v>
      </c>
      <c r="CK10" s="615">
        <v>0</v>
      </c>
      <c r="CL10" s="615">
        <v>0</v>
      </c>
      <c r="CM10" s="615">
        <v>0</v>
      </c>
      <c r="CN10" s="615">
        <v>0</v>
      </c>
      <c r="CO10" s="615">
        <v>0</v>
      </c>
      <c r="CP10" s="615">
        <v>0</v>
      </c>
      <c r="CQ10" s="615">
        <v>0</v>
      </c>
      <c r="CR10" s="615">
        <v>0</v>
      </c>
      <c r="CS10" s="615">
        <v>0</v>
      </c>
      <c r="CT10" s="615">
        <v>0</v>
      </c>
      <c r="CU10" s="615">
        <v>0</v>
      </c>
      <c r="CV10" s="615">
        <v>0</v>
      </c>
      <c r="CW10" s="615">
        <v>0</v>
      </c>
      <c r="CX10" s="615">
        <v>0</v>
      </c>
      <c r="CY10" s="615">
        <v>0</v>
      </c>
      <c r="CZ10" s="615" t="s">
        <v>1049</v>
      </c>
      <c r="DA10" s="615">
        <v>2</v>
      </c>
      <c r="DB10" s="617"/>
      <c r="DC10" s="617"/>
      <c r="DD10" s="617"/>
      <c r="DE10" s="617"/>
      <c r="DF10" s="617"/>
      <c r="DG10" s="617"/>
      <c r="DH10" s="617"/>
      <c r="DI10" s="617"/>
      <c r="DJ10" s="617"/>
      <c r="DK10" s="617"/>
      <c r="DL10" s="617"/>
      <c r="DM10" s="617"/>
      <c r="DN10" s="617"/>
      <c r="DO10" s="617"/>
      <c r="DP10" s="617"/>
      <c r="DQ10" s="617"/>
      <c r="DR10" s="617"/>
      <c r="DS10" s="617"/>
      <c r="DT10" s="617"/>
      <c r="DU10" s="617"/>
      <c r="DV10" s="617"/>
      <c r="DW10" s="617"/>
      <c r="DX10" s="617"/>
      <c r="DY10" s="617"/>
      <c r="DZ10" s="617"/>
      <c r="EA10" s="617"/>
      <c r="EB10" s="617"/>
      <c r="EC10" s="617"/>
      <c r="ED10" s="617"/>
      <c r="EE10" s="617"/>
      <c r="EF10" s="617"/>
      <c r="EG10" s="617"/>
      <c r="EH10" s="617"/>
      <c r="EI10" s="617"/>
      <c r="EJ10" s="617"/>
      <c r="EK10" s="617"/>
      <c r="EL10" s="615" t="s">
        <v>833</v>
      </c>
      <c r="EM10" s="615" t="s">
        <v>833</v>
      </c>
      <c r="EN10" s="615" t="s">
        <v>833</v>
      </c>
      <c r="EO10" s="615" t="s">
        <v>833</v>
      </c>
      <c r="EP10" s="615" t="s">
        <v>833</v>
      </c>
      <c r="EQ10" s="615" t="s">
        <v>833</v>
      </c>
      <c r="ER10" s="615" t="s">
        <v>833</v>
      </c>
      <c r="ES10" s="615" t="s">
        <v>833</v>
      </c>
      <c r="ET10" s="615" t="s">
        <v>833</v>
      </c>
      <c r="EU10" s="615" t="s">
        <v>833</v>
      </c>
      <c r="EV10" s="615" t="s">
        <v>833</v>
      </c>
      <c r="EW10" s="615" t="s">
        <v>833</v>
      </c>
      <c r="EX10" s="615">
        <v>3670</v>
      </c>
      <c r="EY10" s="615">
        <v>3820</v>
      </c>
      <c r="EZ10" s="615" t="s">
        <v>1206</v>
      </c>
      <c r="FA10" s="615" t="s">
        <v>1206</v>
      </c>
      <c r="FB10" s="615" t="s">
        <v>1206</v>
      </c>
      <c r="FC10" s="615" t="s">
        <v>1206</v>
      </c>
      <c r="FD10" s="615" t="s">
        <v>1206</v>
      </c>
      <c r="FE10" s="615" t="s">
        <v>1206</v>
      </c>
      <c r="FF10" s="615" t="s">
        <v>1206</v>
      </c>
      <c r="FG10" s="615" t="s">
        <v>1206</v>
      </c>
      <c r="FH10" s="615" t="s">
        <v>1206</v>
      </c>
      <c r="FI10" s="615" t="s">
        <v>1206</v>
      </c>
      <c r="FJ10" s="615" t="s">
        <v>1206</v>
      </c>
      <c r="FK10" s="615" t="s">
        <v>1206</v>
      </c>
      <c r="FL10" s="615">
        <v>35</v>
      </c>
      <c r="FM10" s="615">
        <v>33</v>
      </c>
      <c r="FN10" s="615">
        <v>34</v>
      </c>
      <c r="FO10" s="615">
        <v>33</v>
      </c>
      <c r="FP10" s="615">
        <v>33</v>
      </c>
      <c r="FQ10" s="615">
        <v>34</v>
      </c>
      <c r="FR10" s="615">
        <v>35</v>
      </c>
      <c r="FS10" s="615">
        <v>36</v>
      </c>
      <c r="FT10" s="615">
        <v>36</v>
      </c>
      <c r="FU10" s="615">
        <v>37</v>
      </c>
      <c r="FV10" s="615">
        <v>44</v>
      </c>
      <c r="FW10" s="615">
        <v>46</v>
      </c>
      <c r="FX10" s="615">
        <v>46</v>
      </c>
      <c r="FY10" s="615">
        <v>46</v>
      </c>
      <c r="FZ10" s="615">
        <v>46</v>
      </c>
      <c r="GA10" s="615">
        <v>45</v>
      </c>
      <c r="GB10" s="615">
        <v>44</v>
      </c>
      <c r="GC10" s="615">
        <v>43</v>
      </c>
      <c r="GD10" s="615">
        <v>43</v>
      </c>
      <c r="GE10" s="615">
        <v>42</v>
      </c>
      <c r="GF10" s="615">
        <v>18350</v>
      </c>
      <c r="GG10" s="615" t="s">
        <v>1206</v>
      </c>
      <c r="GH10" s="615" t="s">
        <v>1206</v>
      </c>
      <c r="GI10" s="615" t="s">
        <v>1206</v>
      </c>
      <c r="GJ10" s="615" t="s">
        <v>1206</v>
      </c>
      <c r="GK10" s="615" t="s">
        <v>1206</v>
      </c>
      <c r="GL10" s="615" t="s">
        <v>1206</v>
      </c>
      <c r="GM10" s="615" t="s">
        <v>1206</v>
      </c>
      <c r="GN10" s="615" t="s">
        <v>1206</v>
      </c>
      <c r="GO10" s="615" t="s">
        <v>1206</v>
      </c>
      <c r="GP10" s="615" t="s">
        <v>1206</v>
      </c>
      <c r="GQ10" s="615" t="s">
        <v>1206</v>
      </c>
      <c r="GR10" s="615" t="s">
        <v>1206</v>
      </c>
      <c r="GS10" s="615">
        <v>0</v>
      </c>
      <c r="GT10" s="615">
        <v>0</v>
      </c>
      <c r="GU10" s="615">
        <v>0</v>
      </c>
      <c r="GV10" s="615">
        <v>0</v>
      </c>
      <c r="GW10" s="615">
        <v>0</v>
      </c>
      <c r="GX10" s="615">
        <v>0</v>
      </c>
      <c r="GY10" s="615">
        <v>0</v>
      </c>
      <c r="GZ10" s="615">
        <v>0</v>
      </c>
      <c r="HA10" s="615">
        <v>0</v>
      </c>
      <c r="HB10" s="615">
        <v>0</v>
      </c>
      <c r="HC10" s="615" t="s">
        <v>629</v>
      </c>
      <c r="HD10" s="615" t="s">
        <v>629</v>
      </c>
      <c r="HE10" s="615" t="s">
        <v>629</v>
      </c>
      <c r="HF10" s="615" t="s">
        <v>629</v>
      </c>
      <c r="HG10" s="615" t="s">
        <v>629</v>
      </c>
      <c r="HH10" s="615" t="s">
        <v>629</v>
      </c>
      <c r="HI10" s="615" t="s">
        <v>629</v>
      </c>
      <c r="HJ10" s="615" t="s">
        <v>629</v>
      </c>
      <c r="HK10" s="615" t="s">
        <v>629</v>
      </c>
      <c r="HL10" s="615" t="s">
        <v>629</v>
      </c>
      <c r="HM10" s="615" t="s">
        <v>629</v>
      </c>
      <c r="HN10" s="615" t="s">
        <v>629</v>
      </c>
      <c r="HO10" s="611" t="str">
        <f t="shared" si="1"/>
        <v/>
      </c>
      <c r="HP10" s="611" t="str">
        <f t="shared" si="2"/>
        <v/>
      </c>
      <c r="HQ10" s="611" t="str">
        <f t="shared" si="3"/>
        <v/>
      </c>
      <c r="HR10" s="611" t="str">
        <f t="shared" si="4"/>
        <v/>
      </c>
      <c r="HS10" s="611" t="str">
        <f t="shared" si="5"/>
        <v/>
      </c>
      <c r="HT10" s="611" t="str">
        <f t="shared" si="6"/>
        <v/>
      </c>
      <c r="HU10" s="611" t="str">
        <f t="shared" si="7"/>
        <v/>
      </c>
      <c r="HV10" s="611" t="str">
        <f t="shared" si="8"/>
        <v/>
      </c>
      <c r="HW10" s="611" t="str">
        <f t="shared" si="9"/>
        <v/>
      </c>
      <c r="HX10" s="611" t="str">
        <f t="shared" si="10"/>
        <v/>
      </c>
      <c r="HY10" s="611" t="str">
        <f t="shared" si="11"/>
        <v/>
      </c>
      <c r="HZ10" s="611" t="str">
        <f t="shared" si="12"/>
        <v/>
      </c>
      <c r="IA10" s="619" t="s">
        <v>1298</v>
      </c>
    </row>
    <row r="11" spans="1:235">
      <c r="B11" s="594">
        <v>7</v>
      </c>
      <c r="C11" s="594">
        <v>207</v>
      </c>
      <c r="D11" s="611" t="s">
        <v>1701</v>
      </c>
      <c r="E11" s="612" t="s">
        <v>13</v>
      </c>
      <c r="F11" s="612">
        <v>175</v>
      </c>
      <c r="G11" s="612">
        <v>105</v>
      </c>
      <c r="H11" s="612">
        <v>41</v>
      </c>
      <c r="I11" s="612">
        <v>29</v>
      </c>
      <c r="J11" s="612"/>
      <c r="K11" s="612"/>
      <c r="L11" s="612"/>
      <c r="M11" s="612"/>
      <c r="N11" s="612"/>
      <c r="O11" s="612"/>
      <c r="P11" s="612"/>
      <c r="Q11" s="612"/>
      <c r="R11" s="612"/>
      <c r="S11" s="612"/>
      <c r="T11" s="612"/>
      <c r="U11" s="612"/>
      <c r="V11" s="612"/>
      <c r="W11" s="612"/>
      <c r="X11" s="612"/>
      <c r="Y11" s="612"/>
      <c r="Z11" s="612"/>
      <c r="AA11" s="612"/>
      <c r="AB11" s="612"/>
      <c r="AC11" s="612"/>
      <c r="AD11" s="612"/>
      <c r="AE11" s="612"/>
      <c r="AF11" s="612"/>
      <c r="AG11" s="612"/>
      <c r="AH11" s="612"/>
      <c r="AI11" s="612"/>
      <c r="AJ11" s="612"/>
      <c r="AK11" s="612"/>
      <c r="AL11" s="612"/>
      <c r="AM11" s="613"/>
      <c r="AN11" s="613"/>
      <c r="AO11" s="613"/>
      <c r="AP11" s="614"/>
      <c r="AQ11" s="612" t="s">
        <v>11</v>
      </c>
      <c r="AR11" s="615" t="s">
        <v>629</v>
      </c>
      <c r="AS11" s="615" t="s">
        <v>629</v>
      </c>
      <c r="AT11" s="615" t="s">
        <v>629</v>
      </c>
      <c r="AU11" s="615" t="s">
        <v>629</v>
      </c>
      <c r="AV11" s="615" t="s">
        <v>629</v>
      </c>
      <c r="AW11" s="615" t="s">
        <v>629</v>
      </c>
      <c r="AX11" s="615" t="s">
        <v>629</v>
      </c>
      <c r="AY11" s="615" t="s">
        <v>629</v>
      </c>
      <c r="AZ11" s="615" t="s">
        <v>629</v>
      </c>
      <c r="BA11" s="615" t="s">
        <v>629</v>
      </c>
      <c r="BB11" s="615" t="s">
        <v>629</v>
      </c>
      <c r="BC11" s="615" t="s">
        <v>629</v>
      </c>
      <c r="BD11" s="615" t="s">
        <v>629</v>
      </c>
      <c r="BE11" s="615" t="s">
        <v>629</v>
      </c>
      <c r="BF11" s="615" t="s">
        <v>629</v>
      </c>
      <c r="BG11" s="615" t="s">
        <v>629</v>
      </c>
      <c r="BH11" s="615" t="s">
        <v>629</v>
      </c>
      <c r="BI11" s="615" t="s">
        <v>629</v>
      </c>
      <c r="BJ11" s="615" t="s">
        <v>629</v>
      </c>
      <c r="BK11" s="615" t="s">
        <v>629</v>
      </c>
      <c r="BL11" s="615" t="s">
        <v>629</v>
      </c>
      <c r="BM11" s="615" t="s">
        <v>629</v>
      </c>
      <c r="BN11" s="615" t="s">
        <v>629</v>
      </c>
      <c r="BO11" s="615" t="s">
        <v>629</v>
      </c>
      <c r="BP11" s="615">
        <v>0</v>
      </c>
      <c r="BQ11" s="615">
        <v>0</v>
      </c>
      <c r="BR11" s="615">
        <v>0</v>
      </c>
      <c r="BS11" s="615">
        <v>0</v>
      </c>
      <c r="BT11" s="615">
        <v>0</v>
      </c>
      <c r="BU11" s="615">
        <v>0</v>
      </c>
      <c r="BV11" s="615">
        <v>0</v>
      </c>
      <c r="BW11" s="615">
        <v>0</v>
      </c>
      <c r="BX11" s="615">
        <v>0</v>
      </c>
      <c r="BY11" s="615">
        <v>0</v>
      </c>
      <c r="BZ11" s="615">
        <v>0</v>
      </c>
      <c r="CA11" s="615">
        <v>0</v>
      </c>
      <c r="CB11" s="615">
        <v>0</v>
      </c>
      <c r="CC11" s="615">
        <v>0</v>
      </c>
      <c r="CD11" s="615">
        <v>0</v>
      </c>
      <c r="CE11" s="615">
        <v>0</v>
      </c>
      <c r="CF11" s="615">
        <v>0</v>
      </c>
      <c r="CG11" s="615">
        <v>0</v>
      </c>
      <c r="CH11" s="615">
        <v>0</v>
      </c>
      <c r="CI11" s="615">
        <v>0</v>
      </c>
      <c r="CJ11" s="615">
        <v>0</v>
      </c>
      <c r="CK11" s="615">
        <v>0</v>
      </c>
      <c r="CL11" s="615">
        <v>0</v>
      </c>
      <c r="CM11" s="615">
        <v>0</v>
      </c>
      <c r="CN11" s="615">
        <v>0</v>
      </c>
      <c r="CO11" s="615">
        <v>0</v>
      </c>
      <c r="CP11" s="615">
        <v>0</v>
      </c>
      <c r="CQ11" s="615">
        <v>0</v>
      </c>
      <c r="CR11" s="615">
        <v>0</v>
      </c>
      <c r="CS11" s="615">
        <v>0</v>
      </c>
      <c r="CT11" s="615">
        <v>0</v>
      </c>
      <c r="CU11" s="615">
        <v>0</v>
      </c>
      <c r="CV11" s="615">
        <v>0</v>
      </c>
      <c r="CW11" s="615">
        <v>0</v>
      </c>
      <c r="CX11" s="615">
        <v>0</v>
      </c>
      <c r="CY11" s="615">
        <v>0</v>
      </c>
      <c r="CZ11" s="615" t="s">
        <v>1049</v>
      </c>
      <c r="DA11" s="615">
        <v>3</v>
      </c>
      <c r="DB11" s="617"/>
      <c r="DC11" s="617"/>
      <c r="DD11" s="617"/>
      <c r="DE11" s="617"/>
      <c r="DF11" s="617"/>
      <c r="DG11" s="617"/>
      <c r="DH11" s="617"/>
      <c r="DI11" s="617"/>
      <c r="DJ11" s="617"/>
      <c r="DK11" s="617"/>
      <c r="DL11" s="617"/>
      <c r="DM11" s="617"/>
      <c r="DN11" s="617"/>
      <c r="DO11" s="617"/>
      <c r="DP11" s="617"/>
      <c r="DQ11" s="617"/>
      <c r="DR11" s="617"/>
      <c r="DS11" s="617"/>
      <c r="DT11" s="617"/>
      <c r="DU11" s="617"/>
      <c r="DV11" s="617"/>
      <c r="DW11" s="617"/>
      <c r="DX11" s="617"/>
      <c r="DY11" s="617"/>
      <c r="DZ11" s="617"/>
      <c r="EA11" s="617"/>
      <c r="EB11" s="617"/>
      <c r="EC11" s="617"/>
      <c r="ED11" s="617"/>
      <c r="EE11" s="617"/>
      <c r="EF11" s="617"/>
      <c r="EG11" s="617"/>
      <c r="EH11" s="617"/>
      <c r="EI11" s="617"/>
      <c r="EJ11" s="617"/>
      <c r="EK11" s="617"/>
      <c r="EL11" s="615" t="s">
        <v>833</v>
      </c>
      <c r="EM11" s="615" t="s">
        <v>833</v>
      </c>
      <c r="EN11" s="615" t="s">
        <v>833</v>
      </c>
      <c r="EO11" s="615" t="s">
        <v>833</v>
      </c>
      <c r="EP11" s="615" t="s">
        <v>833</v>
      </c>
      <c r="EQ11" s="615" t="s">
        <v>833</v>
      </c>
      <c r="ER11" s="615" t="s">
        <v>833</v>
      </c>
      <c r="ES11" s="615" t="s">
        <v>833</v>
      </c>
      <c r="ET11" s="615" t="s">
        <v>833</v>
      </c>
      <c r="EU11" s="615" t="s">
        <v>833</v>
      </c>
      <c r="EV11" s="615" t="s">
        <v>833</v>
      </c>
      <c r="EW11" s="615" t="s">
        <v>833</v>
      </c>
      <c r="EX11" s="615">
        <v>3670</v>
      </c>
      <c r="EY11" s="615">
        <v>3820</v>
      </c>
      <c r="EZ11" s="615" t="s">
        <v>1206</v>
      </c>
      <c r="FA11" s="615" t="s">
        <v>1206</v>
      </c>
      <c r="FB11" s="615" t="s">
        <v>1206</v>
      </c>
      <c r="FC11" s="615" t="s">
        <v>1206</v>
      </c>
      <c r="FD11" s="615" t="s">
        <v>1206</v>
      </c>
      <c r="FE11" s="615" t="s">
        <v>1206</v>
      </c>
      <c r="FF11" s="615" t="s">
        <v>1206</v>
      </c>
      <c r="FG11" s="615" t="s">
        <v>1206</v>
      </c>
      <c r="FH11" s="615" t="s">
        <v>1206</v>
      </c>
      <c r="FI11" s="615" t="s">
        <v>1206</v>
      </c>
      <c r="FJ11" s="615" t="s">
        <v>1206</v>
      </c>
      <c r="FK11" s="615" t="s">
        <v>1206</v>
      </c>
      <c r="FL11" s="615">
        <v>68</v>
      </c>
      <c r="FM11" s="615">
        <v>67</v>
      </c>
      <c r="FN11" s="615">
        <v>67</v>
      </c>
      <c r="FO11" s="615">
        <v>67</v>
      </c>
      <c r="FP11" s="615">
        <v>67</v>
      </c>
      <c r="FQ11" s="615">
        <v>66</v>
      </c>
      <c r="FR11" s="615">
        <v>66</v>
      </c>
      <c r="FS11" s="615">
        <v>66</v>
      </c>
      <c r="FT11" s="615">
        <v>66</v>
      </c>
      <c r="FU11" s="615">
        <v>66</v>
      </c>
      <c r="FV11" s="615">
        <v>28</v>
      </c>
      <c r="FW11" s="615">
        <v>28</v>
      </c>
      <c r="FX11" s="615">
        <v>28</v>
      </c>
      <c r="FY11" s="615">
        <v>28</v>
      </c>
      <c r="FZ11" s="615">
        <v>28</v>
      </c>
      <c r="GA11" s="615">
        <v>28</v>
      </c>
      <c r="GB11" s="615">
        <v>28</v>
      </c>
      <c r="GC11" s="615">
        <v>28</v>
      </c>
      <c r="GD11" s="615">
        <v>28</v>
      </c>
      <c r="GE11" s="615">
        <v>28</v>
      </c>
      <c r="GF11" s="615">
        <v>18350</v>
      </c>
      <c r="GG11" s="615" t="s">
        <v>1206</v>
      </c>
      <c r="GH11" s="615" t="s">
        <v>1206</v>
      </c>
      <c r="GI11" s="615" t="s">
        <v>1206</v>
      </c>
      <c r="GJ11" s="615" t="s">
        <v>1206</v>
      </c>
      <c r="GK11" s="615" t="s">
        <v>1206</v>
      </c>
      <c r="GL11" s="615" t="s">
        <v>1206</v>
      </c>
      <c r="GM11" s="615" t="s">
        <v>1206</v>
      </c>
      <c r="GN11" s="615" t="s">
        <v>1206</v>
      </c>
      <c r="GO11" s="615" t="s">
        <v>1206</v>
      </c>
      <c r="GP11" s="615" t="s">
        <v>1206</v>
      </c>
      <c r="GQ11" s="615" t="s">
        <v>1206</v>
      </c>
      <c r="GR11" s="615" t="s">
        <v>1206</v>
      </c>
      <c r="GS11" s="615">
        <v>10</v>
      </c>
      <c r="GT11" s="615">
        <v>10</v>
      </c>
      <c r="GU11" s="615">
        <v>10</v>
      </c>
      <c r="GV11" s="615">
        <v>10</v>
      </c>
      <c r="GW11" s="615">
        <v>10</v>
      </c>
      <c r="GX11" s="615">
        <v>10</v>
      </c>
      <c r="GY11" s="615">
        <v>10</v>
      </c>
      <c r="GZ11" s="615">
        <v>10</v>
      </c>
      <c r="HA11" s="615">
        <v>10</v>
      </c>
      <c r="HB11" s="615">
        <v>10</v>
      </c>
      <c r="HC11" s="615" t="s">
        <v>1207</v>
      </c>
      <c r="HD11" s="615" t="s">
        <v>1207</v>
      </c>
      <c r="HE11" s="615" t="s">
        <v>1207</v>
      </c>
      <c r="HF11" s="615" t="s">
        <v>1207</v>
      </c>
      <c r="HG11" s="615" t="s">
        <v>1207</v>
      </c>
      <c r="HH11" s="615" t="s">
        <v>1207</v>
      </c>
      <c r="HI11" s="615" t="s">
        <v>1207</v>
      </c>
      <c r="HJ11" s="615" t="s">
        <v>1207</v>
      </c>
      <c r="HK11" s="615" t="s">
        <v>1207</v>
      </c>
      <c r="HL11" s="615" t="s">
        <v>1207</v>
      </c>
      <c r="HM11" s="615" t="s">
        <v>1207</v>
      </c>
      <c r="HN11" s="615" t="s">
        <v>1207</v>
      </c>
      <c r="HO11" s="611">
        <f t="shared" si="1"/>
        <v>79950</v>
      </c>
      <c r="HP11" s="611">
        <f t="shared" si="2"/>
        <v>79950</v>
      </c>
      <c r="HQ11" s="611">
        <f t="shared" si="3"/>
        <v>79950</v>
      </c>
      <c r="HR11" s="611">
        <f t="shared" si="4"/>
        <v>79950</v>
      </c>
      <c r="HS11" s="611">
        <f t="shared" si="5"/>
        <v>79950</v>
      </c>
      <c r="HT11" s="611">
        <f t="shared" si="6"/>
        <v>79950</v>
      </c>
      <c r="HU11" s="611">
        <f t="shared" si="7"/>
        <v>79950</v>
      </c>
      <c r="HV11" s="611">
        <f t="shared" si="8"/>
        <v>79950</v>
      </c>
      <c r="HW11" s="611">
        <f t="shared" si="9"/>
        <v>79950</v>
      </c>
      <c r="HX11" s="611">
        <f t="shared" si="10"/>
        <v>79950</v>
      </c>
      <c r="HY11" s="611">
        <f t="shared" si="11"/>
        <v>79950</v>
      </c>
      <c r="HZ11" s="611">
        <f t="shared" si="12"/>
        <v>79950</v>
      </c>
      <c r="IA11" s="619" t="s">
        <v>1661</v>
      </c>
    </row>
    <row r="12" spans="1:235">
      <c r="B12" s="594">
        <v>8</v>
      </c>
      <c r="C12" s="594">
        <v>208</v>
      </c>
      <c r="D12" s="611" t="s">
        <v>1703</v>
      </c>
      <c r="E12" s="612" t="s">
        <v>13</v>
      </c>
      <c r="F12" s="612">
        <v>148</v>
      </c>
      <c r="G12" s="612">
        <v>33</v>
      </c>
      <c r="H12" s="612">
        <v>70</v>
      </c>
      <c r="I12" s="612">
        <v>45</v>
      </c>
      <c r="J12" s="612"/>
      <c r="K12" s="612"/>
      <c r="L12" s="612"/>
      <c r="M12" s="612"/>
      <c r="N12" s="612"/>
      <c r="O12" s="612"/>
      <c r="P12" s="612"/>
      <c r="Q12" s="612"/>
      <c r="R12" s="612"/>
      <c r="S12" s="612"/>
      <c r="T12" s="612"/>
      <c r="U12" s="612"/>
      <c r="V12" s="612"/>
      <c r="W12" s="612"/>
      <c r="X12" s="612"/>
      <c r="Y12" s="612"/>
      <c r="Z12" s="612"/>
      <c r="AA12" s="612"/>
      <c r="AB12" s="612"/>
      <c r="AC12" s="612"/>
      <c r="AD12" s="612"/>
      <c r="AE12" s="612"/>
      <c r="AF12" s="612"/>
      <c r="AG12" s="612"/>
      <c r="AH12" s="612"/>
      <c r="AI12" s="612"/>
      <c r="AJ12" s="612"/>
      <c r="AK12" s="612"/>
      <c r="AL12" s="612"/>
      <c r="AM12" s="613"/>
      <c r="AN12" s="613"/>
      <c r="AO12" s="613"/>
      <c r="AP12" s="614"/>
      <c r="AQ12" s="612" t="s">
        <v>11</v>
      </c>
      <c r="AR12" s="615" t="s">
        <v>629</v>
      </c>
      <c r="AS12" s="615" t="s">
        <v>629</v>
      </c>
      <c r="AT12" s="615" t="s">
        <v>629</v>
      </c>
      <c r="AU12" s="615" t="s">
        <v>629</v>
      </c>
      <c r="AV12" s="615" t="s">
        <v>629</v>
      </c>
      <c r="AW12" s="615" t="s">
        <v>629</v>
      </c>
      <c r="AX12" s="615" t="s">
        <v>629</v>
      </c>
      <c r="AY12" s="615" t="s">
        <v>629</v>
      </c>
      <c r="AZ12" s="615" t="s">
        <v>629</v>
      </c>
      <c r="BA12" s="615" t="s">
        <v>629</v>
      </c>
      <c r="BB12" s="615" t="s">
        <v>629</v>
      </c>
      <c r="BC12" s="615" t="s">
        <v>629</v>
      </c>
      <c r="BD12" s="615" t="s">
        <v>629</v>
      </c>
      <c r="BE12" s="615" t="s">
        <v>629</v>
      </c>
      <c r="BF12" s="615" t="s">
        <v>629</v>
      </c>
      <c r="BG12" s="615" t="s">
        <v>629</v>
      </c>
      <c r="BH12" s="615" t="s">
        <v>629</v>
      </c>
      <c r="BI12" s="615" t="s">
        <v>629</v>
      </c>
      <c r="BJ12" s="615" t="s">
        <v>629</v>
      </c>
      <c r="BK12" s="615" t="s">
        <v>629</v>
      </c>
      <c r="BL12" s="615" t="s">
        <v>629</v>
      </c>
      <c r="BM12" s="615" t="s">
        <v>629</v>
      </c>
      <c r="BN12" s="615" t="s">
        <v>629</v>
      </c>
      <c r="BO12" s="615" t="s">
        <v>629</v>
      </c>
      <c r="BP12" s="615">
        <v>1</v>
      </c>
      <c r="BQ12" s="615">
        <v>1</v>
      </c>
      <c r="BR12" s="615">
        <v>1</v>
      </c>
      <c r="BS12" s="615">
        <v>1</v>
      </c>
      <c r="BT12" s="615">
        <v>1</v>
      </c>
      <c r="BU12" s="615">
        <v>1</v>
      </c>
      <c r="BV12" s="615">
        <v>1</v>
      </c>
      <c r="BW12" s="615">
        <v>1</v>
      </c>
      <c r="BX12" s="615">
        <v>1</v>
      </c>
      <c r="BY12" s="615">
        <v>1</v>
      </c>
      <c r="BZ12" s="615">
        <v>1</v>
      </c>
      <c r="CA12" s="615">
        <v>1</v>
      </c>
      <c r="CB12" s="615">
        <v>0</v>
      </c>
      <c r="CC12" s="615">
        <v>0</v>
      </c>
      <c r="CD12" s="615">
        <v>0</v>
      </c>
      <c r="CE12" s="615">
        <v>0</v>
      </c>
      <c r="CF12" s="615">
        <v>0</v>
      </c>
      <c r="CG12" s="615">
        <v>0</v>
      </c>
      <c r="CH12" s="615">
        <v>0</v>
      </c>
      <c r="CI12" s="615">
        <v>0</v>
      </c>
      <c r="CJ12" s="615">
        <v>0</v>
      </c>
      <c r="CK12" s="615">
        <v>0</v>
      </c>
      <c r="CL12" s="615">
        <v>0</v>
      </c>
      <c r="CM12" s="615">
        <v>0</v>
      </c>
      <c r="CN12" s="615">
        <v>0</v>
      </c>
      <c r="CO12" s="615">
        <v>0</v>
      </c>
      <c r="CP12" s="615">
        <v>0</v>
      </c>
      <c r="CQ12" s="615">
        <v>0</v>
      </c>
      <c r="CR12" s="615">
        <v>0</v>
      </c>
      <c r="CS12" s="615">
        <v>0</v>
      </c>
      <c r="CT12" s="615">
        <v>0</v>
      </c>
      <c r="CU12" s="615">
        <v>0</v>
      </c>
      <c r="CV12" s="615">
        <v>0</v>
      </c>
      <c r="CW12" s="615">
        <v>0</v>
      </c>
      <c r="CX12" s="615">
        <v>0</v>
      </c>
      <c r="CY12" s="615">
        <v>0</v>
      </c>
      <c r="CZ12" s="615" t="s">
        <v>1049</v>
      </c>
      <c r="DA12" s="615">
        <v>0</v>
      </c>
      <c r="DB12" s="617"/>
      <c r="DC12" s="617"/>
      <c r="DD12" s="617"/>
      <c r="DE12" s="617"/>
      <c r="DF12" s="617"/>
      <c r="DG12" s="617"/>
      <c r="DH12" s="617"/>
      <c r="DI12" s="617"/>
      <c r="DJ12" s="617"/>
      <c r="DK12" s="617"/>
      <c r="DL12" s="617"/>
      <c r="DM12" s="617"/>
      <c r="DN12" s="617"/>
      <c r="DO12" s="617"/>
      <c r="DP12" s="617"/>
      <c r="DQ12" s="617"/>
      <c r="DR12" s="617"/>
      <c r="DS12" s="617"/>
      <c r="DT12" s="617"/>
      <c r="DU12" s="617"/>
      <c r="DV12" s="617"/>
      <c r="DW12" s="617"/>
      <c r="DX12" s="617"/>
      <c r="DY12" s="617"/>
      <c r="DZ12" s="617"/>
      <c r="EA12" s="617"/>
      <c r="EB12" s="617"/>
      <c r="EC12" s="617"/>
      <c r="ED12" s="617"/>
      <c r="EE12" s="617"/>
      <c r="EF12" s="617"/>
      <c r="EG12" s="617"/>
      <c r="EH12" s="617"/>
      <c r="EI12" s="617"/>
      <c r="EJ12" s="617"/>
      <c r="EK12" s="617"/>
      <c r="EL12" s="615" t="s">
        <v>833</v>
      </c>
      <c r="EM12" s="615" t="s">
        <v>833</v>
      </c>
      <c r="EN12" s="615" t="s">
        <v>833</v>
      </c>
      <c r="EO12" s="615" t="s">
        <v>833</v>
      </c>
      <c r="EP12" s="615" t="s">
        <v>833</v>
      </c>
      <c r="EQ12" s="615" t="s">
        <v>833</v>
      </c>
      <c r="ER12" s="615" t="s">
        <v>833</v>
      </c>
      <c r="ES12" s="615" t="s">
        <v>833</v>
      </c>
      <c r="ET12" s="615" t="s">
        <v>833</v>
      </c>
      <c r="EU12" s="615" t="s">
        <v>833</v>
      </c>
      <c r="EV12" s="615" t="s">
        <v>833</v>
      </c>
      <c r="EW12" s="615" t="s">
        <v>833</v>
      </c>
      <c r="EX12" s="615">
        <v>3670</v>
      </c>
      <c r="EY12" s="615">
        <v>3820</v>
      </c>
      <c r="EZ12" s="615" t="s">
        <v>1206</v>
      </c>
      <c r="FA12" s="615" t="s">
        <v>1206</v>
      </c>
      <c r="FB12" s="615" t="s">
        <v>1206</v>
      </c>
      <c r="FC12" s="615" t="s">
        <v>1206</v>
      </c>
      <c r="FD12" s="615" t="s">
        <v>1206</v>
      </c>
      <c r="FE12" s="615" t="s">
        <v>1206</v>
      </c>
      <c r="FF12" s="615" t="s">
        <v>1206</v>
      </c>
      <c r="FG12" s="615" t="s">
        <v>1206</v>
      </c>
      <c r="FH12" s="615" t="s">
        <v>1206</v>
      </c>
      <c r="FI12" s="615" t="s">
        <v>1206</v>
      </c>
      <c r="FJ12" s="615" t="s">
        <v>1206</v>
      </c>
      <c r="FK12" s="615" t="s">
        <v>1206</v>
      </c>
      <c r="FL12" s="615">
        <v>8</v>
      </c>
      <c r="FM12" s="615">
        <v>8</v>
      </c>
      <c r="FN12" s="615">
        <v>8</v>
      </c>
      <c r="FO12" s="615">
        <v>8</v>
      </c>
      <c r="FP12" s="615">
        <v>8</v>
      </c>
      <c r="FQ12" s="615">
        <v>8</v>
      </c>
      <c r="FR12" s="615">
        <v>7</v>
      </c>
      <c r="FS12" s="615">
        <v>7</v>
      </c>
      <c r="FT12" s="615">
        <v>7</v>
      </c>
      <c r="FU12" s="615">
        <v>7</v>
      </c>
      <c r="FV12" s="615">
        <v>44</v>
      </c>
      <c r="FW12" s="615">
        <v>44</v>
      </c>
      <c r="FX12" s="615">
        <v>44</v>
      </c>
      <c r="FY12" s="615">
        <v>44</v>
      </c>
      <c r="FZ12" s="615">
        <v>44</v>
      </c>
      <c r="GA12" s="615">
        <v>44</v>
      </c>
      <c r="GB12" s="615">
        <v>44</v>
      </c>
      <c r="GC12" s="615">
        <v>43</v>
      </c>
      <c r="GD12" s="615">
        <v>43</v>
      </c>
      <c r="GE12" s="615">
        <v>43</v>
      </c>
      <c r="GF12" s="615">
        <v>18350</v>
      </c>
      <c r="GG12" s="615" t="s">
        <v>833</v>
      </c>
      <c r="GH12" s="615" t="s">
        <v>833</v>
      </c>
      <c r="GI12" s="615" t="s">
        <v>833</v>
      </c>
      <c r="GJ12" s="615" t="s">
        <v>833</v>
      </c>
      <c r="GK12" s="615" t="s">
        <v>833</v>
      </c>
      <c r="GL12" s="615" t="s">
        <v>833</v>
      </c>
      <c r="GM12" s="615" t="s">
        <v>833</v>
      </c>
      <c r="GN12" s="615" t="s">
        <v>833</v>
      </c>
      <c r="GO12" s="615" t="s">
        <v>833</v>
      </c>
      <c r="GP12" s="615" t="s">
        <v>833</v>
      </c>
      <c r="GQ12" s="615" t="s">
        <v>833</v>
      </c>
      <c r="GR12" s="615" t="s">
        <v>833</v>
      </c>
      <c r="GS12" s="615">
        <v>15</v>
      </c>
      <c r="GT12" s="615">
        <v>15</v>
      </c>
      <c r="GU12" s="615">
        <v>15</v>
      </c>
      <c r="GV12" s="615">
        <v>15</v>
      </c>
      <c r="GW12" s="615">
        <v>15</v>
      </c>
      <c r="GX12" s="615">
        <v>15</v>
      </c>
      <c r="GY12" s="615">
        <v>15</v>
      </c>
      <c r="GZ12" s="615">
        <v>15</v>
      </c>
      <c r="HA12" s="615">
        <v>15</v>
      </c>
      <c r="HB12" s="615">
        <v>15</v>
      </c>
      <c r="HC12" s="615" t="s">
        <v>1207</v>
      </c>
      <c r="HD12" s="615" t="s">
        <v>1207</v>
      </c>
      <c r="HE12" s="615" t="s">
        <v>1207</v>
      </c>
      <c r="HF12" s="615" t="s">
        <v>1207</v>
      </c>
      <c r="HG12" s="615" t="s">
        <v>1207</v>
      </c>
      <c r="HH12" s="615" t="s">
        <v>1207</v>
      </c>
      <c r="HI12" s="615" t="s">
        <v>1207</v>
      </c>
      <c r="HJ12" s="615" t="s">
        <v>1207</v>
      </c>
      <c r="HK12" s="615" t="s">
        <v>1207</v>
      </c>
      <c r="HL12" s="615" t="s">
        <v>1207</v>
      </c>
      <c r="HM12" s="615" t="s">
        <v>1207</v>
      </c>
      <c r="HN12" s="615" t="s">
        <v>1207</v>
      </c>
      <c r="HO12" s="611">
        <f t="shared" si="1"/>
        <v>79950</v>
      </c>
      <c r="HP12" s="611">
        <f t="shared" si="2"/>
        <v>79950</v>
      </c>
      <c r="HQ12" s="611">
        <f t="shared" si="3"/>
        <v>79950</v>
      </c>
      <c r="HR12" s="611">
        <f t="shared" si="4"/>
        <v>79950</v>
      </c>
      <c r="HS12" s="611">
        <f t="shared" si="5"/>
        <v>79950</v>
      </c>
      <c r="HT12" s="611">
        <f t="shared" si="6"/>
        <v>79950</v>
      </c>
      <c r="HU12" s="611">
        <f t="shared" si="7"/>
        <v>79950</v>
      </c>
      <c r="HV12" s="611">
        <f t="shared" si="8"/>
        <v>79950</v>
      </c>
      <c r="HW12" s="611">
        <f t="shared" si="9"/>
        <v>79950</v>
      </c>
      <c r="HX12" s="611">
        <f t="shared" si="10"/>
        <v>79950</v>
      </c>
      <c r="HY12" s="611">
        <f t="shared" si="11"/>
        <v>79950</v>
      </c>
      <c r="HZ12" s="611">
        <f t="shared" si="12"/>
        <v>79950</v>
      </c>
      <c r="IA12" s="619" t="s">
        <v>1661</v>
      </c>
    </row>
    <row r="13" spans="1:235">
      <c r="B13" s="594">
        <v>9</v>
      </c>
      <c r="C13" s="594">
        <v>209</v>
      </c>
      <c r="D13" s="611" t="s">
        <v>369</v>
      </c>
      <c r="E13" s="612" t="s">
        <v>13</v>
      </c>
      <c r="F13" s="612">
        <v>195</v>
      </c>
      <c r="G13" s="612">
        <v>165</v>
      </c>
      <c r="H13" s="612">
        <v>30</v>
      </c>
      <c r="I13" s="612">
        <v>0</v>
      </c>
      <c r="J13" s="612"/>
      <c r="K13" s="612"/>
      <c r="L13" s="612"/>
      <c r="M13" s="612"/>
      <c r="N13" s="612"/>
      <c r="O13" s="612"/>
      <c r="P13" s="612"/>
      <c r="Q13" s="612"/>
      <c r="R13" s="612"/>
      <c r="S13" s="612"/>
      <c r="T13" s="612"/>
      <c r="U13" s="612"/>
      <c r="V13" s="612"/>
      <c r="W13" s="612"/>
      <c r="X13" s="612"/>
      <c r="Y13" s="612"/>
      <c r="Z13" s="612"/>
      <c r="AA13" s="612"/>
      <c r="AB13" s="612"/>
      <c r="AC13" s="612"/>
      <c r="AD13" s="612"/>
      <c r="AE13" s="612"/>
      <c r="AF13" s="612"/>
      <c r="AG13" s="612"/>
      <c r="AH13" s="612"/>
      <c r="AI13" s="612"/>
      <c r="AJ13" s="612"/>
      <c r="AK13" s="612"/>
      <c r="AL13" s="612"/>
      <c r="AM13" s="613"/>
      <c r="AN13" s="613"/>
      <c r="AO13" s="613"/>
      <c r="AP13" s="614"/>
      <c r="AQ13" s="612" t="s">
        <v>11</v>
      </c>
      <c r="AR13" s="615" t="s">
        <v>629</v>
      </c>
      <c r="AS13" s="615" t="s">
        <v>629</v>
      </c>
      <c r="AT13" s="615" t="s">
        <v>629</v>
      </c>
      <c r="AU13" s="615" t="s">
        <v>629</v>
      </c>
      <c r="AV13" s="615" t="s">
        <v>629</v>
      </c>
      <c r="AW13" s="615" t="s">
        <v>629</v>
      </c>
      <c r="AX13" s="615" t="s">
        <v>629</v>
      </c>
      <c r="AY13" s="615" t="s">
        <v>629</v>
      </c>
      <c r="AZ13" s="615" t="s">
        <v>629</v>
      </c>
      <c r="BA13" s="615" t="s">
        <v>629</v>
      </c>
      <c r="BB13" s="615" t="s">
        <v>629</v>
      </c>
      <c r="BC13" s="615" t="s">
        <v>629</v>
      </c>
      <c r="BD13" s="615" t="s">
        <v>629</v>
      </c>
      <c r="BE13" s="615" t="s">
        <v>629</v>
      </c>
      <c r="BF13" s="615" t="s">
        <v>629</v>
      </c>
      <c r="BG13" s="615" t="s">
        <v>629</v>
      </c>
      <c r="BH13" s="615" t="s">
        <v>629</v>
      </c>
      <c r="BI13" s="615" t="s">
        <v>629</v>
      </c>
      <c r="BJ13" s="615" t="s">
        <v>629</v>
      </c>
      <c r="BK13" s="615" t="s">
        <v>629</v>
      </c>
      <c r="BL13" s="615" t="s">
        <v>629</v>
      </c>
      <c r="BM13" s="615" t="s">
        <v>629</v>
      </c>
      <c r="BN13" s="615" t="s">
        <v>629</v>
      </c>
      <c r="BO13" s="615" t="s">
        <v>629</v>
      </c>
      <c r="BP13" s="615">
        <v>0</v>
      </c>
      <c r="BQ13" s="615">
        <v>0</v>
      </c>
      <c r="BR13" s="615">
        <v>0</v>
      </c>
      <c r="BS13" s="615">
        <v>0</v>
      </c>
      <c r="BT13" s="615">
        <v>0</v>
      </c>
      <c r="BU13" s="615">
        <v>0</v>
      </c>
      <c r="BV13" s="615">
        <v>0</v>
      </c>
      <c r="BW13" s="616">
        <v>0</v>
      </c>
      <c r="BX13" s="615">
        <v>1</v>
      </c>
      <c r="BY13" s="615">
        <v>1</v>
      </c>
      <c r="BZ13" s="615">
        <v>1</v>
      </c>
      <c r="CA13" s="615">
        <v>1</v>
      </c>
      <c r="CB13" s="615">
        <v>0</v>
      </c>
      <c r="CC13" s="615">
        <v>0</v>
      </c>
      <c r="CD13" s="615">
        <v>0</v>
      </c>
      <c r="CE13" s="615">
        <v>0</v>
      </c>
      <c r="CF13" s="615">
        <v>0</v>
      </c>
      <c r="CG13" s="615">
        <v>0</v>
      </c>
      <c r="CH13" s="615">
        <v>0</v>
      </c>
      <c r="CI13" s="615">
        <v>0</v>
      </c>
      <c r="CJ13" s="615">
        <v>0</v>
      </c>
      <c r="CK13" s="615">
        <v>0</v>
      </c>
      <c r="CL13" s="615">
        <v>0</v>
      </c>
      <c r="CM13" s="615">
        <v>0</v>
      </c>
      <c r="CN13" s="615">
        <v>0</v>
      </c>
      <c r="CO13" s="615">
        <v>0</v>
      </c>
      <c r="CP13" s="615">
        <v>0</v>
      </c>
      <c r="CQ13" s="615">
        <v>0</v>
      </c>
      <c r="CR13" s="615">
        <v>0</v>
      </c>
      <c r="CS13" s="615">
        <v>0</v>
      </c>
      <c r="CT13" s="615">
        <v>0</v>
      </c>
      <c r="CU13" s="615">
        <v>0</v>
      </c>
      <c r="CV13" s="615">
        <v>0</v>
      </c>
      <c r="CW13" s="615">
        <v>0</v>
      </c>
      <c r="CX13" s="615">
        <v>0</v>
      </c>
      <c r="CY13" s="615">
        <v>0</v>
      </c>
      <c r="CZ13" s="615" t="s">
        <v>1049</v>
      </c>
      <c r="DA13" s="615">
        <v>1</v>
      </c>
      <c r="DB13" s="617"/>
      <c r="DC13" s="617"/>
      <c r="DD13" s="617"/>
      <c r="DE13" s="617"/>
      <c r="DF13" s="617"/>
      <c r="DG13" s="617"/>
      <c r="DH13" s="617"/>
      <c r="DI13" s="617"/>
      <c r="DJ13" s="617"/>
      <c r="DK13" s="617"/>
      <c r="DL13" s="617"/>
      <c r="DM13" s="617"/>
      <c r="DN13" s="617"/>
      <c r="DO13" s="617"/>
      <c r="DP13" s="617"/>
      <c r="DQ13" s="617"/>
      <c r="DR13" s="617"/>
      <c r="DS13" s="617"/>
      <c r="DT13" s="617"/>
      <c r="DU13" s="617"/>
      <c r="DV13" s="617"/>
      <c r="DW13" s="617"/>
      <c r="DX13" s="617"/>
      <c r="DY13" s="617"/>
      <c r="DZ13" s="617"/>
      <c r="EA13" s="617"/>
      <c r="EB13" s="617"/>
      <c r="EC13" s="617"/>
      <c r="ED13" s="617"/>
      <c r="EE13" s="617"/>
      <c r="EF13" s="617"/>
      <c r="EG13" s="617"/>
      <c r="EH13" s="617"/>
      <c r="EI13" s="617"/>
      <c r="EJ13" s="617"/>
      <c r="EK13" s="617"/>
      <c r="EL13" s="615" t="s">
        <v>833</v>
      </c>
      <c r="EM13" s="615" t="s">
        <v>833</v>
      </c>
      <c r="EN13" s="615" t="s">
        <v>833</v>
      </c>
      <c r="EO13" s="615" t="s">
        <v>833</v>
      </c>
      <c r="EP13" s="615" t="s">
        <v>833</v>
      </c>
      <c r="EQ13" s="615" t="s">
        <v>833</v>
      </c>
      <c r="ER13" s="615" t="s">
        <v>833</v>
      </c>
      <c r="ES13" s="615" t="s">
        <v>833</v>
      </c>
      <c r="ET13" s="615" t="s">
        <v>833</v>
      </c>
      <c r="EU13" s="615" t="s">
        <v>833</v>
      </c>
      <c r="EV13" s="615" t="s">
        <v>833</v>
      </c>
      <c r="EW13" s="615" t="s">
        <v>833</v>
      </c>
      <c r="EX13" s="615">
        <v>3670</v>
      </c>
      <c r="EY13" s="615">
        <v>3820</v>
      </c>
      <c r="EZ13" s="615" t="s">
        <v>1206</v>
      </c>
      <c r="FA13" s="615" t="s">
        <v>1206</v>
      </c>
      <c r="FB13" s="615" t="s">
        <v>1206</v>
      </c>
      <c r="FC13" s="615" t="s">
        <v>1206</v>
      </c>
      <c r="FD13" s="615" t="s">
        <v>1206</v>
      </c>
      <c r="FE13" s="615" t="s">
        <v>1206</v>
      </c>
      <c r="FF13" s="615" t="s">
        <v>1206</v>
      </c>
      <c r="FG13" s="615" t="s">
        <v>1206</v>
      </c>
      <c r="FH13" s="615" t="s">
        <v>1206</v>
      </c>
      <c r="FI13" s="615" t="s">
        <v>1206</v>
      </c>
      <c r="FJ13" s="615" t="s">
        <v>1206</v>
      </c>
      <c r="FK13" s="615" t="s">
        <v>1206</v>
      </c>
      <c r="FL13" s="615">
        <v>92</v>
      </c>
      <c r="FM13" s="615">
        <v>92</v>
      </c>
      <c r="FN13" s="615">
        <v>92</v>
      </c>
      <c r="FO13" s="615">
        <v>92</v>
      </c>
      <c r="FP13" s="615">
        <v>92</v>
      </c>
      <c r="FQ13" s="615">
        <v>92</v>
      </c>
      <c r="FR13" s="615">
        <v>92</v>
      </c>
      <c r="FS13" s="615">
        <v>92</v>
      </c>
      <c r="FT13" s="615">
        <v>92</v>
      </c>
      <c r="FU13" s="615">
        <v>91</v>
      </c>
      <c r="FV13" s="615">
        <v>25</v>
      </c>
      <c r="FW13" s="615">
        <v>25</v>
      </c>
      <c r="FX13" s="615">
        <v>25</v>
      </c>
      <c r="FY13" s="615">
        <v>25</v>
      </c>
      <c r="FZ13" s="615">
        <v>25</v>
      </c>
      <c r="GA13" s="615">
        <v>25</v>
      </c>
      <c r="GB13" s="615">
        <v>25</v>
      </c>
      <c r="GC13" s="615">
        <v>25</v>
      </c>
      <c r="GD13" s="615">
        <v>25</v>
      </c>
      <c r="GE13" s="615">
        <v>25</v>
      </c>
      <c r="GF13" s="615">
        <v>18350</v>
      </c>
      <c r="GG13" s="615" t="s">
        <v>1206</v>
      </c>
      <c r="GH13" s="615" t="s">
        <v>1206</v>
      </c>
      <c r="GI13" s="615" t="s">
        <v>1206</v>
      </c>
      <c r="GJ13" s="615" t="s">
        <v>1206</v>
      </c>
      <c r="GK13" s="615" t="s">
        <v>1206</v>
      </c>
      <c r="GL13" s="615" t="s">
        <v>1206</v>
      </c>
      <c r="GM13" s="615" t="s">
        <v>1206</v>
      </c>
      <c r="GN13" s="615" t="s">
        <v>1206</v>
      </c>
      <c r="GO13" s="615" t="s">
        <v>1206</v>
      </c>
      <c r="GP13" s="615" t="s">
        <v>1206</v>
      </c>
      <c r="GQ13" s="615" t="s">
        <v>1206</v>
      </c>
      <c r="GR13" s="615" t="s">
        <v>1206</v>
      </c>
      <c r="GS13" s="615">
        <v>0</v>
      </c>
      <c r="GT13" s="615">
        <v>0</v>
      </c>
      <c r="GU13" s="615">
        <v>0</v>
      </c>
      <c r="GV13" s="615">
        <v>0</v>
      </c>
      <c r="GW13" s="615">
        <v>0</v>
      </c>
      <c r="GX13" s="615">
        <v>0</v>
      </c>
      <c r="GY13" s="615">
        <v>0</v>
      </c>
      <c r="GZ13" s="615">
        <v>0</v>
      </c>
      <c r="HA13" s="615">
        <v>0</v>
      </c>
      <c r="HB13" s="615">
        <v>0</v>
      </c>
      <c r="HC13" s="615" t="s">
        <v>1208</v>
      </c>
      <c r="HD13" s="615" t="s">
        <v>1208</v>
      </c>
      <c r="HE13" s="615" t="s">
        <v>1208</v>
      </c>
      <c r="HF13" s="615" t="s">
        <v>1208</v>
      </c>
      <c r="HG13" s="615" t="s">
        <v>1208</v>
      </c>
      <c r="HH13" s="615" t="s">
        <v>1208</v>
      </c>
      <c r="HI13" s="615" t="s">
        <v>1208</v>
      </c>
      <c r="HJ13" s="615" t="s">
        <v>1208</v>
      </c>
      <c r="HK13" s="615" t="s">
        <v>1208</v>
      </c>
      <c r="HL13" s="615" t="s">
        <v>1208</v>
      </c>
      <c r="HM13" s="615" t="s">
        <v>1208</v>
      </c>
      <c r="HN13" s="615" t="s">
        <v>1208</v>
      </c>
      <c r="HO13" s="611" t="str">
        <f t="shared" si="1"/>
        <v/>
      </c>
      <c r="HP13" s="611" t="str">
        <f t="shared" si="2"/>
        <v/>
      </c>
      <c r="HQ13" s="611" t="str">
        <f t="shared" si="3"/>
        <v/>
      </c>
      <c r="HR13" s="611" t="str">
        <f t="shared" si="4"/>
        <v/>
      </c>
      <c r="HS13" s="611" t="str">
        <f t="shared" si="5"/>
        <v/>
      </c>
      <c r="HT13" s="611" t="str">
        <f t="shared" si="6"/>
        <v/>
      </c>
      <c r="HU13" s="611" t="str">
        <f t="shared" si="7"/>
        <v/>
      </c>
      <c r="HV13" s="611" t="str">
        <f t="shared" si="8"/>
        <v/>
      </c>
      <c r="HW13" s="611" t="str">
        <f t="shared" si="9"/>
        <v/>
      </c>
      <c r="HX13" s="611" t="str">
        <f t="shared" si="10"/>
        <v/>
      </c>
      <c r="HY13" s="611" t="str">
        <f t="shared" si="11"/>
        <v/>
      </c>
      <c r="HZ13" s="611" t="str">
        <f t="shared" si="12"/>
        <v/>
      </c>
      <c r="IA13" s="619" t="s">
        <v>1298</v>
      </c>
    </row>
    <row r="14" spans="1:235">
      <c r="B14" s="594">
        <v>10</v>
      </c>
      <c r="C14" s="594">
        <v>210</v>
      </c>
      <c r="D14" s="611" t="s">
        <v>380</v>
      </c>
      <c r="E14" s="612" t="s">
        <v>13</v>
      </c>
      <c r="F14" s="612">
        <v>230</v>
      </c>
      <c r="G14" s="612">
        <v>165</v>
      </c>
      <c r="H14" s="612">
        <v>45</v>
      </c>
      <c r="I14" s="612">
        <v>20</v>
      </c>
      <c r="J14" s="612"/>
      <c r="K14" s="612"/>
      <c r="L14" s="612"/>
      <c r="M14" s="612"/>
      <c r="N14" s="612"/>
      <c r="O14" s="612"/>
      <c r="P14" s="612"/>
      <c r="Q14" s="612"/>
      <c r="R14" s="612"/>
      <c r="S14" s="612"/>
      <c r="T14" s="612"/>
      <c r="U14" s="612"/>
      <c r="V14" s="612"/>
      <c r="W14" s="612"/>
      <c r="X14" s="612"/>
      <c r="Y14" s="612"/>
      <c r="Z14" s="612"/>
      <c r="AA14" s="612"/>
      <c r="AB14" s="612"/>
      <c r="AC14" s="612"/>
      <c r="AD14" s="612"/>
      <c r="AE14" s="612"/>
      <c r="AF14" s="612"/>
      <c r="AG14" s="612"/>
      <c r="AH14" s="612"/>
      <c r="AI14" s="612"/>
      <c r="AJ14" s="612"/>
      <c r="AK14" s="612"/>
      <c r="AL14" s="612"/>
      <c r="AM14" s="613"/>
      <c r="AN14" s="613"/>
      <c r="AO14" s="613"/>
      <c r="AP14" s="614"/>
      <c r="AQ14" s="612" t="s">
        <v>11</v>
      </c>
      <c r="AR14" s="615" t="s">
        <v>629</v>
      </c>
      <c r="AS14" s="615" t="s">
        <v>629</v>
      </c>
      <c r="AT14" s="615" t="s">
        <v>629</v>
      </c>
      <c r="AU14" s="615" t="s">
        <v>629</v>
      </c>
      <c r="AV14" s="615" t="s">
        <v>629</v>
      </c>
      <c r="AW14" s="615" t="s">
        <v>629</v>
      </c>
      <c r="AX14" s="615" t="s">
        <v>629</v>
      </c>
      <c r="AY14" s="615" t="s">
        <v>629</v>
      </c>
      <c r="AZ14" s="615" t="s">
        <v>629</v>
      </c>
      <c r="BA14" s="615" t="s">
        <v>629</v>
      </c>
      <c r="BB14" s="615" t="s">
        <v>629</v>
      </c>
      <c r="BC14" s="615" t="s">
        <v>629</v>
      </c>
      <c r="BD14" s="615" t="s">
        <v>629</v>
      </c>
      <c r="BE14" s="615" t="s">
        <v>629</v>
      </c>
      <c r="BF14" s="615" t="s">
        <v>629</v>
      </c>
      <c r="BG14" s="615" t="s">
        <v>629</v>
      </c>
      <c r="BH14" s="615" t="s">
        <v>629</v>
      </c>
      <c r="BI14" s="615" t="s">
        <v>629</v>
      </c>
      <c r="BJ14" s="615" t="s">
        <v>629</v>
      </c>
      <c r="BK14" s="615" t="s">
        <v>629</v>
      </c>
      <c r="BL14" s="615" t="s">
        <v>629</v>
      </c>
      <c r="BM14" s="615" t="s">
        <v>629</v>
      </c>
      <c r="BN14" s="615" t="s">
        <v>629</v>
      </c>
      <c r="BO14" s="615" t="s">
        <v>629</v>
      </c>
      <c r="BP14" s="615">
        <v>0</v>
      </c>
      <c r="BQ14" s="615">
        <v>0</v>
      </c>
      <c r="BR14" s="615">
        <v>0</v>
      </c>
      <c r="BS14" s="615">
        <v>0</v>
      </c>
      <c r="BT14" s="615">
        <v>0</v>
      </c>
      <c r="BU14" s="615">
        <v>0</v>
      </c>
      <c r="BV14" s="615">
        <v>0</v>
      </c>
      <c r="BW14" s="615">
        <v>0</v>
      </c>
      <c r="BX14" s="615">
        <v>0</v>
      </c>
      <c r="BY14" s="615">
        <v>0</v>
      </c>
      <c r="BZ14" s="615">
        <v>0</v>
      </c>
      <c r="CA14" s="615">
        <v>0</v>
      </c>
      <c r="CB14" s="615">
        <v>0</v>
      </c>
      <c r="CC14" s="615">
        <v>0</v>
      </c>
      <c r="CD14" s="615">
        <v>0</v>
      </c>
      <c r="CE14" s="615">
        <v>0</v>
      </c>
      <c r="CF14" s="615">
        <v>0</v>
      </c>
      <c r="CG14" s="615">
        <v>0</v>
      </c>
      <c r="CH14" s="615">
        <v>0</v>
      </c>
      <c r="CI14" s="615">
        <v>0</v>
      </c>
      <c r="CJ14" s="615">
        <v>0</v>
      </c>
      <c r="CK14" s="615">
        <v>0</v>
      </c>
      <c r="CL14" s="615">
        <v>0</v>
      </c>
      <c r="CM14" s="615">
        <v>0</v>
      </c>
      <c r="CN14" s="615">
        <v>0</v>
      </c>
      <c r="CO14" s="615">
        <v>0</v>
      </c>
      <c r="CP14" s="615">
        <v>0</v>
      </c>
      <c r="CQ14" s="615">
        <v>0</v>
      </c>
      <c r="CR14" s="615">
        <v>0</v>
      </c>
      <c r="CS14" s="615">
        <v>0</v>
      </c>
      <c r="CT14" s="615">
        <v>0</v>
      </c>
      <c r="CU14" s="615">
        <v>0</v>
      </c>
      <c r="CV14" s="615">
        <v>0</v>
      </c>
      <c r="CW14" s="615">
        <v>0</v>
      </c>
      <c r="CX14" s="615">
        <v>0</v>
      </c>
      <c r="CY14" s="615">
        <v>0</v>
      </c>
      <c r="CZ14" s="615" t="s">
        <v>1049</v>
      </c>
      <c r="DA14" s="615">
        <v>0</v>
      </c>
      <c r="DB14" s="617"/>
      <c r="DC14" s="617"/>
      <c r="DD14" s="617"/>
      <c r="DE14" s="617"/>
      <c r="DF14" s="617"/>
      <c r="DG14" s="617"/>
      <c r="DH14" s="617"/>
      <c r="DI14" s="617"/>
      <c r="DJ14" s="617"/>
      <c r="DK14" s="617"/>
      <c r="DL14" s="617"/>
      <c r="DM14" s="617"/>
      <c r="DN14" s="617"/>
      <c r="DO14" s="617"/>
      <c r="DP14" s="617"/>
      <c r="DQ14" s="617"/>
      <c r="DR14" s="617"/>
      <c r="DS14" s="617"/>
      <c r="DT14" s="617"/>
      <c r="DU14" s="617"/>
      <c r="DV14" s="617"/>
      <c r="DW14" s="617"/>
      <c r="DX14" s="617"/>
      <c r="DY14" s="617"/>
      <c r="DZ14" s="617"/>
      <c r="EA14" s="617"/>
      <c r="EB14" s="617"/>
      <c r="EC14" s="617"/>
      <c r="ED14" s="617"/>
      <c r="EE14" s="617"/>
      <c r="EF14" s="617"/>
      <c r="EG14" s="617"/>
      <c r="EH14" s="617"/>
      <c r="EI14" s="617"/>
      <c r="EJ14" s="617"/>
      <c r="EK14" s="617"/>
      <c r="EL14" s="615" t="s">
        <v>833</v>
      </c>
      <c r="EM14" s="615" t="s">
        <v>833</v>
      </c>
      <c r="EN14" s="615" t="s">
        <v>833</v>
      </c>
      <c r="EO14" s="615" t="s">
        <v>833</v>
      </c>
      <c r="EP14" s="615" t="s">
        <v>833</v>
      </c>
      <c r="EQ14" s="615" t="s">
        <v>833</v>
      </c>
      <c r="ER14" s="615" t="s">
        <v>833</v>
      </c>
      <c r="ES14" s="615" t="s">
        <v>833</v>
      </c>
      <c r="ET14" s="615" t="s">
        <v>833</v>
      </c>
      <c r="EU14" s="615" t="s">
        <v>833</v>
      </c>
      <c r="EV14" s="615" t="s">
        <v>833</v>
      </c>
      <c r="EW14" s="615" t="s">
        <v>833</v>
      </c>
      <c r="EX14" s="615">
        <v>3670</v>
      </c>
      <c r="EY14" s="615">
        <v>3820</v>
      </c>
      <c r="EZ14" s="615" t="s">
        <v>1206</v>
      </c>
      <c r="FA14" s="615" t="s">
        <v>1206</v>
      </c>
      <c r="FB14" s="615" t="s">
        <v>1206</v>
      </c>
      <c r="FC14" s="615" t="s">
        <v>1206</v>
      </c>
      <c r="FD14" s="615" t="s">
        <v>1206</v>
      </c>
      <c r="FE14" s="615" t="s">
        <v>1206</v>
      </c>
      <c r="FF14" s="615" t="s">
        <v>1206</v>
      </c>
      <c r="FG14" s="615" t="s">
        <v>1206</v>
      </c>
      <c r="FH14" s="615" t="s">
        <v>1206</v>
      </c>
      <c r="FI14" s="615" t="s">
        <v>1206</v>
      </c>
      <c r="FJ14" s="615" t="s">
        <v>1206</v>
      </c>
      <c r="FK14" s="615" t="s">
        <v>1206</v>
      </c>
      <c r="FL14" s="615">
        <v>63</v>
      </c>
      <c r="FM14" s="615">
        <v>62</v>
      </c>
      <c r="FN14" s="615">
        <v>60</v>
      </c>
      <c r="FO14" s="615">
        <v>59</v>
      </c>
      <c r="FP14" s="615">
        <v>58</v>
      </c>
      <c r="FQ14" s="615">
        <v>58</v>
      </c>
      <c r="FR14" s="615">
        <v>58</v>
      </c>
      <c r="FS14" s="615">
        <v>58</v>
      </c>
      <c r="FT14" s="615">
        <v>58</v>
      </c>
      <c r="FU14" s="615">
        <v>56</v>
      </c>
      <c r="FV14" s="615">
        <v>22</v>
      </c>
      <c r="FW14" s="615">
        <v>23</v>
      </c>
      <c r="FX14" s="615">
        <v>25</v>
      </c>
      <c r="FY14" s="615">
        <v>26</v>
      </c>
      <c r="FZ14" s="615">
        <v>27</v>
      </c>
      <c r="GA14" s="615">
        <v>27</v>
      </c>
      <c r="GB14" s="615">
        <v>27</v>
      </c>
      <c r="GC14" s="615">
        <v>27</v>
      </c>
      <c r="GD14" s="615">
        <v>27</v>
      </c>
      <c r="GE14" s="615">
        <v>28</v>
      </c>
      <c r="GF14" s="615">
        <v>18350</v>
      </c>
      <c r="GG14" s="615" t="s">
        <v>833</v>
      </c>
      <c r="GH14" s="615" t="s">
        <v>833</v>
      </c>
      <c r="GI14" s="615" t="s">
        <v>833</v>
      </c>
      <c r="GJ14" s="615" t="s">
        <v>833</v>
      </c>
      <c r="GK14" s="615" t="s">
        <v>833</v>
      </c>
      <c r="GL14" s="615" t="s">
        <v>833</v>
      </c>
      <c r="GM14" s="615" t="s">
        <v>833</v>
      </c>
      <c r="GN14" s="615" t="s">
        <v>833</v>
      </c>
      <c r="GO14" s="615" t="s">
        <v>833</v>
      </c>
      <c r="GP14" s="615" t="s">
        <v>833</v>
      </c>
      <c r="GQ14" s="615" t="s">
        <v>833</v>
      </c>
      <c r="GR14" s="615" t="s">
        <v>833</v>
      </c>
      <c r="GS14" s="615">
        <v>8</v>
      </c>
      <c r="GT14" s="615">
        <v>8</v>
      </c>
      <c r="GU14" s="615">
        <v>9</v>
      </c>
      <c r="GV14" s="615">
        <v>9</v>
      </c>
      <c r="GW14" s="615">
        <v>9</v>
      </c>
      <c r="GX14" s="615">
        <v>9</v>
      </c>
      <c r="GY14" s="615">
        <v>9</v>
      </c>
      <c r="GZ14" s="615">
        <v>9</v>
      </c>
      <c r="HA14" s="615">
        <v>9</v>
      </c>
      <c r="HB14" s="615">
        <v>9</v>
      </c>
      <c r="HC14" s="615" t="s">
        <v>1208</v>
      </c>
      <c r="HD14" s="615" t="s">
        <v>1208</v>
      </c>
      <c r="HE14" s="615" t="s">
        <v>1208</v>
      </c>
      <c r="HF14" s="615" t="s">
        <v>1208</v>
      </c>
      <c r="HG14" s="615" t="s">
        <v>1208</v>
      </c>
      <c r="HH14" s="615" t="s">
        <v>1208</v>
      </c>
      <c r="HI14" s="615" t="s">
        <v>1208</v>
      </c>
      <c r="HJ14" s="615" t="s">
        <v>1208</v>
      </c>
      <c r="HK14" s="615" t="s">
        <v>1208</v>
      </c>
      <c r="HL14" s="615" t="s">
        <v>1208</v>
      </c>
      <c r="HM14" s="615" t="s">
        <v>1208</v>
      </c>
      <c r="HN14" s="615" t="s">
        <v>1208</v>
      </c>
      <c r="HO14" s="611" t="str">
        <f t="shared" si="1"/>
        <v/>
      </c>
      <c r="HP14" s="611" t="str">
        <f t="shared" si="2"/>
        <v/>
      </c>
      <c r="HQ14" s="611" t="str">
        <f t="shared" si="3"/>
        <v/>
      </c>
      <c r="HR14" s="611" t="str">
        <f t="shared" si="4"/>
        <v/>
      </c>
      <c r="HS14" s="611" t="str">
        <f t="shared" si="5"/>
        <v/>
      </c>
      <c r="HT14" s="611" t="str">
        <f t="shared" si="6"/>
        <v/>
      </c>
      <c r="HU14" s="611" t="str">
        <f t="shared" si="7"/>
        <v/>
      </c>
      <c r="HV14" s="611" t="str">
        <f t="shared" si="8"/>
        <v/>
      </c>
      <c r="HW14" s="611" t="str">
        <f t="shared" si="9"/>
        <v/>
      </c>
      <c r="HX14" s="611" t="str">
        <f t="shared" si="10"/>
        <v/>
      </c>
      <c r="HY14" s="611" t="str">
        <f t="shared" si="11"/>
        <v/>
      </c>
      <c r="HZ14" s="611" t="str">
        <f t="shared" si="12"/>
        <v/>
      </c>
      <c r="IA14" s="619" t="s">
        <v>1298</v>
      </c>
    </row>
    <row r="15" spans="1:235">
      <c r="B15" s="594">
        <v>11</v>
      </c>
      <c r="C15" s="594">
        <v>211</v>
      </c>
      <c r="D15" s="611" t="s">
        <v>381</v>
      </c>
      <c r="E15" s="612" t="s">
        <v>13</v>
      </c>
      <c r="F15" s="612">
        <v>300</v>
      </c>
      <c r="G15" s="612">
        <v>180</v>
      </c>
      <c r="H15" s="612">
        <v>70</v>
      </c>
      <c r="I15" s="612">
        <v>50</v>
      </c>
      <c r="J15" s="612"/>
      <c r="K15" s="612"/>
      <c r="L15" s="612"/>
      <c r="M15" s="612"/>
      <c r="N15" s="612"/>
      <c r="O15" s="612"/>
      <c r="P15" s="612"/>
      <c r="Q15" s="612"/>
      <c r="R15" s="612"/>
      <c r="S15" s="612"/>
      <c r="T15" s="612"/>
      <c r="U15" s="612"/>
      <c r="V15" s="612"/>
      <c r="W15" s="612"/>
      <c r="X15" s="612"/>
      <c r="Y15" s="612"/>
      <c r="Z15" s="612"/>
      <c r="AA15" s="612"/>
      <c r="AB15" s="612"/>
      <c r="AC15" s="612"/>
      <c r="AD15" s="612"/>
      <c r="AE15" s="612"/>
      <c r="AF15" s="612"/>
      <c r="AG15" s="612"/>
      <c r="AH15" s="612"/>
      <c r="AI15" s="612"/>
      <c r="AJ15" s="612"/>
      <c r="AK15" s="612"/>
      <c r="AL15" s="612"/>
      <c r="AM15" s="613"/>
      <c r="AN15" s="613"/>
      <c r="AO15" s="613"/>
      <c r="AP15" s="614"/>
      <c r="AQ15" s="612" t="s">
        <v>11</v>
      </c>
      <c r="AR15" s="615" t="s">
        <v>629</v>
      </c>
      <c r="AS15" s="615" t="s">
        <v>629</v>
      </c>
      <c r="AT15" s="615" t="s">
        <v>629</v>
      </c>
      <c r="AU15" s="615" t="s">
        <v>629</v>
      </c>
      <c r="AV15" s="615" t="s">
        <v>629</v>
      </c>
      <c r="AW15" s="615" t="s">
        <v>629</v>
      </c>
      <c r="AX15" s="615" t="s">
        <v>629</v>
      </c>
      <c r="AY15" s="615" t="s">
        <v>629</v>
      </c>
      <c r="AZ15" s="615" t="s">
        <v>629</v>
      </c>
      <c r="BA15" s="615" t="s">
        <v>629</v>
      </c>
      <c r="BB15" s="615" t="s">
        <v>629</v>
      </c>
      <c r="BC15" s="615" t="s">
        <v>629</v>
      </c>
      <c r="BD15" s="615" t="s">
        <v>629</v>
      </c>
      <c r="BE15" s="615" t="s">
        <v>629</v>
      </c>
      <c r="BF15" s="615" t="s">
        <v>629</v>
      </c>
      <c r="BG15" s="615" t="s">
        <v>629</v>
      </c>
      <c r="BH15" s="615" t="s">
        <v>629</v>
      </c>
      <c r="BI15" s="615" t="s">
        <v>629</v>
      </c>
      <c r="BJ15" s="615" t="s">
        <v>629</v>
      </c>
      <c r="BK15" s="615" t="s">
        <v>629</v>
      </c>
      <c r="BL15" s="615" t="s">
        <v>629</v>
      </c>
      <c r="BM15" s="615" t="s">
        <v>629</v>
      </c>
      <c r="BN15" s="615" t="s">
        <v>629</v>
      </c>
      <c r="BO15" s="615" t="s">
        <v>629</v>
      </c>
      <c r="BP15" s="615">
        <v>0</v>
      </c>
      <c r="BQ15" s="615">
        <v>0</v>
      </c>
      <c r="BR15" s="615">
        <v>0</v>
      </c>
      <c r="BS15" s="615">
        <v>0</v>
      </c>
      <c r="BT15" s="615">
        <v>0</v>
      </c>
      <c r="BU15" s="615">
        <v>0</v>
      </c>
      <c r="BV15" s="615">
        <v>0</v>
      </c>
      <c r="BW15" s="615">
        <v>0</v>
      </c>
      <c r="BX15" s="615">
        <v>0</v>
      </c>
      <c r="BY15" s="615">
        <v>0</v>
      </c>
      <c r="BZ15" s="615">
        <v>0</v>
      </c>
      <c r="CA15" s="615">
        <v>0</v>
      </c>
      <c r="CB15" s="615">
        <v>0</v>
      </c>
      <c r="CC15" s="615">
        <v>0</v>
      </c>
      <c r="CD15" s="615">
        <v>0</v>
      </c>
      <c r="CE15" s="615">
        <v>0</v>
      </c>
      <c r="CF15" s="615">
        <v>0</v>
      </c>
      <c r="CG15" s="615">
        <v>0</v>
      </c>
      <c r="CH15" s="615">
        <v>0</v>
      </c>
      <c r="CI15" s="615">
        <v>0</v>
      </c>
      <c r="CJ15" s="615">
        <v>0</v>
      </c>
      <c r="CK15" s="615">
        <v>0</v>
      </c>
      <c r="CL15" s="615">
        <v>0</v>
      </c>
      <c r="CM15" s="615">
        <v>0</v>
      </c>
      <c r="CN15" s="615">
        <v>0</v>
      </c>
      <c r="CO15" s="615">
        <v>0</v>
      </c>
      <c r="CP15" s="615">
        <v>0</v>
      </c>
      <c r="CQ15" s="615">
        <v>0</v>
      </c>
      <c r="CR15" s="615">
        <v>0</v>
      </c>
      <c r="CS15" s="615">
        <v>0</v>
      </c>
      <c r="CT15" s="615">
        <v>0</v>
      </c>
      <c r="CU15" s="615">
        <v>0</v>
      </c>
      <c r="CV15" s="615">
        <v>0</v>
      </c>
      <c r="CW15" s="615">
        <v>0</v>
      </c>
      <c r="CX15" s="615">
        <v>0</v>
      </c>
      <c r="CY15" s="615">
        <v>0</v>
      </c>
      <c r="CZ15" s="615" t="s">
        <v>1049</v>
      </c>
      <c r="DA15" s="615">
        <v>3</v>
      </c>
      <c r="DB15" s="617"/>
      <c r="DC15" s="617"/>
      <c r="DD15" s="617"/>
      <c r="DE15" s="617"/>
      <c r="DF15" s="617"/>
      <c r="DG15" s="617"/>
      <c r="DH15" s="617"/>
      <c r="DI15" s="617"/>
      <c r="DJ15" s="617"/>
      <c r="DK15" s="617"/>
      <c r="DL15" s="617"/>
      <c r="DM15" s="617"/>
      <c r="DN15" s="617"/>
      <c r="DO15" s="617"/>
      <c r="DP15" s="617"/>
      <c r="DQ15" s="617"/>
      <c r="DR15" s="617"/>
      <c r="DS15" s="617"/>
      <c r="DT15" s="617"/>
      <c r="DU15" s="617"/>
      <c r="DV15" s="617"/>
      <c r="DW15" s="617"/>
      <c r="DX15" s="617"/>
      <c r="DY15" s="617"/>
      <c r="DZ15" s="617"/>
      <c r="EA15" s="617"/>
      <c r="EB15" s="617"/>
      <c r="EC15" s="617"/>
      <c r="ED15" s="617"/>
      <c r="EE15" s="617"/>
      <c r="EF15" s="617"/>
      <c r="EG15" s="617"/>
      <c r="EH15" s="617"/>
      <c r="EI15" s="617"/>
      <c r="EJ15" s="617"/>
      <c r="EK15" s="617"/>
      <c r="EL15" s="615" t="s">
        <v>833</v>
      </c>
      <c r="EM15" s="615" t="s">
        <v>833</v>
      </c>
      <c r="EN15" s="615" t="s">
        <v>833</v>
      </c>
      <c r="EO15" s="615" t="s">
        <v>833</v>
      </c>
      <c r="EP15" s="615" t="s">
        <v>833</v>
      </c>
      <c r="EQ15" s="615" t="s">
        <v>833</v>
      </c>
      <c r="ER15" s="615" t="s">
        <v>833</v>
      </c>
      <c r="ES15" s="615" t="s">
        <v>833</v>
      </c>
      <c r="ET15" s="615" t="s">
        <v>833</v>
      </c>
      <c r="EU15" s="615" t="s">
        <v>833</v>
      </c>
      <c r="EV15" s="615" t="s">
        <v>833</v>
      </c>
      <c r="EW15" s="615" t="s">
        <v>833</v>
      </c>
      <c r="EX15" s="615">
        <v>3670</v>
      </c>
      <c r="EY15" s="615">
        <v>3820</v>
      </c>
      <c r="EZ15" s="615" t="s">
        <v>1206</v>
      </c>
      <c r="FA15" s="615" t="s">
        <v>1206</v>
      </c>
      <c r="FB15" s="615" t="s">
        <v>1206</v>
      </c>
      <c r="FC15" s="615" t="s">
        <v>1206</v>
      </c>
      <c r="FD15" s="615" t="s">
        <v>1206</v>
      </c>
      <c r="FE15" s="615" t="s">
        <v>1206</v>
      </c>
      <c r="FF15" s="615" t="s">
        <v>1206</v>
      </c>
      <c r="FG15" s="615" t="s">
        <v>1206</v>
      </c>
      <c r="FH15" s="615" t="s">
        <v>1206</v>
      </c>
      <c r="FI15" s="615" t="s">
        <v>1206</v>
      </c>
      <c r="FJ15" s="615" t="s">
        <v>1206</v>
      </c>
      <c r="FK15" s="615" t="s">
        <v>1206</v>
      </c>
      <c r="FL15" s="615">
        <v>87</v>
      </c>
      <c r="FM15" s="615">
        <v>87</v>
      </c>
      <c r="FN15" s="615">
        <v>86</v>
      </c>
      <c r="FO15" s="615">
        <v>85</v>
      </c>
      <c r="FP15" s="615">
        <v>85</v>
      </c>
      <c r="FQ15" s="615">
        <v>86</v>
      </c>
      <c r="FR15" s="615">
        <v>86</v>
      </c>
      <c r="FS15" s="615">
        <v>87</v>
      </c>
      <c r="FT15" s="615">
        <v>87</v>
      </c>
      <c r="FU15" s="615">
        <v>87</v>
      </c>
      <c r="FV15" s="615">
        <v>64</v>
      </c>
      <c r="FW15" s="615">
        <v>64</v>
      </c>
      <c r="FX15" s="615">
        <v>64</v>
      </c>
      <c r="FY15" s="615">
        <v>65</v>
      </c>
      <c r="FZ15" s="615">
        <v>65</v>
      </c>
      <c r="GA15" s="615">
        <v>64</v>
      </c>
      <c r="GB15" s="615">
        <v>64</v>
      </c>
      <c r="GC15" s="615">
        <v>63</v>
      </c>
      <c r="GD15" s="615">
        <v>63</v>
      </c>
      <c r="GE15" s="615">
        <v>63</v>
      </c>
      <c r="GF15" s="615">
        <v>18350</v>
      </c>
      <c r="GG15" s="615" t="s">
        <v>1206</v>
      </c>
      <c r="GH15" s="615" t="s">
        <v>1206</v>
      </c>
      <c r="GI15" s="615" t="s">
        <v>1206</v>
      </c>
      <c r="GJ15" s="615" t="s">
        <v>1206</v>
      </c>
      <c r="GK15" s="615" t="s">
        <v>1206</v>
      </c>
      <c r="GL15" s="615" t="s">
        <v>1206</v>
      </c>
      <c r="GM15" s="615" t="s">
        <v>1206</v>
      </c>
      <c r="GN15" s="615" t="s">
        <v>1206</v>
      </c>
      <c r="GO15" s="615" t="s">
        <v>1206</v>
      </c>
      <c r="GP15" s="615" t="s">
        <v>1206</v>
      </c>
      <c r="GQ15" s="615" t="s">
        <v>1206</v>
      </c>
      <c r="GR15" s="615" t="s">
        <v>1206</v>
      </c>
      <c r="GS15" s="615">
        <v>19</v>
      </c>
      <c r="GT15" s="615">
        <v>20</v>
      </c>
      <c r="GU15" s="615">
        <v>20</v>
      </c>
      <c r="GV15" s="615">
        <v>20</v>
      </c>
      <c r="GW15" s="615">
        <v>20</v>
      </c>
      <c r="GX15" s="615">
        <v>20</v>
      </c>
      <c r="GY15" s="615">
        <v>20</v>
      </c>
      <c r="GZ15" s="615">
        <v>20</v>
      </c>
      <c r="HA15" s="615">
        <v>20</v>
      </c>
      <c r="HB15" s="615">
        <v>19</v>
      </c>
      <c r="HC15" s="615" t="s">
        <v>1207</v>
      </c>
      <c r="HD15" s="615" t="s">
        <v>1207</v>
      </c>
      <c r="HE15" s="615" t="s">
        <v>1207</v>
      </c>
      <c r="HF15" s="615" t="s">
        <v>1207</v>
      </c>
      <c r="HG15" s="615" t="s">
        <v>1207</v>
      </c>
      <c r="HH15" s="615" t="s">
        <v>1207</v>
      </c>
      <c r="HI15" s="615" t="s">
        <v>1207</v>
      </c>
      <c r="HJ15" s="615" t="s">
        <v>1207</v>
      </c>
      <c r="HK15" s="615" t="s">
        <v>1207</v>
      </c>
      <c r="HL15" s="615" t="s">
        <v>1207</v>
      </c>
      <c r="HM15" s="615" t="s">
        <v>1207</v>
      </c>
      <c r="HN15" s="615" t="s">
        <v>1207</v>
      </c>
      <c r="HO15" s="611">
        <f t="shared" si="1"/>
        <v>79950</v>
      </c>
      <c r="HP15" s="611">
        <f t="shared" si="2"/>
        <v>79950</v>
      </c>
      <c r="HQ15" s="611">
        <f t="shared" si="3"/>
        <v>79950</v>
      </c>
      <c r="HR15" s="611">
        <f t="shared" si="4"/>
        <v>79950</v>
      </c>
      <c r="HS15" s="611">
        <f t="shared" si="5"/>
        <v>79950</v>
      </c>
      <c r="HT15" s="611">
        <f t="shared" si="6"/>
        <v>79950</v>
      </c>
      <c r="HU15" s="611">
        <f t="shared" si="7"/>
        <v>79950</v>
      </c>
      <c r="HV15" s="611">
        <f t="shared" si="8"/>
        <v>79950</v>
      </c>
      <c r="HW15" s="611">
        <f t="shared" si="9"/>
        <v>79950</v>
      </c>
      <c r="HX15" s="611">
        <f t="shared" si="10"/>
        <v>79950</v>
      </c>
      <c r="HY15" s="611">
        <f t="shared" si="11"/>
        <v>79950</v>
      </c>
      <c r="HZ15" s="611">
        <f t="shared" si="12"/>
        <v>79950</v>
      </c>
      <c r="IA15" s="619" t="s">
        <v>1297</v>
      </c>
    </row>
    <row r="16" spans="1:235">
      <c r="B16" s="594">
        <v>12</v>
      </c>
      <c r="C16" s="594">
        <v>212</v>
      </c>
      <c r="D16" s="611" t="s">
        <v>388</v>
      </c>
      <c r="E16" s="612" t="s">
        <v>13</v>
      </c>
      <c r="F16" s="612">
        <v>90</v>
      </c>
      <c r="G16" s="612">
        <v>60</v>
      </c>
      <c r="H16" s="612">
        <v>30</v>
      </c>
      <c r="I16" s="612">
        <v>0</v>
      </c>
      <c r="J16" s="612"/>
      <c r="K16" s="612"/>
      <c r="L16" s="612"/>
      <c r="M16" s="612"/>
      <c r="N16" s="612"/>
      <c r="O16" s="612"/>
      <c r="P16" s="612"/>
      <c r="Q16" s="612"/>
      <c r="R16" s="612"/>
      <c r="S16" s="612"/>
      <c r="T16" s="612"/>
      <c r="U16" s="612"/>
      <c r="V16" s="612"/>
      <c r="W16" s="612"/>
      <c r="X16" s="612"/>
      <c r="Y16" s="612"/>
      <c r="Z16" s="612"/>
      <c r="AA16" s="612"/>
      <c r="AB16" s="612"/>
      <c r="AC16" s="612"/>
      <c r="AD16" s="612"/>
      <c r="AE16" s="612"/>
      <c r="AF16" s="612"/>
      <c r="AG16" s="612"/>
      <c r="AH16" s="612"/>
      <c r="AI16" s="612"/>
      <c r="AJ16" s="612"/>
      <c r="AK16" s="612"/>
      <c r="AL16" s="612"/>
      <c r="AM16" s="613"/>
      <c r="AN16" s="613"/>
      <c r="AO16" s="613"/>
      <c r="AP16" s="614"/>
      <c r="AQ16" s="612" t="s">
        <v>11</v>
      </c>
      <c r="AR16" s="615" t="s">
        <v>629</v>
      </c>
      <c r="AS16" s="615" t="s">
        <v>629</v>
      </c>
      <c r="AT16" s="615" t="s">
        <v>629</v>
      </c>
      <c r="AU16" s="615" t="s">
        <v>629</v>
      </c>
      <c r="AV16" s="615" t="s">
        <v>629</v>
      </c>
      <c r="AW16" s="615" t="s">
        <v>629</v>
      </c>
      <c r="AX16" s="615" t="s">
        <v>629</v>
      </c>
      <c r="AY16" s="615" t="s">
        <v>629</v>
      </c>
      <c r="AZ16" s="615" t="s">
        <v>629</v>
      </c>
      <c r="BA16" s="615" t="s">
        <v>629</v>
      </c>
      <c r="BB16" s="615" t="s">
        <v>629</v>
      </c>
      <c r="BC16" s="615" t="s">
        <v>629</v>
      </c>
      <c r="BD16" s="615" t="s">
        <v>629</v>
      </c>
      <c r="BE16" s="615" t="s">
        <v>629</v>
      </c>
      <c r="BF16" s="615" t="s">
        <v>629</v>
      </c>
      <c r="BG16" s="615" t="s">
        <v>629</v>
      </c>
      <c r="BH16" s="615" t="s">
        <v>629</v>
      </c>
      <c r="BI16" s="615" t="s">
        <v>629</v>
      </c>
      <c r="BJ16" s="615" t="s">
        <v>629</v>
      </c>
      <c r="BK16" s="615" t="s">
        <v>629</v>
      </c>
      <c r="BL16" s="615" t="s">
        <v>629</v>
      </c>
      <c r="BM16" s="615" t="s">
        <v>629</v>
      </c>
      <c r="BN16" s="615" t="s">
        <v>629</v>
      </c>
      <c r="BO16" s="615" t="s">
        <v>629</v>
      </c>
      <c r="BP16" s="615">
        <v>0</v>
      </c>
      <c r="BQ16" s="615">
        <v>0</v>
      </c>
      <c r="BR16" s="615">
        <v>0</v>
      </c>
      <c r="BS16" s="615">
        <v>0</v>
      </c>
      <c r="BT16" s="615">
        <v>0</v>
      </c>
      <c r="BU16" s="615">
        <v>0</v>
      </c>
      <c r="BV16" s="615">
        <v>0</v>
      </c>
      <c r="BW16" s="615">
        <v>0</v>
      </c>
      <c r="BX16" s="615">
        <v>0</v>
      </c>
      <c r="BY16" s="615">
        <v>0</v>
      </c>
      <c r="BZ16" s="615">
        <v>0</v>
      </c>
      <c r="CA16" s="615">
        <v>0</v>
      </c>
      <c r="CB16" s="615">
        <v>0</v>
      </c>
      <c r="CC16" s="615">
        <v>0</v>
      </c>
      <c r="CD16" s="615">
        <v>0</v>
      </c>
      <c r="CE16" s="615">
        <v>0</v>
      </c>
      <c r="CF16" s="615">
        <v>0</v>
      </c>
      <c r="CG16" s="615">
        <v>0</v>
      </c>
      <c r="CH16" s="615">
        <v>0</v>
      </c>
      <c r="CI16" s="615">
        <v>0</v>
      </c>
      <c r="CJ16" s="615">
        <v>0</v>
      </c>
      <c r="CK16" s="615">
        <v>0</v>
      </c>
      <c r="CL16" s="615">
        <v>0</v>
      </c>
      <c r="CM16" s="615">
        <v>0</v>
      </c>
      <c r="CN16" s="615">
        <v>0</v>
      </c>
      <c r="CO16" s="615">
        <v>0</v>
      </c>
      <c r="CP16" s="615">
        <v>0</v>
      </c>
      <c r="CQ16" s="615">
        <v>0</v>
      </c>
      <c r="CR16" s="615">
        <v>0</v>
      </c>
      <c r="CS16" s="615">
        <v>0</v>
      </c>
      <c r="CT16" s="615">
        <v>0</v>
      </c>
      <c r="CU16" s="615">
        <v>0</v>
      </c>
      <c r="CV16" s="615">
        <v>0</v>
      </c>
      <c r="CW16" s="615">
        <v>0</v>
      </c>
      <c r="CX16" s="615">
        <v>0</v>
      </c>
      <c r="CY16" s="615">
        <v>0</v>
      </c>
      <c r="CZ16" s="615" t="s">
        <v>1049</v>
      </c>
      <c r="DA16" s="615">
        <v>0</v>
      </c>
      <c r="DB16" s="617"/>
      <c r="DC16" s="617"/>
      <c r="DD16" s="617"/>
      <c r="DE16" s="617"/>
      <c r="DF16" s="617"/>
      <c r="DG16" s="617"/>
      <c r="DH16" s="617"/>
      <c r="DI16" s="617"/>
      <c r="DJ16" s="617"/>
      <c r="DK16" s="617"/>
      <c r="DL16" s="617"/>
      <c r="DM16" s="617"/>
      <c r="DN16" s="617"/>
      <c r="DO16" s="617"/>
      <c r="DP16" s="617"/>
      <c r="DQ16" s="617"/>
      <c r="DR16" s="617"/>
      <c r="DS16" s="617"/>
      <c r="DT16" s="617"/>
      <c r="DU16" s="617"/>
      <c r="DV16" s="617"/>
      <c r="DW16" s="617"/>
      <c r="DX16" s="617"/>
      <c r="DY16" s="617"/>
      <c r="DZ16" s="617"/>
      <c r="EA16" s="617"/>
      <c r="EB16" s="617"/>
      <c r="EC16" s="617"/>
      <c r="ED16" s="617"/>
      <c r="EE16" s="617"/>
      <c r="EF16" s="617"/>
      <c r="EG16" s="617"/>
      <c r="EH16" s="617"/>
      <c r="EI16" s="617"/>
      <c r="EJ16" s="617"/>
      <c r="EK16" s="617"/>
      <c r="EL16" s="615" t="s">
        <v>833</v>
      </c>
      <c r="EM16" s="615" t="s">
        <v>833</v>
      </c>
      <c r="EN16" s="615" t="s">
        <v>833</v>
      </c>
      <c r="EO16" s="615" t="s">
        <v>833</v>
      </c>
      <c r="EP16" s="615" t="s">
        <v>833</v>
      </c>
      <c r="EQ16" s="615" t="s">
        <v>833</v>
      </c>
      <c r="ER16" s="615" t="s">
        <v>833</v>
      </c>
      <c r="ES16" s="615" t="s">
        <v>833</v>
      </c>
      <c r="ET16" s="615" t="s">
        <v>833</v>
      </c>
      <c r="EU16" s="615" t="s">
        <v>833</v>
      </c>
      <c r="EV16" s="615" t="s">
        <v>833</v>
      </c>
      <c r="EW16" s="615" t="s">
        <v>833</v>
      </c>
      <c r="EX16" s="615">
        <v>3670</v>
      </c>
      <c r="EY16" s="615">
        <v>3820</v>
      </c>
      <c r="EZ16" s="615" t="s">
        <v>1206</v>
      </c>
      <c r="FA16" s="615" t="s">
        <v>1206</v>
      </c>
      <c r="FB16" s="615" t="s">
        <v>1206</v>
      </c>
      <c r="FC16" s="615" t="s">
        <v>1206</v>
      </c>
      <c r="FD16" s="615" t="s">
        <v>1206</v>
      </c>
      <c r="FE16" s="615" t="s">
        <v>1206</v>
      </c>
      <c r="FF16" s="615" t="s">
        <v>1206</v>
      </c>
      <c r="FG16" s="615" t="s">
        <v>1206</v>
      </c>
      <c r="FH16" s="615" t="s">
        <v>1206</v>
      </c>
      <c r="FI16" s="615" t="s">
        <v>1206</v>
      </c>
      <c r="FJ16" s="615" t="s">
        <v>1206</v>
      </c>
      <c r="FK16" s="615" t="s">
        <v>1206</v>
      </c>
      <c r="FL16" s="615">
        <v>21</v>
      </c>
      <c r="FM16" s="615">
        <v>19</v>
      </c>
      <c r="FN16" s="615">
        <v>19</v>
      </c>
      <c r="FO16" s="615">
        <v>19</v>
      </c>
      <c r="FP16" s="615">
        <v>19</v>
      </c>
      <c r="FQ16" s="615">
        <v>19</v>
      </c>
      <c r="FR16" s="615">
        <v>18</v>
      </c>
      <c r="FS16" s="615">
        <v>18</v>
      </c>
      <c r="FT16" s="615">
        <v>18</v>
      </c>
      <c r="FU16" s="615">
        <v>18</v>
      </c>
      <c r="FV16" s="615">
        <v>13</v>
      </c>
      <c r="FW16" s="615">
        <v>15</v>
      </c>
      <c r="FX16" s="615">
        <v>15</v>
      </c>
      <c r="FY16" s="615">
        <v>15</v>
      </c>
      <c r="FZ16" s="615">
        <v>15</v>
      </c>
      <c r="GA16" s="615">
        <v>15</v>
      </c>
      <c r="GB16" s="615">
        <v>16</v>
      </c>
      <c r="GC16" s="615">
        <v>16</v>
      </c>
      <c r="GD16" s="615">
        <v>16</v>
      </c>
      <c r="GE16" s="615">
        <v>16</v>
      </c>
      <c r="GF16" s="615">
        <v>18350</v>
      </c>
      <c r="GG16" s="615" t="s">
        <v>1206</v>
      </c>
      <c r="GH16" s="615" t="s">
        <v>1206</v>
      </c>
      <c r="GI16" s="615" t="s">
        <v>1206</v>
      </c>
      <c r="GJ16" s="615" t="s">
        <v>1206</v>
      </c>
      <c r="GK16" s="615" t="s">
        <v>1206</v>
      </c>
      <c r="GL16" s="615" t="s">
        <v>1206</v>
      </c>
      <c r="GM16" s="615" t="s">
        <v>1206</v>
      </c>
      <c r="GN16" s="615" t="s">
        <v>1206</v>
      </c>
      <c r="GO16" s="615" t="s">
        <v>1206</v>
      </c>
      <c r="GP16" s="615" t="s">
        <v>1206</v>
      </c>
      <c r="GQ16" s="615" t="s">
        <v>1206</v>
      </c>
      <c r="GR16" s="615" t="s">
        <v>1206</v>
      </c>
      <c r="GS16" s="615">
        <v>0</v>
      </c>
      <c r="GT16" s="615">
        <v>0</v>
      </c>
      <c r="GU16" s="615">
        <v>0</v>
      </c>
      <c r="GV16" s="615">
        <v>0</v>
      </c>
      <c r="GW16" s="615">
        <v>0</v>
      </c>
      <c r="GX16" s="615">
        <v>0</v>
      </c>
      <c r="GY16" s="615">
        <v>0</v>
      </c>
      <c r="GZ16" s="615">
        <v>0</v>
      </c>
      <c r="HA16" s="615">
        <v>0</v>
      </c>
      <c r="HB16" s="615">
        <v>0</v>
      </c>
      <c r="HC16" s="615" t="s">
        <v>1208</v>
      </c>
      <c r="HD16" s="615" t="s">
        <v>1208</v>
      </c>
      <c r="HE16" s="615" t="s">
        <v>1208</v>
      </c>
      <c r="HF16" s="615" t="s">
        <v>1208</v>
      </c>
      <c r="HG16" s="615" t="s">
        <v>1208</v>
      </c>
      <c r="HH16" s="615" t="s">
        <v>1208</v>
      </c>
      <c r="HI16" s="615" t="s">
        <v>1208</v>
      </c>
      <c r="HJ16" s="615" t="s">
        <v>1208</v>
      </c>
      <c r="HK16" s="615" t="s">
        <v>1208</v>
      </c>
      <c r="HL16" s="615" t="s">
        <v>1208</v>
      </c>
      <c r="HM16" s="615" t="s">
        <v>1208</v>
      </c>
      <c r="HN16" s="615" t="s">
        <v>1208</v>
      </c>
      <c r="HO16" s="611" t="str">
        <f t="shared" si="1"/>
        <v/>
      </c>
      <c r="HP16" s="611" t="str">
        <f t="shared" si="2"/>
        <v/>
      </c>
      <c r="HQ16" s="611" t="str">
        <f t="shared" si="3"/>
        <v/>
      </c>
      <c r="HR16" s="611" t="str">
        <f t="shared" si="4"/>
        <v/>
      </c>
      <c r="HS16" s="611" t="str">
        <f t="shared" si="5"/>
        <v/>
      </c>
      <c r="HT16" s="611" t="str">
        <f t="shared" si="6"/>
        <v/>
      </c>
      <c r="HU16" s="611" t="str">
        <f t="shared" si="7"/>
        <v/>
      </c>
      <c r="HV16" s="611" t="str">
        <f t="shared" si="8"/>
        <v/>
      </c>
      <c r="HW16" s="611" t="str">
        <f t="shared" si="9"/>
        <v/>
      </c>
      <c r="HX16" s="611" t="str">
        <f t="shared" si="10"/>
        <v/>
      </c>
      <c r="HY16" s="611" t="str">
        <f t="shared" si="11"/>
        <v/>
      </c>
      <c r="HZ16" s="611" t="str">
        <f t="shared" si="12"/>
        <v/>
      </c>
      <c r="IA16" s="619" t="s">
        <v>1298</v>
      </c>
    </row>
    <row r="17" spans="2:235">
      <c r="B17" s="594">
        <v>13</v>
      </c>
      <c r="C17" s="594">
        <v>213</v>
      </c>
      <c r="D17" s="611" t="s">
        <v>374</v>
      </c>
      <c r="E17" s="612" t="s">
        <v>13</v>
      </c>
      <c r="F17" s="612">
        <v>135</v>
      </c>
      <c r="G17" s="612">
        <v>90</v>
      </c>
      <c r="H17" s="612">
        <v>45</v>
      </c>
      <c r="I17" s="612">
        <v>0</v>
      </c>
      <c r="J17" s="612"/>
      <c r="K17" s="612"/>
      <c r="L17" s="612"/>
      <c r="M17" s="612"/>
      <c r="N17" s="612"/>
      <c r="O17" s="612"/>
      <c r="P17" s="612"/>
      <c r="Q17" s="612"/>
      <c r="R17" s="612"/>
      <c r="S17" s="612"/>
      <c r="T17" s="612"/>
      <c r="U17" s="612"/>
      <c r="V17" s="612"/>
      <c r="W17" s="612"/>
      <c r="X17" s="612"/>
      <c r="Y17" s="612"/>
      <c r="Z17" s="612"/>
      <c r="AA17" s="612"/>
      <c r="AB17" s="612"/>
      <c r="AC17" s="612"/>
      <c r="AD17" s="612"/>
      <c r="AE17" s="612"/>
      <c r="AF17" s="612"/>
      <c r="AG17" s="612"/>
      <c r="AH17" s="612"/>
      <c r="AI17" s="612"/>
      <c r="AJ17" s="612"/>
      <c r="AK17" s="612"/>
      <c r="AL17" s="612"/>
      <c r="AM17" s="613"/>
      <c r="AN17" s="613"/>
      <c r="AO17" s="613"/>
      <c r="AP17" s="614"/>
      <c r="AQ17" s="612" t="s">
        <v>11</v>
      </c>
      <c r="AR17" s="615" t="s">
        <v>629</v>
      </c>
      <c r="AS17" s="615" t="s">
        <v>629</v>
      </c>
      <c r="AT17" s="615" t="s">
        <v>629</v>
      </c>
      <c r="AU17" s="615" t="s">
        <v>629</v>
      </c>
      <c r="AV17" s="615" t="s">
        <v>629</v>
      </c>
      <c r="AW17" s="615" t="s">
        <v>629</v>
      </c>
      <c r="AX17" s="615" t="s">
        <v>629</v>
      </c>
      <c r="AY17" s="615" t="s">
        <v>629</v>
      </c>
      <c r="AZ17" s="615" t="s">
        <v>629</v>
      </c>
      <c r="BA17" s="615" t="s">
        <v>629</v>
      </c>
      <c r="BB17" s="615" t="s">
        <v>629</v>
      </c>
      <c r="BC17" s="615" t="s">
        <v>629</v>
      </c>
      <c r="BD17" s="615" t="s">
        <v>629</v>
      </c>
      <c r="BE17" s="615" t="s">
        <v>629</v>
      </c>
      <c r="BF17" s="615" t="s">
        <v>629</v>
      </c>
      <c r="BG17" s="615" t="s">
        <v>629</v>
      </c>
      <c r="BH17" s="615" t="s">
        <v>629</v>
      </c>
      <c r="BI17" s="615" t="s">
        <v>629</v>
      </c>
      <c r="BJ17" s="615" t="s">
        <v>629</v>
      </c>
      <c r="BK17" s="615" t="s">
        <v>629</v>
      </c>
      <c r="BL17" s="615" t="s">
        <v>629</v>
      </c>
      <c r="BM17" s="615" t="s">
        <v>629</v>
      </c>
      <c r="BN17" s="615" t="s">
        <v>629</v>
      </c>
      <c r="BO17" s="615" t="s">
        <v>629</v>
      </c>
      <c r="BP17" s="615">
        <v>0</v>
      </c>
      <c r="BQ17" s="615">
        <v>0</v>
      </c>
      <c r="BR17" s="615">
        <v>0</v>
      </c>
      <c r="BS17" s="615">
        <v>0</v>
      </c>
      <c r="BT17" s="615">
        <v>0</v>
      </c>
      <c r="BU17" s="615">
        <v>0</v>
      </c>
      <c r="BV17" s="615">
        <v>0</v>
      </c>
      <c r="BW17" s="615">
        <v>0</v>
      </c>
      <c r="BX17" s="615">
        <v>0</v>
      </c>
      <c r="BY17" s="615">
        <v>0</v>
      </c>
      <c r="BZ17" s="615">
        <v>0</v>
      </c>
      <c r="CA17" s="615">
        <v>0</v>
      </c>
      <c r="CB17" s="615">
        <v>0</v>
      </c>
      <c r="CC17" s="615">
        <v>0</v>
      </c>
      <c r="CD17" s="615">
        <v>0</v>
      </c>
      <c r="CE17" s="615">
        <v>0</v>
      </c>
      <c r="CF17" s="615">
        <v>0</v>
      </c>
      <c r="CG17" s="615">
        <v>0</v>
      </c>
      <c r="CH17" s="615">
        <v>0</v>
      </c>
      <c r="CI17" s="615">
        <v>0</v>
      </c>
      <c r="CJ17" s="615">
        <v>0</v>
      </c>
      <c r="CK17" s="615">
        <v>0</v>
      </c>
      <c r="CL17" s="615">
        <v>0</v>
      </c>
      <c r="CM17" s="615">
        <v>0</v>
      </c>
      <c r="CN17" s="615">
        <v>0</v>
      </c>
      <c r="CO17" s="615">
        <v>0</v>
      </c>
      <c r="CP17" s="615">
        <v>0</v>
      </c>
      <c r="CQ17" s="615">
        <v>0</v>
      </c>
      <c r="CR17" s="615">
        <v>0</v>
      </c>
      <c r="CS17" s="615">
        <v>0</v>
      </c>
      <c r="CT17" s="615">
        <v>0</v>
      </c>
      <c r="CU17" s="615">
        <v>0</v>
      </c>
      <c r="CV17" s="615">
        <v>0</v>
      </c>
      <c r="CW17" s="615">
        <v>0</v>
      </c>
      <c r="CX17" s="615">
        <v>0</v>
      </c>
      <c r="CY17" s="615">
        <v>0</v>
      </c>
      <c r="CZ17" s="615" t="s">
        <v>1049</v>
      </c>
      <c r="DA17" s="615">
        <v>0</v>
      </c>
      <c r="DB17" s="617"/>
      <c r="DC17" s="617"/>
      <c r="DD17" s="617"/>
      <c r="DE17" s="617"/>
      <c r="DF17" s="617"/>
      <c r="DG17" s="617"/>
      <c r="DH17" s="617"/>
      <c r="DI17" s="617"/>
      <c r="DJ17" s="617"/>
      <c r="DK17" s="617"/>
      <c r="DL17" s="617"/>
      <c r="DM17" s="617"/>
      <c r="DN17" s="617"/>
      <c r="DO17" s="617"/>
      <c r="DP17" s="617"/>
      <c r="DQ17" s="617"/>
      <c r="DR17" s="617"/>
      <c r="DS17" s="617"/>
      <c r="DT17" s="617"/>
      <c r="DU17" s="617"/>
      <c r="DV17" s="617"/>
      <c r="DW17" s="617"/>
      <c r="DX17" s="617"/>
      <c r="DY17" s="617"/>
      <c r="DZ17" s="617"/>
      <c r="EA17" s="617"/>
      <c r="EB17" s="617"/>
      <c r="EC17" s="617"/>
      <c r="ED17" s="617"/>
      <c r="EE17" s="617"/>
      <c r="EF17" s="617"/>
      <c r="EG17" s="617"/>
      <c r="EH17" s="617"/>
      <c r="EI17" s="617"/>
      <c r="EJ17" s="617"/>
      <c r="EK17" s="617"/>
      <c r="EL17" s="615" t="s">
        <v>833</v>
      </c>
      <c r="EM17" s="615" t="s">
        <v>833</v>
      </c>
      <c r="EN17" s="615" t="s">
        <v>833</v>
      </c>
      <c r="EO17" s="615" t="s">
        <v>833</v>
      </c>
      <c r="EP17" s="615" t="s">
        <v>833</v>
      </c>
      <c r="EQ17" s="615" t="s">
        <v>833</v>
      </c>
      <c r="ER17" s="615" t="s">
        <v>833</v>
      </c>
      <c r="ES17" s="615" t="s">
        <v>833</v>
      </c>
      <c r="ET17" s="615" t="s">
        <v>833</v>
      </c>
      <c r="EU17" s="615" t="s">
        <v>833</v>
      </c>
      <c r="EV17" s="615" t="s">
        <v>833</v>
      </c>
      <c r="EW17" s="615" t="s">
        <v>833</v>
      </c>
      <c r="EX17" s="615">
        <v>3670</v>
      </c>
      <c r="EY17" s="615">
        <v>3820</v>
      </c>
      <c r="EZ17" s="615" t="s">
        <v>1206</v>
      </c>
      <c r="FA17" s="615" t="s">
        <v>1206</v>
      </c>
      <c r="FB17" s="615" t="s">
        <v>1206</v>
      </c>
      <c r="FC17" s="615" t="s">
        <v>1206</v>
      </c>
      <c r="FD17" s="615" t="s">
        <v>1206</v>
      </c>
      <c r="FE17" s="615" t="s">
        <v>1206</v>
      </c>
      <c r="FF17" s="615" t="s">
        <v>1206</v>
      </c>
      <c r="FG17" s="615" t="s">
        <v>1206</v>
      </c>
      <c r="FH17" s="615" t="s">
        <v>1206</v>
      </c>
      <c r="FI17" s="615" t="s">
        <v>1206</v>
      </c>
      <c r="FJ17" s="615" t="s">
        <v>1206</v>
      </c>
      <c r="FK17" s="615" t="s">
        <v>1206</v>
      </c>
      <c r="FL17" s="615">
        <v>56</v>
      </c>
      <c r="FM17" s="615">
        <v>55</v>
      </c>
      <c r="FN17" s="615">
        <v>54</v>
      </c>
      <c r="FO17" s="615">
        <v>54</v>
      </c>
      <c r="FP17" s="615">
        <v>52</v>
      </c>
      <c r="FQ17" s="615">
        <v>53</v>
      </c>
      <c r="FR17" s="615">
        <v>54</v>
      </c>
      <c r="FS17" s="615">
        <v>53</v>
      </c>
      <c r="FT17" s="615">
        <v>53</v>
      </c>
      <c r="FU17" s="615">
        <v>54</v>
      </c>
      <c r="FV17" s="615">
        <v>31</v>
      </c>
      <c r="FW17" s="615">
        <v>32</v>
      </c>
      <c r="FX17" s="615">
        <v>33</v>
      </c>
      <c r="FY17" s="615">
        <v>33</v>
      </c>
      <c r="FZ17" s="615">
        <v>33</v>
      </c>
      <c r="GA17" s="615">
        <v>32</v>
      </c>
      <c r="GB17" s="615">
        <v>31</v>
      </c>
      <c r="GC17" s="615">
        <v>32</v>
      </c>
      <c r="GD17" s="615">
        <v>32</v>
      </c>
      <c r="GE17" s="615">
        <v>32</v>
      </c>
      <c r="GF17" s="615">
        <v>18350</v>
      </c>
      <c r="GG17" s="615" t="s">
        <v>1206</v>
      </c>
      <c r="GH17" s="615" t="s">
        <v>1206</v>
      </c>
      <c r="GI17" s="615" t="s">
        <v>1206</v>
      </c>
      <c r="GJ17" s="615" t="s">
        <v>1206</v>
      </c>
      <c r="GK17" s="615" t="s">
        <v>1206</v>
      </c>
      <c r="GL17" s="615" t="s">
        <v>1206</v>
      </c>
      <c r="GM17" s="615" t="s">
        <v>1206</v>
      </c>
      <c r="GN17" s="615" t="s">
        <v>1206</v>
      </c>
      <c r="GO17" s="615" t="s">
        <v>1206</v>
      </c>
      <c r="GP17" s="615" t="s">
        <v>1206</v>
      </c>
      <c r="GQ17" s="615" t="s">
        <v>1206</v>
      </c>
      <c r="GR17" s="615" t="s">
        <v>1206</v>
      </c>
      <c r="GS17" s="615">
        <v>0</v>
      </c>
      <c r="GT17" s="615">
        <v>0</v>
      </c>
      <c r="GU17" s="615">
        <v>0</v>
      </c>
      <c r="GV17" s="615">
        <v>0</v>
      </c>
      <c r="GW17" s="615">
        <v>0</v>
      </c>
      <c r="GX17" s="615">
        <v>0</v>
      </c>
      <c r="GY17" s="615">
        <v>0</v>
      </c>
      <c r="GZ17" s="615">
        <v>0</v>
      </c>
      <c r="HA17" s="615">
        <v>0</v>
      </c>
      <c r="HB17" s="615">
        <v>0</v>
      </c>
      <c r="HC17" s="615" t="s">
        <v>1208</v>
      </c>
      <c r="HD17" s="615" t="s">
        <v>1208</v>
      </c>
      <c r="HE17" s="615" t="s">
        <v>1208</v>
      </c>
      <c r="HF17" s="615" t="s">
        <v>1208</v>
      </c>
      <c r="HG17" s="615" t="s">
        <v>1208</v>
      </c>
      <c r="HH17" s="615" t="s">
        <v>1208</v>
      </c>
      <c r="HI17" s="615" t="s">
        <v>1208</v>
      </c>
      <c r="HJ17" s="615" t="s">
        <v>1208</v>
      </c>
      <c r="HK17" s="615" t="s">
        <v>1208</v>
      </c>
      <c r="HL17" s="615" t="s">
        <v>1208</v>
      </c>
      <c r="HM17" s="615" t="s">
        <v>1208</v>
      </c>
      <c r="HN17" s="615" t="s">
        <v>1208</v>
      </c>
      <c r="HO17" s="611" t="str">
        <f t="shared" si="1"/>
        <v/>
      </c>
      <c r="HP17" s="611" t="str">
        <f t="shared" si="2"/>
        <v/>
      </c>
      <c r="HQ17" s="611" t="str">
        <f t="shared" si="3"/>
        <v/>
      </c>
      <c r="HR17" s="611" t="str">
        <f t="shared" si="4"/>
        <v/>
      </c>
      <c r="HS17" s="611" t="str">
        <f t="shared" si="5"/>
        <v/>
      </c>
      <c r="HT17" s="611" t="str">
        <f t="shared" si="6"/>
        <v/>
      </c>
      <c r="HU17" s="611" t="str">
        <f t="shared" si="7"/>
        <v/>
      </c>
      <c r="HV17" s="611" t="str">
        <f t="shared" si="8"/>
        <v/>
      </c>
      <c r="HW17" s="611" t="str">
        <f t="shared" si="9"/>
        <v/>
      </c>
      <c r="HX17" s="611" t="str">
        <f t="shared" si="10"/>
        <v/>
      </c>
      <c r="HY17" s="611" t="str">
        <f t="shared" si="11"/>
        <v/>
      </c>
      <c r="HZ17" s="611" t="str">
        <f t="shared" si="12"/>
        <v/>
      </c>
      <c r="IA17" s="619" t="s">
        <v>1298</v>
      </c>
    </row>
    <row r="18" spans="2:235">
      <c r="B18" s="594">
        <v>14</v>
      </c>
      <c r="C18" s="594">
        <v>214</v>
      </c>
      <c r="D18" s="611" t="s">
        <v>385</v>
      </c>
      <c r="E18" s="612" t="s">
        <v>13</v>
      </c>
      <c r="F18" s="612">
        <v>205</v>
      </c>
      <c r="G18" s="612">
        <v>75</v>
      </c>
      <c r="H18" s="612">
        <v>90</v>
      </c>
      <c r="I18" s="612">
        <v>40</v>
      </c>
      <c r="J18" s="612"/>
      <c r="K18" s="612"/>
      <c r="L18" s="612"/>
      <c r="M18" s="612"/>
      <c r="N18" s="612"/>
      <c r="O18" s="612"/>
      <c r="P18" s="612"/>
      <c r="Q18" s="612"/>
      <c r="R18" s="612"/>
      <c r="S18" s="612"/>
      <c r="T18" s="612"/>
      <c r="U18" s="612"/>
      <c r="V18" s="612"/>
      <c r="W18" s="612"/>
      <c r="X18" s="612"/>
      <c r="Y18" s="612"/>
      <c r="Z18" s="612"/>
      <c r="AA18" s="612"/>
      <c r="AB18" s="612"/>
      <c r="AC18" s="612"/>
      <c r="AD18" s="612"/>
      <c r="AE18" s="612"/>
      <c r="AF18" s="612"/>
      <c r="AG18" s="612"/>
      <c r="AH18" s="612"/>
      <c r="AI18" s="612"/>
      <c r="AJ18" s="612"/>
      <c r="AK18" s="612"/>
      <c r="AL18" s="612"/>
      <c r="AM18" s="613"/>
      <c r="AN18" s="613"/>
      <c r="AO18" s="613"/>
      <c r="AP18" s="614"/>
      <c r="AQ18" s="612" t="s">
        <v>11</v>
      </c>
      <c r="AR18" s="615" t="s">
        <v>629</v>
      </c>
      <c r="AS18" s="615" t="s">
        <v>629</v>
      </c>
      <c r="AT18" s="615" t="s">
        <v>629</v>
      </c>
      <c r="AU18" s="615" t="s">
        <v>629</v>
      </c>
      <c r="AV18" s="615" t="s">
        <v>629</v>
      </c>
      <c r="AW18" s="615" t="s">
        <v>629</v>
      </c>
      <c r="AX18" s="615" t="s">
        <v>629</v>
      </c>
      <c r="AY18" s="615" t="s">
        <v>629</v>
      </c>
      <c r="AZ18" s="615" t="s">
        <v>629</v>
      </c>
      <c r="BA18" s="615" t="s">
        <v>629</v>
      </c>
      <c r="BB18" s="615" t="s">
        <v>629</v>
      </c>
      <c r="BC18" s="615" t="s">
        <v>629</v>
      </c>
      <c r="BD18" s="615" t="s">
        <v>629</v>
      </c>
      <c r="BE18" s="615" t="s">
        <v>629</v>
      </c>
      <c r="BF18" s="615" t="s">
        <v>629</v>
      </c>
      <c r="BG18" s="615" t="s">
        <v>629</v>
      </c>
      <c r="BH18" s="615" t="s">
        <v>629</v>
      </c>
      <c r="BI18" s="615" t="s">
        <v>629</v>
      </c>
      <c r="BJ18" s="615" t="s">
        <v>629</v>
      </c>
      <c r="BK18" s="615" t="s">
        <v>629</v>
      </c>
      <c r="BL18" s="615" t="s">
        <v>629</v>
      </c>
      <c r="BM18" s="615" t="s">
        <v>629</v>
      </c>
      <c r="BN18" s="615" t="s">
        <v>629</v>
      </c>
      <c r="BO18" s="615" t="s">
        <v>629</v>
      </c>
      <c r="BP18" s="615">
        <v>0</v>
      </c>
      <c r="BQ18" s="615">
        <v>0</v>
      </c>
      <c r="BR18" s="615">
        <v>0</v>
      </c>
      <c r="BS18" s="615">
        <v>0</v>
      </c>
      <c r="BT18" s="615">
        <v>0</v>
      </c>
      <c r="BU18" s="615">
        <v>0</v>
      </c>
      <c r="BV18" s="615">
        <v>0</v>
      </c>
      <c r="BW18" s="615">
        <v>0</v>
      </c>
      <c r="BX18" s="615">
        <v>0</v>
      </c>
      <c r="BY18" s="615">
        <v>0</v>
      </c>
      <c r="BZ18" s="615">
        <v>0</v>
      </c>
      <c r="CA18" s="615">
        <v>0</v>
      </c>
      <c r="CB18" s="615">
        <v>0</v>
      </c>
      <c r="CC18" s="615">
        <v>0</v>
      </c>
      <c r="CD18" s="615">
        <v>0</v>
      </c>
      <c r="CE18" s="615">
        <v>0</v>
      </c>
      <c r="CF18" s="615">
        <v>0</v>
      </c>
      <c r="CG18" s="615">
        <v>0</v>
      </c>
      <c r="CH18" s="615">
        <v>0</v>
      </c>
      <c r="CI18" s="615">
        <v>0</v>
      </c>
      <c r="CJ18" s="615">
        <v>0</v>
      </c>
      <c r="CK18" s="615">
        <v>0</v>
      </c>
      <c r="CL18" s="615">
        <v>0</v>
      </c>
      <c r="CM18" s="615">
        <v>0</v>
      </c>
      <c r="CN18" s="615">
        <v>0</v>
      </c>
      <c r="CO18" s="615">
        <v>0</v>
      </c>
      <c r="CP18" s="615">
        <v>0</v>
      </c>
      <c r="CQ18" s="615">
        <v>0</v>
      </c>
      <c r="CR18" s="615">
        <v>0</v>
      </c>
      <c r="CS18" s="615">
        <v>0</v>
      </c>
      <c r="CT18" s="615">
        <v>0</v>
      </c>
      <c r="CU18" s="615">
        <v>0</v>
      </c>
      <c r="CV18" s="615">
        <v>0</v>
      </c>
      <c r="CW18" s="615">
        <v>0</v>
      </c>
      <c r="CX18" s="615">
        <v>0</v>
      </c>
      <c r="CY18" s="615">
        <v>0</v>
      </c>
      <c r="CZ18" s="615" t="s">
        <v>1049</v>
      </c>
      <c r="DA18" s="615">
        <v>0</v>
      </c>
      <c r="DB18" s="617"/>
      <c r="DC18" s="617"/>
      <c r="DD18" s="617"/>
      <c r="DE18" s="617"/>
      <c r="DF18" s="617"/>
      <c r="DG18" s="617"/>
      <c r="DH18" s="617"/>
      <c r="DI18" s="617"/>
      <c r="DJ18" s="617"/>
      <c r="DK18" s="617"/>
      <c r="DL18" s="617"/>
      <c r="DM18" s="617"/>
      <c r="DN18" s="617"/>
      <c r="DO18" s="617"/>
      <c r="DP18" s="617"/>
      <c r="DQ18" s="617"/>
      <c r="DR18" s="617"/>
      <c r="DS18" s="617"/>
      <c r="DT18" s="617"/>
      <c r="DU18" s="617"/>
      <c r="DV18" s="617"/>
      <c r="DW18" s="617"/>
      <c r="DX18" s="617"/>
      <c r="DY18" s="617"/>
      <c r="DZ18" s="617"/>
      <c r="EA18" s="617"/>
      <c r="EB18" s="617"/>
      <c r="EC18" s="617"/>
      <c r="ED18" s="617"/>
      <c r="EE18" s="617"/>
      <c r="EF18" s="617"/>
      <c r="EG18" s="617"/>
      <c r="EH18" s="617"/>
      <c r="EI18" s="617"/>
      <c r="EJ18" s="617"/>
      <c r="EK18" s="617"/>
      <c r="EL18" s="615" t="s">
        <v>833</v>
      </c>
      <c r="EM18" s="615" t="s">
        <v>833</v>
      </c>
      <c r="EN18" s="615" t="s">
        <v>833</v>
      </c>
      <c r="EO18" s="615" t="s">
        <v>833</v>
      </c>
      <c r="EP18" s="615" t="s">
        <v>833</v>
      </c>
      <c r="EQ18" s="615" t="s">
        <v>833</v>
      </c>
      <c r="ER18" s="615" t="s">
        <v>833</v>
      </c>
      <c r="ES18" s="615" t="s">
        <v>833</v>
      </c>
      <c r="ET18" s="615" t="s">
        <v>833</v>
      </c>
      <c r="EU18" s="615" t="s">
        <v>833</v>
      </c>
      <c r="EV18" s="615" t="s">
        <v>833</v>
      </c>
      <c r="EW18" s="615" t="s">
        <v>833</v>
      </c>
      <c r="EX18" s="615">
        <v>3670</v>
      </c>
      <c r="EY18" s="615">
        <v>3820</v>
      </c>
      <c r="EZ18" s="615" t="s">
        <v>1206</v>
      </c>
      <c r="FA18" s="615" t="s">
        <v>1206</v>
      </c>
      <c r="FB18" s="615" t="s">
        <v>1206</v>
      </c>
      <c r="FC18" s="615" t="s">
        <v>1206</v>
      </c>
      <c r="FD18" s="615" t="s">
        <v>1206</v>
      </c>
      <c r="FE18" s="615" t="s">
        <v>1206</v>
      </c>
      <c r="FF18" s="615" t="s">
        <v>1206</v>
      </c>
      <c r="FG18" s="615" t="s">
        <v>1206</v>
      </c>
      <c r="FH18" s="615" t="s">
        <v>1206</v>
      </c>
      <c r="FI18" s="615" t="s">
        <v>1206</v>
      </c>
      <c r="FJ18" s="615" t="s">
        <v>1206</v>
      </c>
      <c r="FK18" s="615" t="s">
        <v>1206</v>
      </c>
      <c r="FL18" s="615">
        <v>50</v>
      </c>
      <c r="FM18" s="615">
        <v>51</v>
      </c>
      <c r="FN18" s="615">
        <v>52</v>
      </c>
      <c r="FO18" s="615">
        <v>52</v>
      </c>
      <c r="FP18" s="615">
        <v>52</v>
      </c>
      <c r="FQ18" s="615">
        <v>53</v>
      </c>
      <c r="FR18" s="615">
        <v>54</v>
      </c>
      <c r="FS18" s="615">
        <v>53</v>
      </c>
      <c r="FT18" s="615">
        <v>53</v>
      </c>
      <c r="FU18" s="615">
        <v>53</v>
      </c>
      <c r="FV18" s="615">
        <v>66</v>
      </c>
      <c r="FW18" s="615">
        <v>66</v>
      </c>
      <c r="FX18" s="615">
        <v>65</v>
      </c>
      <c r="FY18" s="615">
        <v>65</v>
      </c>
      <c r="FZ18" s="615">
        <v>65</v>
      </c>
      <c r="GA18" s="615">
        <v>64</v>
      </c>
      <c r="GB18" s="615">
        <v>64</v>
      </c>
      <c r="GC18" s="615">
        <v>65</v>
      </c>
      <c r="GD18" s="615">
        <v>65</v>
      </c>
      <c r="GE18" s="615">
        <v>65</v>
      </c>
      <c r="GF18" s="615">
        <v>18350</v>
      </c>
      <c r="GG18" s="615" t="s">
        <v>1206</v>
      </c>
      <c r="GH18" s="615" t="s">
        <v>1206</v>
      </c>
      <c r="GI18" s="615" t="s">
        <v>1206</v>
      </c>
      <c r="GJ18" s="615" t="s">
        <v>1206</v>
      </c>
      <c r="GK18" s="615" t="s">
        <v>1206</v>
      </c>
      <c r="GL18" s="615" t="s">
        <v>1206</v>
      </c>
      <c r="GM18" s="615" t="s">
        <v>1206</v>
      </c>
      <c r="GN18" s="615" t="s">
        <v>1206</v>
      </c>
      <c r="GO18" s="615" t="s">
        <v>1206</v>
      </c>
      <c r="GP18" s="615" t="s">
        <v>1206</v>
      </c>
      <c r="GQ18" s="615" t="s">
        <v>1206</v>
      </c>
      <c r="GR18" s="615" t="s">
        <v>1206</v>
      </c>
      <c r="GS18" s="615">
        <v>14</v>
      </c>
      <c r="GT18" s="615">
        <v>14</v>
      </c>
      <c r="GU18" s="615">
        <v>14</v>
      </c>
      <c r="GV18" s="615">
        <v>14</v>
      </c>
      <c r="GW18" s="615">
        <v>14</v>
      </c>
      <c r="GX18" s="615">
        <v>14</v>
      </c>
      <c r="GY18" s="615">
        <v>14</v>
      </c>
      <c r="GZ18" s="615">
        <v>14</v>
      </c>
      <c r="HA18" s="615">
        <v>14</v>
      </c>
      <c r="HB18" s="615">
        <v>14</v>
      </c>
      <c r="HC18" s="615" t="s">
        <v>1207</v>
      </c>
      <c r="HD18" s="615" t="s">
        <v>1207</v>
      </c>
      <c r="HE18" s="615" t="s">
        <v>1207</v>
      </c>
      <c r="HF18" s="615" t="s">
        <v>1207</v>
      </c>
      <c r="HG18" s="615" t="s">
        <v>1207</v>
      </c>
      <c r="HH18" s="615" t="s">
        <v>1207</v>
      </c>
      <c r="HI18" s="615" t="s">
        <v>1207</v>
      </c>
      <c r="HJ18" s="615" t="s">
        <v>1207</v>
      </c>
      <c r="HK18" s="615" t="s">
        <v>1207</v>
      </c>
      <c r="HL18" s="615" t="s">
        <v>1207</v>
      </c>
      <c r="HM18" s="615" t="s">
        <v>1207</v>
      </c>
      <c r="HN18" s="615" t="s">
        <v>1207</v>
      </c>
      <c r="HO18" s="611">
        <f t="shared" si="1"/>
        <v>79950</v>
      </c>
      <c r="HP18" s="611">
        <f t="shared" si="2"/>
        <v>79950</v>
      </c>
      <c r="HQ18" s="611">
        <f t="shared" si="3"/>
        <v>79950</v>
      </c>
      <c r="HR18" s="611">
        <f t="shared" si="4"/>
        <v>79950</v>
      </c>
      <c r="HS18" s="611">
        <f t="shared" si="5"/>
        <v>79950</v>
      </c>
      <c r="HT18" s="611">
        <f t="shared" si="6"/>
        <v>79950</v>
      </c>
      <c r="HU18" s="611">
        <f t="shared" si="7"/>
        <v>79950</v>
      </c>
      <c r="HV18" s="611">
        <f t="shared" si="8"/>
        <v>79950</v>
      </c>
      <c r="HW18" s="611">
        <f t="shared" si="9"/>
        <v>79950</v>
      </c>
      <c r="HX18" s="611">
        <f t="shared" si="10"/>
        <v>79950</v>
      </c>
      <c r="HY18" s="611">
        <f t="shared" si="11"/>
        <v>79950</v>
      </c>
      <c r="HZ18" s="611">
        <f t="shared" si="12"/>
        <v>79950</v>
      </c>
      <c r="IA18" s="619" t="s">
        <v>1297</v>
      </c>
    </row>
    <row r="19" spans="2:235">
      <c r="B19" s="594">
        <v>15</v>
      </c>
      <c r="C19" s="594">
        <v>215</v>
      </c>
      <c r="D19" s="611" t="s">
        <v>375</v>
      </c>
      <c r="E19" s="612" t="s">
        <v>13</v>
      </c>
      <c r="F19" s="612">
        <v>100</v>
      </c>
      <c r="G19" s="612">
        <v>60</v>
      </c>
      <c r="H19" s="612">
        <v>24</v>
      </c>
      <c r="I19" s="612">
        <v>16</v>
      </c>
      <c r="J19" s="612"/>
      <c r="K19" s="612"/>
      <c r="L19" s="612"/>
      <c r="M19" s="612"/>
      <c r="N19" s="612"/>
      <c r="O19" s="612"/>
      <c r="P19" s="612"/>
      <c r="Q19" s="612"/>
      <c r="R19" s="612"/>
      <c r="S19" s="612"/>
      <c r="T19" s="612"/>
      <c r="U19" s="612"/>
      <c r="V19" s="612"/>
      <c r="W19" s="612"/>
      <c r="X19" s="612"/>
      <c r="Y19" s="612"/>
      <c r="Z19" s="612"/>
      <c r="AA19" s="612"/>
      <c r="AB19" s="612"/>
      <c r="AC19" s="612"/>
      <c r="AD19" s="612"/>
      <c r="AE19" s="612"/>
      <c r="AF19" s="612"/>
      <c r="AG19" s="612"/>
      <c r="AH19" s="612"/>
      <c r="AI19" s="612"/>
      <c r="AJ19" s="612"/>
      <c r="AK19" s="612"/>
      <c r="AL19" s="612"/>
      <c r="AM19" s="613"/>
      <c r="AN19" s="613"/>
      <c r="AO19" s="613"/>
      <c r="AP19" s="614"/>
      <c r="AQ19" s="612" t="s">
        <v>11</v>
      </c>
      <c r="AR19" s="615" t="s">
        <v>629</v>
      </c>
      <c r="AS19" s="615" t="s">
        <v>629</v>
      </c>
      <c r="AT19" s="615" t="s">
        <v>629</v>
      </c>
      <c r="AU19" s="615" t="s">
        <v>629</v>
      </c>
      <c r="AV19" s="615" t="s">
        <v>629</v>
      </c>
      <c r="AW19" s="615" t="s">
        <v>629</v>
      </c>
      <c r="AX19" s="615" t="s">
        <v>629</v>
      </c>
      <c r="AY19" s="615" t="s">
        <v>629</v>
      </c>
      <c r="AZ19" s="615" t="s">
        <v>629</v>
      </c>
      <c r="BA19" s="615" t="s">
        <v>629</v>
      </c>
      <c r="BB19" s="615" t="s">
        <v>629</v>
      </c>
      <c r="BC19" s="615" t="s">
        <v>629</v>
      </c>
      <c r="BD19" s="615" t="s">
        <v>629</v>
      </c>
      <c r="BE19" s="615" t="s">
        <v>629</v>
      </c>
      <c r="BF19" s="615" t="s">
        <v>629</v>
      </c>
      <c r="BG19" s="615" t="s">
        <v>629</v>
      </c>
      <c r="BH19" s="615" t="s">
        <v>629</v>
      </c>
      <c r="BI19" s="615" t="s">
        <v>629</v>
      </c>
      <c r="BJ19" s="615" t="s">
        <v>629</v>
      </c>
      <c r="BK19" s="615" t="s">
        <v>629</v>
      </c>
      <c r="BL19" s="615" t="s">
        <v>629</v>
      </c>
      <c r="BM19" s="615" t="s">
        <v>629</v>
      </c>
      <c r="BN19" s="615" t="s">
        <v>629</v>
      </c>
      <c r="BO19" s="615" t="s">
        <v>629</v>
      </c>
      <c r="BP19" s="615">
        <v>0</v>
      </c>
      <c r="BQ19" s="615">
        <v>0</v>
      </c>
      <c r="BR19" s="615">
        <v>0</v>
      </c>
      <c r="BS19" s="615">
        <v>0</v>
      </c>
      <c r="BT19" s="615">
        <v>0</v>
      </c>
      <c r="BU19" s="615">
        <v>0</v>
      </c>
      <c r="BV19" s="615">
        <v>0</v>
      </c>
      <c r="BW19" s="615">
        <v>0</v>
      </c>
      <c r="BX19" s="615">
        <v>0</v>
      </c>
      <c r="BY19" s="615">
        <v>0</v>
      </c>
      <c r="BZ19" s="615">
        <v>0</v>
      </c>
      <c r="CA19" s="615">
        <v>0</v>
      </c>
      <c r="CB19" s="615">
        <v>0</v>
      </c>
      <c r="CC19" s="615">
        <v>0</v>
      </c>
      <c r="CD19" s="615">
        <v>0</v>
      </c>
      <c r="CE19" s="615">
        <v>0</v>
      </c>
      <c r="CF19" s="615">
        <v>0</v>
      </c>
      <c r="CG19" s="615">
        <v>0</v>
      </c>
      <c r="CH19" s="615">
        <v>0</v>
      </c>
      <c r="CI19" s="615">
        <v>0</v>
      </c>
      <c r="CJ19" s="615">
        <v>0</v>
      </c>
      <c r="CK19" s="615">
        <v>0</v>
      </c>
      <c r="CL19" s="615">
        <v>0</v>
      </c>
      <c r="CM19" s="615">
        <v>0</v>
      </c>
      <c r="CN19" s="615">
        <v>0</v>
      </c>
      <c r="CO19" s="615">
        <v>0</v>
      </c>
      <c r="CP19" s="615">
        <v>0</v>
      </c>
      <c r="CQ19" s="615">
        <v>0</v>
      </c>
      <c r="CR19" s="615">
        <v>0</v>
      </c>
      <c r="CS19" s="615">
        <v>0</v>
      </c>
      <c r="CT19" s="615">
        <v>0</v>
      </c>
      <c r="CU19" s="615">
        <v>0</v>
      </c>
      <c r="CV19" s="615">
        <v>0</v>
      </c>
      <c r="CW19" s="615">
        <v>0</v>
      </c>
      <c r="CX19" s="615">
        <v>0</v>
      </c>
      <c r="CY19" s="615">
        <v>0</v>
      </c>
      <c r="CZ19" s="615" t="s">
        <v>1049</v>
      </c>
      <c r="DA19" s="615">
        <v>1</v>
      </c>
      <c r="DB19" s="617"/>
      <c r="DC19" s="617"/>
      <c r="DD19" s="617"/>
      <c r="DE19" s="617"/>
      <c r="DF19" s="617"/>
      <c r="DG19" s="617"/>
      <c r="DH19" s="617"/>
      <c r="DI19" s="617"/>
      <c r="DJ19" s="617"/>
      <c r="DK19" s="617"/>
      <c r="DL19" s="617"/>
      <c r="DM19" s="617"/>
      <c r="DN19" s="617"/>
      <c r="DO19" s="617"/>
      <c r="DP19" s="617"/>
      <c r="DQ19" s="617"/>
      <c r="DR19" s="617"/>
      <c r="DS19" s="617"/>
      <c r="DT19" s="617"/>
      <c r="DU19" s="617"/>
      <c r="DV19" s="617"/>
      <c r="DW19" s="617"/>
      <c r="DX19" s="617"/>
      <c r="DY19" s="617"/>
      <c r="DZ19" s="617"/>
      <c r="EA19" s="617"/>
      <c r="EB19" s="617"/>
      <c r="EC19" s="617"/>
      <c r="ED19" s="617"/>
      <c r="EE19" s="617"/>
      <c r="EF19" s="617"/>
      <c r="EG19" s="617"/>
      <c r="EH19" s="617"/>
      <c r="EI19" s="617"/>
      <c r="EJ19" s="617"/>
      <c r="EK19" s="617"/>
      <c r="EL19" s="615" t="s">
        <v>833</v>
      </c>
      <c r="EM19" s="615" t="s">
        <v>833</v>
      </c>
      <c r="EN19" s="615" t="s">
        <v>833</v>
      </c>
      <c r="EO19" s="615" t="s">
        <v>833</v>
      </c>
      <c r="EP19" s="615" t="s">
        <v>833</v>
      </c>
      <c r="EQ19" s="615" t="s">
        <v>833</v>
      </c>
      <c r="ER19" s="615" t="s">
        <v>833</v>
      </c>
      <c r="ES19" s="615" t="s">
        <v>833</v>
      </c>
      <c r="ET19" s="615" t="s">
        <v>833</v>
      </c>
      <c r="EU19" s="615" t="s">
        <v>833</v>
      </c>
      <c r="EV19" s="615" t="s">
        <v>833</v>
      </c>
      <c r="EW19" s="615" t="s">
        <v>833</v>
      </c>
      <c r="EX19" s="615">
        <v>3670</v>
      </c>
      <c r="EY19" s="615">
        <v>3820</v>
      </c>
      <c r="EZ19" s="615" t="s">
        <v>1206</v>
      </c>
      <c r="FA19" s="615" t="s">
        <v>1206</v>
      </c>
      <c r="FB19" s="615" t="s">
        <v>1206</v>
      </c>
      <c r="FC19" s="615" t="s">
        <v>1206</v>
      </c>
      <c r="FD19" s="615" t="s">
        <v>1206</v>
      </c>
      <c r="FE19" s="615" t="s">
        <v>1206</v>
      </c>
      <c r="FF19" s="615" t="s">
        <v>1206</v>
      </c>
      <c r="FG19" s="615" t="s">
        <v>1206</v>
      </c>
      <c r="FH19" s="615" t="s">
        <v>1206</v>
      </c>
      <c r="FI19" s="615" t="s">
        <v>1206</v>
      </c>
      <c r="FJ19" s="615" t="s">
        <v>1206</v>
      </c>
      <c r="FK19" s="615" t="s">
        <v>1206</v>
      </c>
      <c r="FL19" s="615">
        <v>40</v>
      </c>
      <c r="FM19" s="615">
        <v>39</v>
      </c>
      <c r="FN19" s="615">
        <v>39</v>
      </c>
      <c r="FO19" s="615">
        <v>39</v>
      </c>
      <c r="FP19" s="615">
        <v>39</v>
      </c>
      <c r="FQ19" s="615">
        <v>39</v>
      </c>
      <c r="FR19" s="615">
        <v>39</v>
      </c>
      <c r="FS19" s="615">
        <v>38</v>
      </c>
      <c r="FT19" s="615">
        <v>38</v>
      </c>
      <c r="FU19" s="615">
        <v>39</v>
      </c>
      <c r="FV19" s="615">
        <v>13</v>
      </c>
      <c r="FW19" s="615">
        <v>14</v>
      </c>
      <c r="FX19" s="615">
        <v>14</v>
      </c>
      <c r="FY19" s="615">
        <v>14</v>
      </c>
      <c r="FZ19" s="615">
        <v>14</v>
      </c>
      <c r="GA19" s="615">
        <v>14</v>
      </c>
      <c r="GB19" s="615">
        <v>14</v>
      </c>
      <c r="GC19" s="615">
        <v>14</v>
      </c>
      <c r="GD19" s="615">
        <v>14</v>
      </c>
      <c r="GE19" s="615">
        <v>13</v>
      </c>
      <c r="GF19" s="615">
        <v>18350</v>
      </c>
      <c r="GG19" s="615" t="s">
        <v>1206</v>
      </c>
      <c r="GH19" s="615" t="s">
        <v>1206</v>
      </c>
      <c r="GI19" s="615" t="s">
        <v>1206</v>
      </c>
      <c r="GJ19" s="615" t="s">
        <v>1206</v>
      </c>
      <c r="GK19" s="615" t="s">
        <v>1206</v>
      </c>
      <c r="GL19" s="615" t="s">
        <v>1206</v>
      </c>
      <c r="GM19" s="615" t="s">
        <v>1206</v>
      </c>
      <c r="GN19" s="615" t="s">
        <v>1206</v>
      </c>
      <c r="GO19" s="615" t="s">
        <v>1206</v>
      </c>
      <c r="GP19" s="615" t="s">
        <v>1206</v>
      </c>
      <c r="GQ19" s="615" t="s">
        <v>1206</v>
      </c>
      <c r="GR19" s="615" t="s">
        <v>1206</v>
      </c>
      <c r="GS19" s="615">
        <v>0</v>
      </c>
      <c r="GT19" s="615">
        <v>0</v>
      </c>
      <c r="GU19" s="615">
        <v>0</v>
      </c>
      <c r="GV19" s="615">
        <v>0</v>
      </c>
      <c r="GW19" s="615">
        <v>0</v>
      </c>
      <c r="GX19" s="615">
        <v>0</v>
      </c>
      <c r="GY19" s="615">
        <v>0</v>
      </c>
      <c r="GZ19" s="615">
        <v>0</v>
      </c>
      <c r="HA19" s="615">
        <v>0</v>
      </c>
      <c r="HB19" s="615">
        <v>0</v>
      </c>
      <c r="HC19" s="615" t="s">
        <v>629</v>
      </c>
      <c r="HD19" s="615" t="s">
        <v>629</v>
      </c>
      <c r="HE19" s="615" t="s">
        <v>629</v>
      </c>
      <c r="HF19" s="615" t="s">
        <v>629</v>
      </c>
      <c r="HG19" s="615" t="s">
        <v>629</v>
      </c>
      <c r="HH19" s="615" t="s">
        <v>629</v>
      </c>
      <c r="HI19" s="615" t="s">
        <v>629</v>
      </c>
      <c r="HJ19" s="615" t="s">
        <v>629</v>
      </c>
      <c r="HK19" s="615" t="s">
        <v>629</v>
      </c>
      <c r="HL19" s="615" t="s">
        <v>629</v>
      </c>
      <c r="HM19" s="615" t="s">
        <v>629</v>
      </c>
      <c r="HN19" s="615" t="s">
        <v>629</v>
      </c>
      <c r="HO19" s="611" t="str">
        <f t="shared" si="1"/>
        <v/>
      </c>
      <c r="HP19" s="611" t="str">
        <f t="shared" si="2"/>
        <v/>
      </c>
      <c r="HQ19" s="611" t="str">
        <f t="shared" si="3"/>
        <v/>
      </c>
      <c r="HR19" s="611" t="str">
        <f t="shared" si="4"/>
        <v/>
      </c>
      <c r="HS19" s="611" t="str">
        <f t="shared" si="5"/>
        <v/>
      </c>
      <c r="HT19" s="611" t="str">
        <f t="shared" si="6"/>
        <v/>
      </c>
      <c r="HU19" s="611" t="str">
        <f t="shared" si="7"/>
        <v/>
      </c>
      <c r="HV19" s="611" t="str">
        <f t="shared" si="8"/>
        <v/>
      </c>
      <c r="HW19" s="611" t="str">
        <f t="shared" si="9"/>
        <v/>
      </c>
      <c r="HX19" s="611" t="str">
        <f t="shared" si="10"/>
        <v/>
      </c>
      <c r="HY19" s="611" t="str">
        <f t="shared" si="11"/>
        <v/>
      </c>
      <c r="HZ19" s="611" t="str">
        <f t="shared" si="12"/>
        <v/>
      </c>
      <c r="IA19" s="619" t="s">
        <v>1298</v>
      </c>
    </row>
    <row r="20" spans="2:235">
      <c r="B20" s="594">
        <v>16</v>
      </c>
      <c r="C20" s="594">
        <v>216</v>
      </c>
      <c r="D20" s="611" t="s">
        <v>378</v>
      </c>
      <c r="E20" s="612" t="s">
        <v>13</v>
      </c>
      <c r="F20" s="612">
        <v>100</v>
      </c>
      <c r="G20" s="612">
        <v>80</v>
      </c>
      <c r="H20" s="612">
        <v>20</v>
      </c>
      <c r="I20" s="612">
        <v>0</v>
      </c>
      <c r="J20" s="612"/>
      <c r="K20" s="612"/>
      <c r="L20" s="612"/>
      <c r="M20" s="612"/>
      <c r="N20" s="612"/>
      <c r="O20" s="612"/>
      <c r="P20" s="612"/>
      <c r="Q20" s="612"/>
      <c r="R20" s="612"/>
      <c r="S20" s="612"/>
      <c r="T20" s="612"/>
      <c r="U20" s="612"/>
      <c r="V20" s="612"/>
      <c r="W20" s="612"/>
      <c r="X20" s="612"/>
      <c r="Y20" s="612"/>
      <c r="Z20" s="612"/>
      <c r="AA20" s="612"/>
      <c r="AB20" s="612"/>
      <c r="AC20" s="612"/>
      <c r="AD20" s="612"/>
      <c r="AE20" s="612"/>
      <c r="AF20" s="612"/>
      <c r="AG20" s="612"/>
      <c r="AH20" s="612"/>
      <c r="AI20" s="612"/>
      <c r="AJ20" s="612"/>
      <c r="AK20" s="612"/>
      <c r="AL20" s="612"/>
      <c r="AM20" s="613"/>
      <c r="AN20" s="613"/>
      <c r="AO20" s="613"/>
      <c r="AP20" s="614"/>
      <c r="AQ20" s="612" t="s">
        <v>11</v>
      </c>
      <c r="AR20" s="615" t="s">
        <v>629</v>
      </c>
      <c r="AS20" s="615" t="s">
        <v>629</v>
      </c>
      <c r="AT20" s="615" t="s">
        <v>629</v>
      </c>
      <c r="AU20" s="615" t="s">
        <v>629</v>
      </c>
      <c r="AV20" s="615" t="s">
        <v>629</v>
      </c>
      <c r="AW20" s="615" t="s">
        <v>629</v>
      </c>
      <c r="AX20" s="615" t="s">
        <v>629</v>
      </c>
      <c r="AY20" s="615" t="s">
        <v>629</v>
      </c>
      <c r="AZ20" s="615" t="s">
        <v>629</v>
      </c>
      <c r="BA20" s="615" t="s">
        <v>629</v>
      </c>
      <c r="BB20" s="615" t="s">
        <v>629</v>
      </c>
      <c r="BC20" s="615" t="s">
        <v>629</v>
      </c>
      <c r="BD20" s="615" t="s">
        <v>629</v>
      </c>
      <c r="BE20" s="615" t="s">
        <v>629</v>
      </c>
      <c r="BF20" s="615" t="s">
        <v>629</v>
      </c>
      <c r="BG20" s="615" t="s">
        <v>629</v>
      </c>
      <c r="BH20" s="615" t="s">
        <v>629</v>
      </c>
      <c r="BI20" s="615" t="s">
        <v>629</v>
      </c>
      <c r="BJ20" s="615" t="s">
        <v>629</v>
      </c>
      <c r="BK20" s="615" t="s">
        <v>629</v>
      </c>
      <c r="BL20" s="615" t="s">
        <v>629</v>
      </c>
      <c r="BM20" s="615" t="s">
        <v>629</v>
      </c>
      <c r="BN20" s="615" t="s">
        <v>629</v>
      </c>
      <c r="BO20" s="615" t="s">
        <v>629</v>
      </c>
      <c r="BP20" s="615">
        <v>0</v>
      </c>
      <c r="BQ20" s="615">
        <v>0</v>
      </c>
      <c r="BR20" s="615">
        <v>0</v>
      </c>
      <c r="BS20" s="615">
        <v>0</v>
      </c>
      <c r="BT20" s="615">
        <v>0</v>
      </c>
      <c r="BU20" s="615">
        <v>0</v>
      </c>
      <c r="BV20" s="615">
        <v>0</v>
      </c>
      <c r="BW20" s="615">
        <v>0</v>
      </c>
      <c r="BX20" s="615">
        <v>0</v>
      </c>
      <c r="BY20" s="615">
        <v>0</v>
      </c>
      <c r="BZ20" s="615">
        <v>0</v>
      </c>
      <c r="CA20" s="615">
        <v>0</v>
      </c>
      <c r="CB20" s="615">
        <v>0</v>
      </c>
      <c r="CC20" s="615">
        <v>0</v>
      </c>
      <c r="CD20" s="615">
        <v>0</v>
      </c>
      <c r="CE20" s="615">
        <v>0</v>
      </c>
      <c r="CF20" s="615">
        <v>0</v>
      </c>
      <c r="CG20" s="615">
        <v>0</v>
      </c>
      <c r="CH20" s="615">
        <v>0</v>
      </c>
      <c r="CI20" s="615">
        <v>0</v>
      </c>
      <c r="CJ20" s="615">
        <v>0</v>
      </c>
      <c r="CK20" s="615">
        <v>0</v>
      </c>
      <c r="CL20" s="615">
        <v>0</v>
      </c>
      <c r="CM20" s="615">
        <v>0</v>
      </c>
      <c r="CN20" s="615">
        <v>0</v>
      </c>
      <c r="CO20" s="615">
        <v>0</v>
      </c>
      <c r="CP20" s="615">
        <v>0</v>
      </c>
      <c r="CQ20" s="615">
        <v>0</v>
      </c>
      <c r="CR20" s="615">
        <v>0</v>
      </c>
      <c r="CS20" s="615">
        <v>0</v>
      </c>
      <c r="CT20" s="615">
        <v>0</v>
      </c>
      <c r="CU20" s="615">
        <v>0</v>
      </c>
      <c r="CV20" s="615">
        <v>0</v>
      </c>
      <c r="CW20" s="615">
        <v>0</v>
      </c>
      <c r="CX20" s="615">
        <v>0</v>
      </c>
      <c r="CY20" s="615">
        <v>0</v>
      </c>
      <c r="CZ20" s="615" t="s">
        <v>1049</v>
      </c>
      <c r="DA20" s="615">
        <v>1</v>
      </c>
      <c r="DB20" s="617"/>
      <c r="DC20" s="617"/>
      <c r="DD20" s="617"/>
      <c r="DE20" s="617"/>
      <c r="DF20" s="617"/>
      <c r="DG20" s="617"/>
      <c r="DH20" s="617"/>
      <c r="DI20" s="617"/>
      <c r="DJ20" s="617"/>
      <c r="DK20" s="617"/>
      <c r="DL20" s="617"/>
      <c r="DM20" s="617"/>
      <c r="DN20" s="617"/>
      <c r="DO20" s="617"/>
      <c r="DP20" s="617"/>
      <c r="DQ20" s="617"/>
      <c r="DR20" s="617"/>
      <c r="DS20" s="617"/>
      <c r="DT20" s="617"/>
      <c r="DU20" s="617"/>
      <c r="DV20" s="617"/>
      <c r="DW20" s="617"/>
      <c r="DX20" s="617"/>
      <c r="DY20" s="617"/>
      <c r="DZ20" s="617"/>
      <c r="EA20" s="617"/>
      <c r="EB20" s="617"/>
      <c r="EC20" s="617"/>
      <c r="ED20" s="617"/>
      <c r="EE20" s="617"/>
      <c r="EF20" s="617"/>
      <c r="EG20" s="617"/>
      <c r="EH20" s="617"/>
      <c r="EI20" s="617"/>
      <c r="EJ20" s="617"/>
      <c r="EK20" s="617"/>
      <c r="EL20" s="615" t="s">
        <v>833</v>
      </c>
      <c r="EM20" s="615" t="s">
        <v>833</v>
      </c>
      <c r="EN20" s="615" t="s">
        <v>833</v>
      </c>
      <c r="EO20" s="615" t="s">
        <v>833</v>
      </c>
      <c r="EP20" s="615" t="s">
        <v>833</v>
      </c>
      <c r="EQ20" s="615" t="s">
        <v>833</v>
      </c>
      <c r="ER20" s="615" t="s">
        <v>833</v>
      </c>
      <c r="ES20" s="615" t="s">
        <v>833</v>
      </c>
      <c r="ET20" s="615" t="s">
        <v>833</v>
      </c>
      <c r="EU20" s="615" t="s">
        <v>833</v>
      </c>
      <c r="EV20" s="615" t="s">
        <v>833</v>
      </c>
      <c r="EW20" s="615" t="s">
        <v>833</v>
      </c>
      <c r="EX20" s="615">
        <v>3670</v>
      </c>
      <c r="EY20" s="615">
        <v>3820</v>
      </c>
      <c r="EZ20" s="615" t="s">
        <v>1206</v>
      </c>
      <c r="FA20" s="615" t="s">
        <v>1206</v>
      </c>
      <c r="FB20" s="615" t="s">
        <v>1206</v>
      </c>
      <c r="FC20" s="615" t="s">
        <v>1206</v>
      </c>
      <c r="FD20" s="615" t="s">
        <v>1206</v>
      </c>
      <c r="FE20" s="615" t="s">
        <v>1206</v>
      </c>
      <c r="FF20" s="615" t="s">
        <v>1206</v>
      </c>
      <c r="FG20" s="615" t="s">
        <v>1206</v>
      </c>
      <c r="FH20" s="615" t="s">
        <v>1206</v>
      </c>
      <c r="FI20" s="615" t="s">
        <v>1206</v>
      </c>
      <c r="FJ20" s="615" t="s">
        <v>1206</v>
      </c>
      <c r="FK20" s="615" t="s">
        <v>1206</v>
      </c>
      <c r="FL20" s="615">
        <v>32</v>
      </c>
      <c r="FM20" s="615">
        <v>32</v>
      </c>
      <c r="FN20" s="615">
        <v>32</v>
      </c>
      <c r="FO20" s="615">
        <v>32</v>
      </c>
      <c r="FP20" s="615">
        <v>32</v>
      </c>
      <c r="FQ20" s="615">
        <v>32</v>
      </c>
      <c r="FR20" s="615">
        <v>33</v>
      </c>
      <c r="FS20" s="615">
        <v>33</v>
      </c>
      <c r="FT20" s="615">
        <v>34</v>
      </c>
      <c r="FU20" s="615">
        <v>34</v>
      </c>
      <c r="FV20" s="615">
        <v>16</v>
      </c>
      <c r="FW20" s="615">
        <v>16</v>
      </c>
      <c r="FX20" s="615">
        <v>16</v>
      </c>
      <c r="FY20" s="615">
        <v>16</v>
      </c>
      <c r="FZ20" s="615">
        <v>16</v>
      </c>
      <c r="GA20" s="615">
        <v>16</v>
      </c>
      <c r="GB20" s="615">
        <v>15</v>
      </c>
      <c r="GC20" s="615">
        <v>15</v>
      </c>
      <c r="GD20" s="615">
        <v>15</v>
      </c>
      <c r="GE20" s="615">
        <v>15</v>
      </c>
      <c r="GF20" s="615">
        <v>18350</v>
      </c>
      <c r="GG20" s="615" t="s">
        <v>1206</v>
      </c>
      <c r="GH20" s="615" t="s">
        <v>1206</v>
      </c>
      <c r="GI20" s="615" t="s">
        <v>1206</v>
      </c>
      <c r="GJ20" s="615" t="s">
        <v>1206</v>
      </c>
      <c r="GK20" s="615" t="s">
        <v>1206</v>
      </c>
      <c r="GL20" s="615" t="s">
        <v>1206</v>
      </c>
      <c r="GM20" s="615" t="s">
        <v>1206</v>
      </c>
      <c r="GN20" s="615" t="s">
        <v>1206</v>
      </c>
      <c r="GO20" s="615" t="s">
        <v>1206</v>
      </c>
      <c r="GP20" s="615" t="s">
        <v>1206</v>
      </c>
      <c r="GQ20" s="615" t="s">
        <v>1206</v>
      </c>
      <c r="GR20" s="615" t="s">
        <v>1206</v>
      </c>
      <c r="GS20" s="615">
        <v>0</v>
      </c>
      <c r="GT20" s="615">
        <v>0</v>
      </c>
      <c r="GU20" s="615">
        <v>0</v>
      </c>
      <c r="GV20" s="615">
        <v>0</v>
      </c>
      <c r="GW20" s="615">
        <v>0</v>
      </c>
      <c r="GX20" s="615">
        <v>0</v>
      </c>
      <c r="GY20" s="615">
        <v>0</v>
      </c>
      <c r="GZ20" s="615">
        <v>0</v>
      </c>
      <c r="HA20" s="615">
        <v>0</v>
      </c>
      <c r="HB20" s="615">
        <v>0</v>
      </c>
      <c r="HC20" s="615" t="s">
        <v>629</v>
      </c>
      <c r="HD20" s="615" t="s">
        <v>629</v>
      </c>
      <c r="HE20" s="615" t="s">
        <v>629</v>
      </c>
      <c r="HF20" s="615" t="s">
        <v>629</v>
      </c>
      <c r="HG20" s="615" t="s">
        <v>629</v>
      </c>
      <c r="HH20" s="615" t="s">
        <v>629</v>
      </c>
      <c r="HI20" s="615" t="s">
        <v>629</v>
      </c>
      <c r="HJ20" s="615" t="s">
        <v>629</v>
      </c>
      <c r="HK20" s="615" t="s">
        <v>629</v>
      </c>
      <c r="HL20" s="615" t="s">
        <v>629</v>
      </c>
      <c r="HM20" s="615" t="s">
        <v>629</v>
      </c>
      <c r="HN20" s="615" t="s">
        <v>629</v>
      </c>
      <c r="HO20" s="611" t="str">
        <f t="shared" si="1"/>
        <v/>
      </c>
      <c r="HP20" s="611" t="str">
        <f t="shared" si="2"/>
        <v/>
      </c>
      <c r="HQ20" s="611" t="str">
        <f t="shared" si="3"/>
        <v/>
      </c>
      <c r="HR20" s="611" t="str">
        <f t="shared" si="4"/>
        <v/>
      </c>
      <c r="HS20" s="611" t="str">
        <f t="shared" si="5"/>
        <v/>
      </c>
      <c r="HT20" s="611" t="str">
        <f t="shared" si="6"/>
        <v/>
      </c>
      <c r="HU20" s="611" t="str">
        <f t="shared" si="7"/>
        <v/>
      </c>
      <c r="HV20" s="611" t="str">
        <f t="shared" si="8"/>
        <v/>
      </c>
      <c r="HW20" s="611" t="str">
        <f t="shared" si="9"/>
        <v/>
      </c>
      <c r="HX20" s="611" t="str">
        <f t="shared" si="10"/>
        <v/>
      </c>
      <c r="HY20" s="611" t="str">
        <f t="shared" si="11"/>
        <v/>
      </c>
      <c r="HZ20" s="611" t="str">
        <f t="shared" si="12"/>
        <v/>
      </c>
      <c r="IA20" s="619" t="s">
        <v>1298</v>
      </c>
    </row>
    <row r="21" spans="2:235">
      <c r="B21" s="594">
        <v>17</v>
      </c>
      <c r="C21" s="594">
        <v>217</v>
      </c>
      <c r="D21" s="611" t="s">
        <v>386</v>
      </c>
      <c r="E21" s="612" t="s">
        <v>13</v>
      </c>
      <c r="F21" s="612">
        <v>120</v>
      </c>
      <c r="G21" s="612">
        <v>60</v>
      </c>
      <c r="H21" s="612">
        <v>40</v>
      </c>
      <c r="I21" s="612">
        <v>20</v>
      </c>
      <c r="J21" s="612"/>
      <c r="K21" s="612"/>
      <c r="L21" s="612"/>
      <c r="M21" s="612"/>
      <c r="N21" s="612"/>
      <c r="O21" s="612"/>
      <c r="P21" s="612"/>
      <c r="Q21" s="612"/>
      <c r="R21" s="612"/>
      <c r="S21" s="612"/>
      <c r="T21" s="612"/>
      <c r="U21" s="612"/>
      <c r="V21" s="612"/>
      <c r="W21" s="612"/>
      <c r="X21" s="612"/>
      <c r="Y21" s="612"/>
      <c r="Z21" s="612"/>
      <c r="AA21" s="612"/>
      <c r="AB21" s="612"/>
      <c r="AC21" s="612"/>
      <c r="AD21" s="612"/>
      <c r="AE21" s="612"/>
      <c r="AF21" s="612"/>
      <c r="AG21" s="612"/>
      <c r="AH21" s="612"/>
      <c r="AI21" s="612"/>
      <c r="AJ21" s="612"/>
      <c r="AK21" s="612"/>
      <c r="AL21" s="612"/>
      <c r="AM21" s="613"/>
      <c r="AN21" s="613"/>
      <c r="AO21" s="613"/>
      <c r="AP21" s="614"/>
      <c r="AQ21" s="612" t="s">
        <v>11</v>
      </c>
      <c r="AR21" s="615" t="s">
        <v>629</v>
      </c>
      <c r="AS21" s="615" t="s">
        <v>629</v>
      </c>
      <c r="AT21" s="615" t="s">
        <v>629</v>
      </c>
      <c r="AU21" s="615" t="s">
        <v>629</v>
      </c>
      <c r="AV21" s="615" t="s">
        <v>629</v>
      </c>
      <c r="AW21" s="615" t="s">
        <v>629</v>
      </c>
      <c r="AX21" s="615" t="s">
        <v>629</v>
      </c>
      <c r="AY21" s="615" t="s">
        <v>629</v>
      </c>
      <c r="AZ21" s="615" t="s">
        <v>629</v>
      </c>
      <c r="BA21" s="615" t="s">
        <v>629</v>
      </c>
      <c r="BB21" s="615" t="s">
        <v>629</v>
      </c>
      <c r="BC21" s="615" t="s">
        <v>629</v>
      </c>
      <c r="BD21" s="615" t="s">
        <v>629</v>
      </c>
      <c r="BE21" s="615" t="s">
        <v>629</v>
      </c>
      <c r="BF21" s="615" t="s">
        <v>629</v>
      </c>
      <c r="BG21" s="615" t="s">
        <v>629</v>
      </c>
      <c r="BH21" s="615" t="s">
        <v>629</v>
      </c>
      <c r="BI21" s="615" t="s">
        <v>629</v>
      </c>
      <c r="BJ21" s="615" t="s">
        <v>629</v>
      </c>
      <c r="BK21" s="615" t="s">
        <v>629</v>
      </c>
      <c r="BL21" s="615" t="s">
        <v>629</v>
      </c>
      <c r="BM21" s="615" t="s">
        <v>629</v>
      </c>
      <c r="BN21" s="615" t="s">
        <v>629</v>
      </c>
      <c r="BO21" s="615" t="s">
        <v>629</v>
      </c>
      <c r="BP21" s="615">
        <v>1</v>
      </c>
      <c r="BQ21" s="615">
        <v>1</v>
      </c>
      <c r="BR21" s="615">
        <v>1</v>
      </c>
      <c r="BS21" s="615">
        <v>1</v>
      </c>
      <c r="BT21" s="615">
        <v>1</v>
      </c>
      <c r="BU21" s="615">
        <v>1</v>
      </c>
      <c r="BV21" s="615">
        <v>1</v>
      </c>
      <c r="BW21" s="615">
        <v>1</v>
      </c>
      <c r="BX21" s="615">
        <v>1</v>
      </c>
      <c r="BY21" s="615">
        <v>1</v>
      </c>
      <c r="BZ21" s="615">
        <v>1</v>
      </c>
      <c r="CA21" s="615">
        <v>1</v>
      </c>
      <c r="CB21" s="615">
        <v>0</v>
      </c>
      <c r="CC21" s="615">
        <v>0</v>
      </c>
      <c r="CD21" s="615">
        <v>0</v>
      </c>
      <c r="CE21" s="615">
        <v>0</v>
      </c>
      <c r="CF21" s="615">
        <v>0</v>
      </c>
      <c r="CG21" s="615">
        <v>0</v>
      </c>
      <c r="CH21" s="615">
        <v>0</v>
      </c>
      <c r="CI21" s="615">
        <v>0</v>
      </c>
      <c r="CJ21" s="615">
        <v>0</v>
      </c>
      <c r="CK21" s="615">
        <v>0</v>
      </c>
      <c r="CL21" s="615">
        <v>0</v>
      </c>
      <c r="CM21" s="615">
        <v>0</v>
      </c>
      <c r="CN21" s="615">
        <v>0</v>
      </c>
      <c r="CO21" s="615">
        <v>0</v>
      </c>
      <c r="CP21" s="615">
        <v>0</v>
      </c>
      <c r="CQ21" s="615">
        <v>0</v>
      </c>
      <c r="CR21" s="615">
        <v>0</v>
      </c>
      <c r="CS21" s="615">
        <v>0</v>
      </c>
      <c r="CT21" s="615">
        <v>0</v>
      </c>
      <c r="CU21" s="615">
        <v>0</v>
      </c>
      <c r="CV21" s="615">
        <v>0</v>
      </c>
      <c r="CW21" s="615">
        <v>0</v>
      </c>
      <c r="CX21" s="615">
        <v>0</v>
      </c>
      <c r="CY21" s="615">
        <v>0</v>
      </c>
      <c r="CZ21" s="615" t="s">
        <v>1049</v>
      </c>
      <c r="DA21" s="615">
        <v>1</v>
      </c>
      <c r="DB21" s="617"/>
      <c r="DC21" s="617"/>
      <c r="DD21" s="617"/>
      <c r="DE21" s="617"/>
      <c r="DF21" s="617"/>
      <c r="DG21" s="617"/>
      <c r="DH21" s="617"/>
      <c r="DI21" s="617"/>
      <c r="DJ21" s="617"/>
      <c r="DK21" s="617"/>
      <c r="DL21" s="617"/>
      <c r="DM21" s="617"/>
      <c r="DN21" s="617"/>
      <c r="DO21" s="617"/>
      <c r="DP21" s="617"/>
      <c r="DQ21" s="617"/>
      <c r="DR21" s="617"/>
      <c r="DS21" s="617"/>
      <c r="DT21" s="617"/>
      <c r="DU21" s="617"/>
      <c r="DV21" s="617"/>
      <c r="DW21" s="617"/>
      <c r="DX21" s="617"/>
      <c r="DY21" s="617"/>
      <c r="DZ21" s="617"/>
      <c r="EA21" s="617"/>
      <c r="EB21" s="617"/>
      <c r="EC21" s="617"/>
      <c r="ED21" s="617"/>
      <c r="EE21" s="617"/>
      <c r="EF21" s="617"/>
      <c r="EG21" s="617"/>
      <c r="EH21" s="617"/>
      <c r="EI21" s="617"/>
      <c r="EJ21" s="617"/>
      <c r="EK21" s="617"/>
      <c r="EL21" s="615" t="s">
        <v>833</v>
      </c>
      <c r="EM21" s="615" t="s">
        <v>833</v>
      </c>
      <c r="EN21" s="615" t="s">
        <v>833</v>
      </c>
      <c r="EO21" s="615" t="s">
        <v>833</v>
      </c>
      <c r="EP21" s="615" t="s">
        <v>833</v>
      </c>
      <c r="EQ21" s="615" t="s">
        <v>833</v>
      </c>
      <c r="ER21" s="615" t="s">
        <v>833</v>
      </c>
      <c r="ES21" s="615" t="s">
        <v>833</v>
      </c>
      <c r="ET21" s="615" t="s">
        <v>833</v>
      </c>
      <c r="EU21" s="615" t="s">
        <v>833</v>
      </c>
      <c r="EV21" s="615" t="s">
        <v>833</v>
      </c>
      <c r="EW21" s="615" t="s">
        <v>833</v>
      </c>
      <c r="EX21" s="615">
        <v>3670</v>
      </c>
      <c r="EY21" s="615">
        <v>3820</v>
      </c>
      <c r="EZ21" s="615" t="s">
        <v>1206</v>
      </c>
      <c r="FA21" s="615" t="s">
        <v>1206</v>
      </c>
      <c r="FB21" s="615" t="s">
        <v>1206</v>
      </c>
      <c r="FC21" s="615" t="s">
        <v>1206</v>
      </c>
      <c r="FD21" s="615" t="s">
        <v>1206</v>
      </c>
      <c r="FE21" s="615" t="s">
        <v>1206</v>
      </c>
      <c r="FF21" s="615" t="s">
        <v>1206</v>
      </c>
      <c r="FG21" s="615" t="s">
        <v>1206</v>
      </c>
      <c r="FH21" s="615" t="s">
        <v>1206</v>
      </c>
      <c r="FI21" s="615" t="s">
        <v>1206</v>
      </c>
      <c r="FJ21" s="615" t="s">
        <v>1206</v>
      </c>
      <c r="FK21" s="615" t="s">
        <v>1206</v>
      </c>
      <c r="FL21" s="615">
        <v>18</v>
      </c>
      <c r="FM21" s="615">
        <v>19</v>
      </c>
      <c r="FN21" s="615">
        <v>19</v>
      </c>
      <c r="FO21" s="615">
        <v>18</v>
      </c>
      <c r="FP21" s="615">
        <v>18</v>
      </c>
      <c r="FQ21" s="615">
        <v>18</v>
      </c>
      <c r="FR21" s="615">
        <v>18</v>
      </c>
      <c r="FS21" s="615">
        <v>17</v>
      </c>
      <c r="FT21" s="615">
        <v>17</v>
      </c>
      <c r="FU21" s="615">
        <v>17</v>
      </c>
      <c r="FV21" s="615">
        <v>32</v>
      </c>
      <c r="FW21" s="615">
        <v>32</v>
      </c>
      <c r="FX21" s="615">
        <v>32</v>
      </c>
      <c r="FY21" s="615">
        <v>32</v>
      </c>
      <c r="FZ21" s="615">
        <v>32</v>
      </c>
      <c r="GA21" s="615">
        <v>31</v>
      </c>
      <c r="GB21" s="615">
        <v>31</v>
      </c>
      <c r="GC21" s="615">
        <v>31</v>
      </c>
      <c r="GD21" s="615">
        <v>31</v>
      </c>
      <c r="GE21" s="615">
        <v>31</v>
      </c>
      <c r="GF21" s="615">
        <v>18350</v>
      </c>
      <c r="GG21" s="615" t="s">
        <v>833</v>
      </c>
      <c r="GH21" s="615" t="s">
        <v>833</v>
      </c>
      <c r="GI21" s="615" t="s">
        <v>833</v>
      </c>
      <c r="GJ21" s="615" t="s">
        <v>833</v>
      </c>
      <c r="GK21" s="615" t="s">
        <v>833</v>
      </c>
      <c r="GL21" s="615" t="s">
        <v>833</v>
      </c>
      <c r="GM21" s="615" t="s">
        <v>833</v>
      </c>
      <c r="GN21" s="615" t="s">
        <v>833</v>
      </c>
      <c r="GO21" s="615" t="s">
        <v>833</v>
      </c>
      <c r="GP21" s="615" t="s">
        <v>833</v>
      </c>
      <c r="GQ21" s="615" t="s">
        <v>833</v>
      </c>
      <c r="GR21" s="615" t="s">
        <v>833</v>
      </c>
      <c r="GS21" s="615">
        <v>8</v>
      </c>
      <c r="GT21" s="615">
        <v>9</v>
      </c>
      <c r="GU21" s="615">
        <v>9</v>
      </c>
      <c r="GV21" s="615">
        <v>9</v>
      </c>
      <c r="GW21" s="615">
        <v>9</v>
      </c>
      <c r="GX21" s="615">
        <v>9</v>
      </c>
      <c r="GY21" s="615">
        <v>9</v>
      </c>
      <c r="GZ21" s="615">
        <v>9</v>
      </c>
      <c r="HA21" s="615">
        <v>9</v>
      </c>
      <c r="HB21" s="615">
        <v>9</v>
      </c>
      <c r="HC21" s="615" t="s">
        <v>1208</v>
      </c>
      <c r="HD21" s="615" t="s">
        <v>1208</v>
      </c>
      <c r="HE21" s="615" t="s">
        <v>1208</v>
      </c>
      <c r="HF21" s="615" t="s">
        <v>1208</v>
      </c>
      <c r="HG21" s="615" t="s">
        <v>1208</v>
      </c>
      <c r="HH21" s="615" t="s">
        <v>1208</v>
      </c>
      <c r="HI21" s="615" t="s">
        <v>1208</v>
      </c>
      <c r="HJ21" s="615" t="s">
        <v>1208</v>
      </c>
      <c r="HK21" s="615" t="s">
        <v>1208</v>
      </c>
      <c r="HL21" s="615" t="s">
        <v>1208</v>
      </c>
      <c r="HM21" s="615" t="s">
        <v>1208</v>
      </c>
      <c r="HN21" s="615" t="s">
        <v>1208</v>
      </c>
      <c r="HO21" s="611" t="str">
        <f t="shared" si="1"/>
        <v/>
      </c>
      <c r="HP21" s="611" t="str">
        <f t="shared" si="2"/>
        <v/>
      </c>
      <c r="HQ21" s="611" t="str">
        <f t="shared" si="3"/>
        <v/>
      </c>
      <c r="HR21" s="611" t="str">
        <f t="shared" si="4"/>
        <v/>
      </c>
      <c r="HS21" s="611" t="str">
        <f t="shared" si="5"/>
        <v/>
      </c>
      <c r="HT21" s="611" t="str">
        <f t="shared" si="6"/>
        <v/>
      </c>
      <c r="HU21" s="611" t="str">
        <f t="shared" si="7"/>
        <v/>
      </c>
      <c r="HV21" s="611" t="str">
        <f t="shared" si="8"/>
        <v/>
      </c>
      <c r="HW21" s="611" t="str">
        <f t="shared" si="9"/>
        <v/>
      </c>
      <c r="HX21" s="611" t="str">
        <f t="shared" si="10"/>
        <v/>
      </c>
      <c r="HY21" s="611" t="str">
        <f t="shared" si="11"/>
        <v/>
      </c>
      <c r="HZ21" s="611" t="str">
        <f t="shared" si="12"/>
        <v/>
      </c>
      <c r="IA21" s="619" t="s">
        <v>1298</v>
      </c>
    </row>
    <row r="22" spans="2:235">
      <c r="B22" s="594">
        <v>18</v>
      </c>
      <c r="C22" s="594">
        <v>218</v>
      </c>
      <c r="D22" s="611" t="s">
        <v>392</v>
      </c>
      <c r="E22" s="612" t="s">
        <v>13</v>
      </c>
      <c r="F22" s="612">
        <v>135</v>
      </c>
      <c r="G22" s="612">
        <v>105</v>
      </c>
      <c r="H22" s="612">
        <v>30</v>
      </c>
      <c r="I22" s="612">
        <v>0</v>
      </c>
      <c r="J22" s="612"/>
      <c r="K22" s="612"/>
      <c r="L22" s="612"/>
      <c r="M22" s="612"/>
      <c r="N22" s="612"/>
      <c r="O22" s="612"/>
      <c r="P22" s="612"/>
      <c r="Q22" s="612"/>
      <c r="R22" s="612"/>
      <c r="S22" s="612"/>
      <c r="T22" s="612"/>
      <c r="U22" s="612"/>
      <c r="V22" s="612"/>
      <c r="W22" s="612"/>
      <c r="X22" s="612"/>
      <c r="Y22" s="612"/>
      <c r="Z22" s="612"/>
      <c r="AA22" s="612"/>
      <c r="AB22" s="612"/>
      <c r="AC22" s="612"/>
      <c r="AD22" s="612"/>
      <c r="AE22" s="612"/>
      <c r="AF22" s="612"/>
      <c r="AG22" s="612"/>
      <c r="AH22" s="612"/>
      <c r="AI22" s="612"/>
      <c r="AJ22" s="612"/>
      <c r="AK22" s="612"/>
      <c r="AL22" s="612"/>
      <c r="AM22" s="613"/>
      <c r="AN22" s="613"/>
      <c r="AO22" s="613"/>
      <c r="AP22" s="614"/>
      <c r="AQ22" s="612" t="s">
        <v>11</v>
      </c>
      <c r="AR22" s="615" t="s">
        <v>629</v>
      </c>
      <c r="AS22" s="615" t="s">
        <v>629</v>
      </c>
      <c r="AT22" s="615" t="s">
        <v>629</v>
      </c>
      <c r="AU22" s="615" t="s">
        <v>629</v>
      </c>
      <c r="AV22" s="615" t="s">
        <v>629</v>
      </c>
      <c r="AW22" s="615" t="s">
        <v>629</v>
      </c>
      <c r="AX22" s="615" t="s">
        <v>629</v>
      </c>
      <c r="AY22" s="615" t="s">
        <v>629</v>
      </c>
      <c r="AZ22" s="615" t="s">
        <v>629</v>
      </c>
      <c r="BA22" s="615" t="s">
        <v>629</v>
      </c>
      <c r="BB22" s="615" t="s">
        <v>629</v>
      </c>
      <c r="BC22" s="615" t="s">
        <v>629</v>
      </c>
      <c r="BD22" s="615" t="s">
        <v>629</v>
      </c>
      <c r="BE22" s="615" t="s">
        <v>629</v>
      </c>
      <c r="BF22" s="615" t="s">
        <v>629</v>
      </c>
      <c r="BG22" s="615" t="s">
        <v>629</v>
      </c>
      <c r="BH22" s="615" t="s">
        <v>629</v>
      </c>
      <c r="BI22" s="615" t="s">
        <v>629</v>
      </c>
      <c r="BJ22" s="615" t="s">
        <v>629</v>
      </c>
      <c r="BK22" s="615" t="s">
        <v>629</v>
      </c>
      <c r="BL22" s="615" t="s">
        <v>629</v>
      </c>
      <c r="BM22" s="615" t="s">
        <v>629</v>
      </c>
      <c r="BN22" s="615" t="s">
        <v>629</v>
      </c>
      <c r="BO22" s="615" t="s">
        <v>629</v>
      </c>
      <c r="BP22" s="615">
        <v>0</v>
      </c>
      <c r="BQ22" s="615">
        <v>0</v>
      </c>
      <c r="BR22" s="615">
        <v>0</v>
      </c>
      <c r="BS22" s="615">
        <v>0</v>
      </c>
      <c r="BT22" s="615">
        <v>0</v>
      </c>
      <c r="BU22" s="615">
        <v>0</v>
      </c>
      <c r="BV22" s="615">
        <v>0</v>
      </c>
      <c r="BW22" s="615">
        <v>0</v>
      </c>
      <c r="BX22" s="615">
        <v>0</v>
      </c>
      <c r="BY22" s="615">
        <v>0</v>
      </c>
      <c r="BZ22" s="615">
        <v>0</v>
      </c>
      <c r="CA22" s="615">
        <v>0</v>
      </c>
      <c r="CB22" s="615">
        <v>0</v>
      </c>
      <c r="CC22" s="615">
        <v>0</v>
      </c>
      <c r="CD22" s="615">
        <v>0</v>
      </c>
      <c r="CE22" s="615">
        <v>0</v>
      </c>
      <c r="CF22" s="615">
        <v>0</v>
      </c>
      <c r="CG22" s="615">
        <v>0</v>
      </c>
      <c r="CH22" s="615">
        <v>0</v>
      </c>
      <c r="CI22" s="615">
        <v>0</v>
      </c>
      <c r="CJ22" s="615">
        <v>0</v>
      </c>
      <c r="CK22" s="615">
        <v>0</v>
      </c>
      <c r="CL22" s="615">
        <v>0</v>
      </c>
      <c r="CM22" s="615">
        <v>0</v>
      </c>
      <c r="CN22" s="615">
        <v>0</v>
      </c>
      <c r="CO22" s="615">
        <v>0</v>
      </c>
      <c r="CP22" s="615">
        <v>0</v>
      </c>
      <c r="CQ22" s="615">
        <v>0</v>
      </c>
      <c r="CR22" s="615">
        <v>0</v>
      </c>
      <c r="CS22" s="615">
        <v>0</v>
      </c>
      <c r="CT22" s="615">
        <v>0</v>
      </c>
      <c r="CU22" s="615">
        <v>0</v>
      </c>
      <c r="CV22" s="615">
        <v>0</v>
      </c>
      <c r="CW22" s="615">
        <v>0</v>
      </c>
      <c r="CX22" s="615">
        <v>0</v>
      </c>
      <c r="CY22" s="615">
        <v>0</v>
      </c>
      <c r="CZ22" s="615" t="s">
        <v>1049</v>
      </c>
      <c r="DA22" s="615">
        <v>0</v>
      </c>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7"/>
      <c r="ED22" s="617"/>
      <c r="EE22" s="617"/>
      <c r="EF22" s="617"/>
      <c r="EG22" s="617"/>
      <c r="EH22" s="617"/>
      <c r="EI22" s="617"/>
      <c r="EJ22" s="617"/>
      <c r="EK22" s="617"/>
      <c r="EL22" s="615" t="s">
        <v>833</v>
      </c>
      <c r="EM22" s="615" t="s">
        <v>833</v>
      </c>
      <c r="EN22" s="615" t="s">
        <v>833</v>
      </c>
      <c r="EO22" s="615" t="s">
        <v>833</v>
      </c>
      <c r="EP22" s="615" t="s">
        <v>833</v>
      </c>
      <c r="EQ22" s="615" t="s">
        <v>833</v>
      </c>
      <c r="ER22" s="615" t="s">
        <v>833</v>
      </c>
      <c r="ES22" s="615" t="s">
        <v>833</v>
      </c>
      <c r="ET22" s="615" t="s">
        <v>833</v>
      </c>
      <c r="EU22" s="615" t="s">
        <v>833</v>
      </c>
      <c r="EV22" s="615" t="s">
        <v>833</v>
      </c>
      <c r="EW22" s="615" t="s">
        <v>833</v>
      </c>
      <c r="EX22" s="615">
        <v>3670</v>
      </c>
      <c r="EY22" s="615">
        <v>3820</v>
      </c>
      <c r="EZ22" s="615" t="s">
        <v>1206</v>
      </c>
      <c r="FA22" s="615" t="s">
        <v>1206</v>
      </c>
      <c r="FB22" s="615" t="s">
        <v>1206</v>
      </c>
      <c r="FC22" s="615" t="s">
        <v>1206</v>
      </c>
      <c r="FD22" s="615" t="s">
        <v>1206</v>
      </c>
      <c r="FE22" s="615" t="s">
        <v>1206</v>
      </c>
      <c r="FF22" s="615" t="s">
        <v>1206</v>
      </c>
      <c r="FG22" s="615" t="s">
        <v>1206</v>
      </c>
      <c r="FH22" s="615" t="s">
        <v>1206</v>
      </c>
      <c r="FI22" s="615" t="s">
        <v>1206</v>
      </c>
      <c r="FJ22" s="615" t="s">
        <v>1206</v>
      </c>
      <c r="FK22" s="615" t="s">
        <v>1206</v>
      </c>
      <c r="FL22" s="615">
        <v>70</v>
      </c>
      <c r="FM22" s="615">
        <v>70</v>
      </c>
      <c r="FN22" s="615">
        <v>69</v>
      </c>
      <c r="FO22" s="615">
        <v>70</v>
      </c>
      <c r="FP22" s="615">
        <v>70</v>
      </c>
      <c r="FQ22" s="615">
        <v>71</v>
      </c>
      <c r="FR22" s="615">
        <v>71</v>
      </c>
      <c r="FS22" s="615">
        <v>71</v>
      </c>
      <c r="FT22" s="615">
        <v>70</v>
      </c>
      <c r="FU22" s="615">
        <v>70</v>
      </c>
      <c r="FV22" s="615">
        <v>17</v>
      </c>
      <c r="FW22" s="615">
        <v>17</v>
      </c>
      <c r="FX22" s="615">
        <v>18</v>
      </c>
      <c r="FY22" s="615">
        <v>18</v>
      </c>
      <c r="FZ22" s="615">
        <v>18</v>
      </c>
      <c r="GA22" s="615">
        <v>18</v>
      </c>
      <c r="GB22" s="615">
        <v>18</v>
      </c>
      <c r="GC22" s="615">
        <v>18</v>
      </c>
      <c r="GD22" s="615">
        <v>18</v>
      </c>
      <c r="GE22" s="615">
        <v>18</v>
      </c>
      <c r="GF22" s="615">
        <v>18350</v>
      </c>
      <c r="GG22" s="615" t="s">
        <v>1206</v>
      </c>
      <c r="GH22" s="615" t="s">
        <v>1206</v>
      </c>
      <c r="GI22" s="615" t="s">
        <v>1206</v>
      </c>
      <c r="GJ22" s="615" t="s">
        <v>1206</v>
      </c>
      <c r="GK22" s="615" t="s">
        <v>1206</v>
      </c>
      <c r="GL22" s="615" t="s">
        <v>1206</v>
      </c>
      <c r="GM22" s="615" t="s">
        <v>1206</v>
      </c>
      <c r="GN22" s="615" t="s">
        <v>1206</v>
      </c>
      <c r="GO22" s="615" t="s">
        <v>1206</v>
      </c>
      <c r="GP22" s="615" t="s">
        <v>1206</v>
      </c>
      <c r="GQ22" s="615" t="s">
        <v>1206</v>
      </c>
      <c r="GR22" s="615" t="s">
        <v>1206</v>
      </c>
      <c r="GS22" s="615">
        <v>0</v>
      </c>
      <c r="GT22" s="615">
        <v>0</v>
      </c>
      <c r="GU22" s="615">
        <v>0</v>
      </c>
      <c r="GV22" s="615">
        <v>0</v>
      </c>
      <c r="GW22" s="615">
        <v>0</v>
      </c>
      <c r="GX22" s="615">
        <v>0</v>
      </c>
      <c r="GY22" s="615">
        <v>0</v>
      </c>
      <c r="GZ22" s="615">
        <v>0</v>
      </c>
      <c r="HA22" s="615">
        <v>0</v>
      </c>
      <c r="HB22" s="615">
        <v>0</v>
      </c>
      <c r="HC22" s="615" t="s">
        <v>1208</v>
      </c>
      <c r="HD22" s="615" t="s">
        <v>1208</v>
      </c>
      <c r="HE22" s="615" t="s">
        <v>1208</v>
      </c>
      <c r="HF22" s="615" t="s">
        <v>1208</v>
      </c>
      <c r="HG22" s="615" t="s">
        <v>1208</v>
      </c>
      <c r="HH22" s="615" t="s">
        <v>1208</v>
      </c>
      <c r="HI22" s="615" t="s">
        <v>1208</v>
      </c>
      <c r="HJ22" s="615" t="s">
        <v>1208</v>
      </c>
      <c r="HK22" s="615" t="s">
        <v>1208</v>
      </c>
      <c r="HL22" s="615" t="s">
        <v>1208</v>
      </c>
      <c r="HM22" s="615" t="s">
        <v>1208</v>
      </c>
      <c r="HN22" s="615" t="s">
        <v>1208</v>
      </c>
      <c r="HO22" s="611" t="str">
        <f t="shared" si="1"/>
        <v/>
      </c>
      <c r="HP22" s="611" t="str">
        <f t="shared" si="2"/>
        <v/>
      </c>
      <c r="HQ22" s="611" t="str">
        <f t="shared" si="3"/>
        <v/>
      </c>
      <c r="HR22" s="611" t="str">
        <f t="shared" si="4"/>
        <v/>
      </c>
      <c r="HS22" s="611" t="str">
        <f t="shared" si="5"/>
        <v/>
      </c>
      <c r="HT22" s="611" t="str">
        <f t="shared" si="6"/>
        <v/>
      </c>
      <c r="HU22" s="611" t="str">
        <f t="shared" si="7"/>
        <v/>
      </c>
      <c r="HV22" s="611" t="str">
        <f t="shared" si="8"/>
        <v/>
      </c>
      <c r="HW22" s="611" t="str">
        <f t="shared" si="9"/>
        <v/>
      </c>
      <c r="HX22" s="611" t="str">
        <f t="shared" si="10"/>
        <v/>
      </c>
      <c r="HY22" s="611" t="str">
        <f t="shared" si="11"/>
        <v/>
      </c>
      <c r="HZ22" s="611" t="str">
        <f t="shared" si="12"/>
        <v/>
      </c>
      <c r="IA22" s="619" t="s">
        <v>1298</v>
      </c>
    </row>
    <row r="23" spans="2:235">
      <c r="B23" s="594">
        <v>19</v>
      </c>
      <c r="C23" s="594">
        <v>219</v>
      </c>
      <c r="D23" s="611" t="s">
        <v>397</v>
      </c>
      <c r="E23" s="612" t="s">
        <v>13</v>
      </c>
      <c r="F23" s="612">
        <v>120</v>
      </c>
      <c r="G23" s="612">
        <v>80</v>
      </c>
      <c r="H23" s="612">
        <v>40</v>
      </c>
      <c r="I23" s="612">
        <v>0</v>
      </c>
      <c r="J23" s="612"/>
      <c r="K23" s="612"/>
      <c r="L23" s="612"/>
      <c r="M23" s="612"/>
      <c r="N23" s="612"/>
      <c r="O23" s="612"/>
      <c r="P23" s="612"/>
      <c r="Q23" s="612"/>
      <c r="R23" s="612"/>
      <c r="S23" s="612"/>
      <c r="T23" s="612"/>
      <c r="U23" s="612"/>
      <c r="V23" s="612"/>
      <c r="W23" s="612"/>
      <c r="X23" s="612"/>
      <c r="Y23" s="612"/>
      <c r="Z23" s="612"/>
      <c r="AA23" s="612"/>
      <c r="AB23" s="612"/>
      <c r="AC23" s="612"/>
      <c r="AD23" s="612"/>
      <c r="AE23" s="612"/>
      <c r="AF23" s="612"/>
      <c r="AG23" s="612"/>
      <c r="AH23" s="612"/>
      <c r="AI23" s="612"/>
      <c r="AJ23" s="612"/>
      <c r="AK23" s="612"/>
      <c r="AL23" s="612"/>
      <c r="AM23" s="613"/>
      <c r="AN23" s="613"/>
      <c r="AO23" s="613"/>
      <c r="AP23" s="614"/>
      <c r="AQ23" s="612" t="s">
        <v>11</v>
      </c>
      <c r="AR23" s="615" t="s">
        <v>629</v>
      </c>
      <c r="AS23" s="615" t="s">
        <v>629</v>
      </c>
      <c r="AT23" s="615" t="s">
        <v>629</v>
      </c>
      <c r="AU23" s="615" t="s">
        <v>629</v>
      </c>
      <c r="AV23" s="615" t="s">
        <v>629</v>
      </c>
      <c r="AW23" s="615" t="s">
        <v>629</v>
      </c>
      <c r="AX23" s="615" t="s">
        <v>629</v>
      </c>
      <c r="AY23" s="615" t="s">
        <v>629</v>
      </c>
      <c r="AZ23" s="615" t="s">
        <v>629</v>
      </c>
      <c r="BA23" s="615" t="s">
        <v>629</v>
      </c>
      <c r="BB23" s="615" t="s">
        <v>629</v>
      </c>
      <c r="BC23" s="615" t="s">
        <v>629</v>
      </c>
      <c r="BD23" s="615" t="s">
        <v>629</v>
      </c>
      <c r="BE23" s="615" t="s">
        <v>629</v>
      </c>
      <c r="BF23" s="615" t="s">
        <v>629</v>
      </c>
      <c r="BG23" s="615" t="s">
        <v>629</v>
      </c>
      <c r="BH23" s="615" t="s">
        <v>629</v>
      </c>
      <c r="BI23" s="615" t="s">
        <v>629</v>
      </c>
      <c r="BJ23" s="615" t="s">
        <v>629</v>
      </c>
      <c r="BK23" s="615" t="s">
        <v>629</v>
      </c>
      <c r="BL23" s="615" t="s">
        <v>629</v>
      </c>
      <c r="BM23" s="615" t="s">
        <v>629</v>
      </c>
      <c r="BN23" s="615" t="s">
        <v>629</v>
      </c>
      <c r="BO23" s="615" t="s">
        <v>629</v>
      </c>
      <c r="BP23" s="615">
        <v>0</v>
      </c>
      <c r="BQ23" s="615">
        <v>0</v>
      </c>
      <c r="BR23" s="615">
        <v>0</v>
      </c>
      <c r="BS23" s="615">
        <v>0</v>
      </c>
      <c r="BT23" s="615">
        <v>0</v>
      </c>
      <c r="BU23" s="615">
        <v>0</v>
      </c>
      <c r="BV23" s="615">
        <v>0</v>
      </c>
      <c r="BW23" s="615">
        <v>0</v>
      </c>
      <c r="BX23" s="615">
        <v>0</v>
      </c>
      <c r="BY23" s="615">
        <v>0</v>
      </c>
      <c r="BZ23" s="615">
        <v>0</v>
      </c>
      <c r="CA23" s="615">
        <v>0</v>
      </c>
      <c r="CB23" s="615">
        <v>0</v>
      </c>
      <c r="CC23" s="615">
        <v>0</v>
      </c>
      <c r="CD23" s="615">
        <v>0</v>
      </c>
      <c r="CE23" s="615">
        <v>0</v>
      </c>
      <c r="CF23" s="615">
        <v>0</v>
      </c>
      <c r="CG23" s="615">
        <v>0</v>
      </c>
      <c r="CH23" s="615">
        <v>0</v>
      </c>
      <c r="CI23" s="615">
        <v>0</v>
      </c>
      <c r="CJ23" s="615">
        <v>0</v>
      </c>
      <c r="CK23" s="615">
        <v>0</v>
      </c>
      <c r="CL23" s="615">
        <v>0</v>
      </c>
      <c r="CM23" s="615">
        <v>0</v>
      </c>
      <c r="CN23" s="615">
        <v>0</v>
      </c>
      <c r="CO23" s="615">
        <v>0</v>
      </c>
      <c r="CP23" s="615">
        <v>0</v>
      </c>
      <c r="CQ23" s="615">
        <v>0</v>
      </c>
      <c r="CR23" s="615">
        <v>0</v>
      </c>
      <c r="CS23" s="615">
        <v>0</v>
      </c>
      <c r="CT23" s="615">
        <v>0</v>
      </c>
      <c r="CU23" s="615">
        <v>0</v>
      </c>
      <c r="CV23" s="615">
        <v>0</v>
      </c>
      <c r="CW23" s="615">
        <v>0</v>
      </c>
      <c r="CX23" s="615">
        <v>0</v>
      </c>
      <c r="CY23" s="615">
        <v>0</v>
      </c>
      <c r="CZ23" s="615" t="s">
        <v>1049</v>
      </c>
      <c r="DA23" s="615">
        <v>0</v>
      </c>
      <c r="DB23" s="617"/>
      <c r="DC23" s="617"/>
      <c r="DD23" s="617"/>
      <c r="DE23" s="617"/>
      <c r="DF23" s="617"/>
      <c r="DG23" s="617"/>
      <c r="DH23" s="617"/>
      <c r="DI23" s="617"/>
      <c r="DJ23" s="617"/>
      <c r="DK23" s="617"/>
      <c r="DL23" s="617"/>
      <c r="DM23" s="617"/>
      <c r="DN23" s="617"/>
      <c r="DO23" s="617"/>
      <c r="DP23" s="617"/>
      <c r="DQ23" s="617"/>
      <c r="DR23" s="617"/>
      <c r="DS23" s="617"/>
      <c r="DT23" s="617"/>
      <c r="DU23" s="617"/>
      <c r="DV23" s="617"/>
      <c r="DW23" s="617"/>
      <c r="DX23" s="617"/>
      <c r="DY23" s="617"/>
      <c r="DZ23" s="617"/>
      <c r="EA23" s="617"/>
      <c r="EB23" s="617"/>
      <c r="EC23" s="617"/>
      <c r="ED23" s="617"/>
      <c r="EE23" s="617"/>
      <c r="EF23" s="617"/>
      <c r="EG23" s="617"/>
      <c r="EH23" s="617"/>
      <c r="EI23" s="617"/>
      <c r="EJ23" s="617"/>
      <c r="EK23" s="617"/>
      <c r="EL23" s="615" t="s">
        <v>833</v>
      </c>
      <c r="EM23" s="615" t="s">
        <v>833</v>
      </c>
      <c r="EN23" s="615" t="s">
        <v>833</v>
      </c>
      <c r="EO23" s="615" t="s">
        <v>833</v>
      </c>
      <c r="EP23" s="615" t="s">
        <v>833</v>
      </c>
      <c r="EQ23" s="615" t="s">
        <v>833</v>
      </c>
      <c r="ER23" s="615" t="s">
        <v>833</v>
      </c>
      <c r="ES23" s="615" t="s">
        <v>833</v>
      </c>
      <c r="ET23" s="615" t="s">
        <v>833</v>
      </c>
      <c r="EU23" s="615" t="s">
        <v>833</v>
      </c>
      <c r="EV23" s="615" t="s">
        <v>833</v>
      </c>
      <c r="EW23" s="615" t="s">
        <v>833</v>
      </c>
      <c r="EX23" s="615">
        <v>3670</v>
      </c>
      <c r="EY23" s="615">
        <v>3820</v>
      </c>
      <c r="EZ23" s="615" t="s">
        <v>1206</v>
      </c>
      <c r="FA23" s="615" t="s">
        <v>1206</v>
      </c>
      <c r="FB23" s="615" t="s">
        <v>1206</v>
      </c>
      <c r="FC23" s="615" t="s">
        <v>1206</v>
      </c>
      <c r="FD23" s="615" t="s">
        <v>1206</v>
      </c>
      <c r="FE23" s="615" t="s">
        <v>1206</v>
      </c>
      <c r="FF23" s="615" t="s">
        <v>1206</v>
      </c>
      <c r="FG23" s="615" t="s">
        <v>1206</v>
      </c>
      <c r="FH23" s="615" t="s">
        <v>1206</v>
      </c>
      <c r="FI23" s="615" t="s">
        <v>1206</v>
      </c>
      <c r="FJ23" s="615" t="s">
        <v>1206</v>
      </c>
      <c r="FK23" s="615" t="s">
        <v>1206</v>
      </c>
      <c r="FL23" s="615">
        <v>43</v>
      </c>
      <c r="FM23" s="615">
        <v>42</v>
      </c>
      <c r="FN23" s="615">
        <v>42</v>
      </c>
      <c r="FO23" s="615">
        <v>42</v>
      </c>
      <c r="FP23" s="615">
        <v>42</v>
      </c>
      <c r="FQ23" s="615">
        <v>44</v>
      </c>
      <c r="FR23" s="615">
        <v>43</v>
      </c>
      <c r="FS23" s="615">
        <v>43</v>
      </c>
      <c r="FT23" s="615">
        <v>43</v>
      </c>
      <c r="FU23" s="615">
        <v>43</v>
      </c>
      <c r="FV23" s="615">
        <v>23</v>
      </c>
      <c r="FW23" s="615">
        <v>25</v>
      </c>
      <c r="FX23" s="615">
        <v>25</v>
      </c>
      <c r="FY23" s="615">
        <v>25</v>
      </c>
      <c r="FZ23" s="615">
        <v>25</v>
      </c>
      <c r="GA23" s="615">
        <v>24</v>
      </c>
      <c r="GB23" s="615">
        <v>25</v>
      </c>
      <c r="GC23" s="615">
        <v>25</v>
      </c>
      <c r="GD23" s="615">
        <v>25</v>
      </c>
      <c r="GE23" s="615">
        <v>25</v>
      </c>
      <c r="GF23" s="615">
        <v>18350</v>
      </c>
      <c r="GG23" s="615" t="s">
        <v>1206</v>
      </c>
      <c r="GH23" s="615" t="s">
        <v>1206</v>
      </c>
      <c r="GI23" s="615" t="s">
        <v>1206</v>
      </c>
      <c r="GJ23" s="615" t="s">
        <v>1206</v>
      </c>
      <c r="GK23" s="615" t="s">
        <v>1206</v>
      </c>
      <c r="GL23" s="615" t="s">
        <v>1206</v>
      </c>
      <c r="GM23" s="615" t="s">
        <v>1206</v>
      </c>
      <c r="GN23" s="615" t="s">
        <v>1206</v>
      </c>
      <c r="GO23" s="615" t="s">
        <v>1206</v>
      </c>
      <c r="GP23" s="615" t="s">
        <v>1206</v>
      </c>
      <c r="GQ23" s="615" t="s">
        <v>1206</v>
      </c>
      <c r="GR23" s="615" t="s">
        <v>1206</v>
      </c>
      <c r="GS23" s="615">
        <v>0</v>
      </c>
      <c r="GT23" s="615">
        <v>0</v>
      </c>
      <c r="GU23" s="615">
        <v>0</v>
      </c>
      <c r="GV23" s="615">
        <v>0</v>
      </c>
      <c r="GW23" s="615">
        <v>0</v>
      </c>
      <c r="GX23" s="615">
        <v>0</v>
      </c>
      <c r="GY23" s="615">
        <v>0</v>
      </c>
      <c r="GZ23" s="615">
        <v>0</v>
      </c>
      <c r="HA23" s="615">
        <v>0</v>
      </c>
      <c r="HB23" s="615">
        <v>0</v>
      </c>
      <c r="HC23" s="615" t="s">
        <v>1208</v>
      </c>
      <c r="HD23" s="615" t="s">
        <v>1208</v>
      </c>
      <c r="HE23" s="615" t="s">
        <v>1208</v>
      </c>
      <c r="HF23" s="615" t="s">
        <v>1208</v>
      </c>
      <c r="HG23" s="615" t="s">
        <v>1208</v>
      </c>
      <c r="HH23" s="615" t="s">
        <v>1208</v>
      </c>
      <c r="HI23" s="615" t="s">
        <v>1208</v>
      </c>
      <c r="HJ23" s="615" t="s">
        <v>1208</v>
      </c>
      <c r="HK23" s="615" t="s">
        <v>1208</v>
      </c>
      <c r="HL23" s="615" t="s">
        <v>1208</v>
      </c>
      <c r="HM23" s="615" t="s">
        <v>1208</v>
      </c>
      <c r="HN23" s="615" t="s">
        <v>1208</v>
      </c>
      <c r="HO23" s="611" t="str">
        <f t="shared" si="1"/>
        <v/>
      </c>
      <c r="HP23" s="611" t="str">
        <f t="shared" si="2"/>
        <v/>
      </c>
      <c r="HQ23" s="611" t="str">
        <f t="shared" si="3"/>
        <v/>
      </c>
      <c r="HR23" s="611" t="str">
        <f t="shared" si="4"/>
        <v/>
      </c>
      <c r="HS23" s="611" t="str">
        <f t="shared" si="5"/>
        <v/>
      </c>
      <c r="HT23" s="611" t="str">
        <f t="shared" si="6"/>
        <v/>
      </c>
      <c r="HU23" s="611" t="str">
        <f t="shared" si="7"/>
        <v/>
      </c>
      <c r="HV23" s="611" t="str">
        <f t="shared" si="8"/>
        <v/>
      </c>
      <c r="HW23" s="611" t="str">
        <f t="shared" si="9"/>
        <v/>
      </c>
      <c r="HX23" s="611" t="str">
        <f t="shared" si="10"/>
        <v/>
      </c>
      <c r="HY23" s="611" t="str">
        <f t="shared" si="11"/>
        <v/>
      </c>
      <c r="HZ23" s="611" t="str">
        <f t="shared" si="12"/>
        <v/>
      </c>
      <c r="IA23" s="619" t="s">
        <v>1298</v>
      </c>
    </row>
    <row r="24" spans="2:235">
      <c r="B24" s="594">
        <v>20</v>
      </c>
      <c r="C24" s="594">
        <v>220</v>
      </c>
      <c r="D24" s="611" t="s">
        <v>399</v>
      </c>
      <c r="E24" s="612" t="s">
        <v>13</v>
      </c>
      <c r="F24" s="612">
        <v>280</v>
      </c>
      <c r="G24" s="612">
        <v>210</v>
      </c>
      <c r="H24" s="612">
        <v>70</v>
      </c>
      <c r="I24" s="612">
        <v>0</v>
      </c>
      <c r="J24" s="612"/>
      <c r="K24" s="612"/>
      <c r="L24" s="612"/>
      <c r="M24" s="612"/>
      <c r="N24" s="612"/>
      <c r="O24" s="612"/>
      <c r="P24" s="612"/>
      <c r="Q24" s="612"/>
      <c r="R24" s="612"/>
      <c r="S24" s="612"/>
      <c r="T24" s="612"/>
      <c r="U24" s="612"/>
      <c r="V24" s="612"/>
      <c r="W24" s="612"/>
      <c r="X24" s="612"/>
      <c r="Y24" s="612"/>
      <c r="Z24" s="612"/>
      <c r="AA24" s="612"/>
      <c r="AB24" s="612"/>
      <c r="AC24" s="612"/>
      <c r="AD24" s="612"/>
      <c r="AE24" s="612"/>
      <c r="AF24" s="612"/>
      <c r="AG24" s="612"/>
      <c r="AH24" s="612"/>
      <c r="AI24" s="612"/>
      <c r="AJ24" s="612"/>
      <c r="AK24" s="612"/>
      <c r="AL24" s="612"/>
      <c r="AM24" s="613"/>
      <c r="AN24" s="613"/>
      <c r="AO24" s="613"/>
      <c r="AP24" s="614"/>
      <c r="AQ24" s="612" t="s">
        <v>11</v>
      </c>
      <c r="AR24" s="615" t="s">
        <v>629</v>
      </c>
      <c r="AS24" s="615" t="s">
        <v>629</v>
      </c>
      <c r="AT24" s="615" t="s">
        <v>629</v>
      </c>
      <c r="AU24" s="615" t="s">
        <v>629</v>
      </c>
      <c r="AV24" s="615" t="s">
        <v>629</v>
      </c>
      <c r="AW24" s="615" t="s">
        <v>629</v>
      </c>
      <c r="AX24" s="615" t="s">
        <v>629</v>
      </c>
      <c r="AY24" s="615" t="s">
        <v>629</v>
      </c>
      <c r="AZ24" s="615" t="s">
        <v>629</v>
      </c>
      <c r="BA24" s="615" t="s">
        <v>629</v>
      </c>
      <c r="BB24" s="615" t="s">
        <v>629</v>
      </c>
      <c r="BC24" s="615" t="s">
        <v>629</v>
      </c>
      <c r="BD24" s="615" t="s">
        <v>629</v>
      </c>
      <c r="BE24" s="615" t="s">
        <v>629</v>
      </c>
      <c r="BF24" s="615" t="s">
        <v>629</v>
      </c>
      <c r="BG24" s="615" t="s">
        <v>629</v>
      </c>
      <c r="BH24" s="615" t="s">
        <v>629</v>
      </c>
      <c r="BI24" s="615" t="s">
        <v>629</v>
      </c>
      <c r="BJ24" s="615" t="s">
        <v>629</v>
      </c>
      <c r="BK24" s="615" t="s">
        <v>629</v>
      </c>
      <c r="BL24" s="615" t="s">
        <v>629</v>
      </c>
      <c r="BM24" s="615" t="s">
        <v>629</v>
      </c>
      <c r="BN24" s="615" t="s">
        <v>629</v>
      </c>
      <c r="BO24" s="615" t="s">
        <v>629</v>
      </c>
      <c r="BP24" s="615">
        <v>0</v>
      </c>
      <c r="BQ24" s="615">
        <v>0</v>
      </c>
      <c r="BR24" s="615">
        <v>0</v>
      </c>
      <c r="BS24" s="615">
        <v>0</v>
      </c>
      <c r="BT24" s="615">
        <v>0</v>
      </c>
      <c r="BU24" s="615">
        <v>0</v>
      </c>
      <c r="BV24" s="615">
        <v>0</v>
      </c>
      <c r="BW24" s="615">
        <v>0</v>
      </c>
      <c r="BX24" s="615">
        <v>0</v>
      </c>
      <c r="BY24" s="615">
        <v>0</v>
      </c>
      <c r="BZ24" s="615">
        <v>0</v>
      </c>
      <c r="CA24" s="615">
        <v>0</v>
      </c>
      <c r="CB24" s="615">
        <v>0</v>
      </c>
      <c r="CC24" s="615">
        <v>0</v>
      </c>
      <c r="CD24" s="615">
        <v>0</v>
      </c>
      <c r="CE24" s="615">
        <v>0</v>
      </c>
      <c r="CF24" s="615">
        <v>0</v>
      </c>
      <c r="CG24" s="615">
        <v>0</v>
      </c>
      <c r="CH24" s="615">
        <v>0</v>
      </c>
      <c r="CI24" s="615">
        <v>0</v>
      </c>
      <c r="CJ24" s="615">
        <v>0</v>
      </c>
      <c r="CK24" s="615">
        <v>0</v>
      </c>
      <c r="CL24" s="615">
        <v>0</v>
      </c>
      <c r="CM24" s="615">
        <v>0</v>
      </c>
      <c r="CN24" s="615">
        <v>0</v>
      </c>
      <c r="CO24" s="615">
        <v>0</v>
      </c>
      <c r="CP24" s="615">
        <v>0</v>
      </c>
      <c r="CQ24" s="615">
        <v>0</v>
      </c>
      <c r="CR24" s="615">
        <v>0</v>
      </c>
      <c r="CS24" s="615">
        <v>0</v>
      </c>
      <c r="CT24" s="615">
        <v>0</v>
      </c>
      <c r="CU24" s="615">
        <v>0</v>
      </c>
      <c r="CV24" s="615">
        <v>0</v>
      </c>
      <c r="CW24" s="615">
        <v>0</v>
      </c>
      <c r="CX24" s="615">
        <v>0</v>
      </c>
      <c r="CY24" s="615">
        <v>0</v>
      </c>
      <c r="CZ24" s="615" t="s">
        <v>1049</v>
      </c>
      <c r="DA24" s="615">
        <v>1</v>
      </c>
      <c r="DB24" s="617"/>
      <c r="DC24" s="617"/>
      <c r="DD24" s="617"/>
      <c r="DE24" s="617"/>
      <c r="DF24" s="617"/>
      <c r="DG24" s="617"/>
      <c r="DH24" s="617"/>
      <c r="DI24" s="617"/>
      <c r="DJ24" s="617"/>
      <c r="DK24" s="617"/>
      <c r="DL24" s="617"/>
      <c r="DM24" s="617"/>
      <c r="DN24" s="620"/>
      <c r="DO24" s="617"/>
      <c r="DP24" s="617"/>
      <c r="DQ24" s="617"/>
      <c r="DR24" s="617"/>
      <c r="DS24" s="617"/>
      <c r="DT24" s="617"/>
      <c r="DU24" s="617"/>
      <c r="DV24" s="617"/>
      <c r="DW24" s="617"/>
      <c r="DX24" s="617"/>
      <c r="DY24" s="617"/>
      <c r="DZ24" s="620"/>
      <c r="EA24" s="617"/>
      <c r="EB24" s="617"/>
      <c r="EC24" s="617"/>
      <c r="ED24" s="617"/>
      <c r="EE24" s="617"/>
      <c r="EF24" s="617"/>
      <c r="EG24" s="617"/>
      <c r="EH24" s="617"/>
      <c r="EI24" s="617"/>
      <c r="EJ24" s="617"/>
      <c r="EK24" s="617"/>
      <c r="EL24" s="615" t="s">
        <v>833</v>
      </c>
      <c r="EM24" s="615" t="s">
        <v>833</v>
      </c>
      <c r="EN24" s="615" t="s">
        <v>833</v>
      </c>
      <c r="EO24" s="615" t="s">
        <v>833</v>
      </c>
      <c r="EP24" s="615" t="s">
        <v>833</v>
      </c>
      <c r="EQ24" s="615" t="s">
        <v>833</v>
      </c>
      <c r="ER24" s="615" t="s">
        <v>833</v>
      </c>
      <c r="ES24" s="615" t="s">
        <v>833</v>
      </c>
      <c r="ET24" s="615" t="s">
        <v>833</v>
      </c>
      <c r="EU24" s="615" t="s">
        <v>833</v>
      </c>
      <c r="EV24" s="615" t="s">
        <v>833</v>
      </c>
      <c r="EW24" s="615" t="s">
        <v>833</v>
      </c>
      <c r="EX24" s="615">
        <v>3670</v>
      </c>
      <c r="EY24" s="615">
        <v>3820</v>
      </c>
      <c r="EZ24" s="616" t="s">
        <v>1577</v>
      </c>
      <c r="FA24" s="616" t="s">
        <v>1577</v>
      </c>
      <c r="FB24" s="616" t="s">
        <v>1577</v>
      </c>
      <c r="FC24" s="616" t="s">
        <v>1577</v>
      </c>
      <c r="FD24" s="616" t="s">
        <v>1577</v>
      </c>
      <c r="FE24" s="616" t="s">
        <v>1577</v>
      </c>
      <c r="FF24" s="616" t="s">
        <v>1577</v>
      </c>
      <c r="FG24" s="616" t="s">
        <v>1577</v>
      </c>
      <c r="FH24" s="616" t="s">
        <v>1577</v>
      </c>
      <c r="FI24" s="616" t="s">
        <v>1577</v>
      </c>
      <c r="FJ24" s="616" t="s">
        <v>1577</v>
      </c>
      <c r="FK24" s="616" t="s">
        <v>1577</v>
      </c>
      <c r="FL24" s="615">
        <v>75</v>
      </c>
      <c r="FM24" s="615">
        <v>76</v>
      </c>
      <c r="FN24" s="615">
        <v>77</v>
      </c>
      <c r="FO24" s="615">
        <v>77</v>
      </c>
      <c r="FP24" s="615">
        <v>80</v>
      </c>
      <c r="FQ24" s="615">
        <v>80</v>
      </c>
      <c r="FR24" s="615">
        <v>81</v>
      </c>
      <c r="FS24" s="615">
        <v>82</v>
      </c>
      <c r="FT24" s="615">
        <v>84</v>
      </c>
      <c r="FU24" s="615">
        <v>84</v>
      </c>
      <c r="FV24" s="615">
        <v>81</v>
      </c>
      <c r="FW24" s="615">
        <v>82</v>
      </c>
      <c r="FX24" s="615">
        <v>82</v>
      </c>
      <c r="FY24" s="615">
        <v>82</v>
      </c>
      <c r="FZ24" s="615">
        <v>80</v>
      </c>
      <c r="GA24" s="615">
        <v>80</v>
      </c>
      <c r="GB24" s="615">
        <v>80</v>
      </c>
      <c r="GC24" s="615">
        <v>79</v>
      </c>
      <c r="GD24" s="615">
        <v>79</v>
      </c>
      <c r="GE24" s="615">
        <v>79</v>
      </c>
      <c r="GF24" s="615">
        <v>18350</v>
      </c>
      <c r="GG24" s="615" t="s">
        <v>1206</v>
      </c>
      <c r="GH24" s="615" t="s">
        <v>1206</v>
      </c>
      <c r="GI24" s="615" t="s">
        <v>1206</v>
      </c>
      <c r="GJ24" s="615" t="s">
        <v>1206</v>
      </c>
      <c r="GK24" s="615" t="s">
        <v>1206</v>
      </c>
      <c r="GL24" s="615" t="s">
        <v>1206</v>
      </c>
      <c r="GM24" s="615" t="s">
        <v>1206</v>
      </c>
      <c r="GN24" s="615" t="s">
        <v>1206</v>
      </c>
      <c r="GO24" s="615" t="s">
        <v>1206</v>
      </c>
      <c r="GP24" s="615" t="s">
        <v>1206</v>
      </c>
      <c r="GQ24" s="615" t="s">
        <v>1206</v>
      </c>
      <c r="GR24" s="615" t="s">
        <v>1206</v>
      </c>
      <c r="GS24" s="615">
        <v>0</v>
      </c>
      <c r="GT24" s="615">
        <v>0</v>
      </c>
      <c r="GU24" s="615">
        <v>0</v>
      </c>
      <c r="GV24" s="615">
        <v>0</v>
      </c>
      <c r="GW24" s="615">
        <v>0</v>
      </c>
      <c r="GX24" s="615">
        <v>0</v>
      </c>
      <c r="GY24" s="615">
        <v>0</v>
      </c>
      <c r="GZ24" s="615">
        <v>0</v>
      </c>
      <c r="HA24" s="615">
        <v>0</v>
      </c>
      <c r="HB24" s="615">
        <v>0</v>
      </c>
      <c r="HC24" s="615" t="s">
        <v>629</v>
      </c>
      <c r="HD24" s="615" t="s">
        <v>629</v>
      </c>
      <c r="HE24" s="615" t="s">
        <v>629</v>
      </c>
      <c r="HF24" s="615" t="s">
        <v>629</v>
      </c>
      <c r="HG24" s="615" t="s">
        <v>629</v>
      </c>
      <c r="HH24" s="615" t="s">
        <v>629</v>
      </c>
      <c r="HI24" s="615" t="s">
        <v>629</v>
      </c>
      <c r="HJ24" s="615" t="s">
        <v>629</v>
      </c>
      <c r="HK24" s="615" t="s">
        <v>629</v>
      </c>
      <c r="HL24" s="615" t="s">
        <v>629</v>
      </c>
      <c r="HM24" s="615" t="s">
        <v>629</v>
      </c>
      <c r="HN24" s="615" t="s">
        <v>629</v>
      </c>
      <c r="HO24" s="611" t="str">
        <f t="shared" si="1"/>
        <v/>
      </c>
      <c r="HP24" s="611" t="str">
        <f t="shared" si="2"/>
        <v/>
      </c>
      <c r="HQ24" s="611" t="str">
        <f t="shared" si="3"/>
        <v/>
      </c>
      <c r="HR24" s="611" t="str">
        <f t="shared" si="4"/>
        <v/>
      </c>
      <c r="HS24" s="611" t="str">
        <f t="shared" si="5"/>
        <v/>
      </c>
      <c r="HT24" s="611" t="str">
        <f t="shared" si="6"/>
        <v/>
      </c>
      <c r="HU24" s="611" t="str">
        <f t="shared" si="7"/>
        <v/>
      </c>
      <c r="HV24" s="611" t="str">
        <f t="shared" si="8"/>
        <v/>
      </c>
      <c r="HW24" s="611" t="str">
        <f t="shared" si="9"/>
        <v/>
      </c>
      <c r="HX24" s="611" t="str">
        <f t="shared" si="10"/>
        <v/>
      </c>
      <c r="HY24" s="611" t="str">
        <f t="shared" si="11"/>
        <v/>
      </c>
      <c r="HZ24" s="611" t="str">
        <f t="shared" si="12"/>
        <v/>
      </c>
      <c r="IA24" s="619" t="s">
        <v>1298</v>
      </c>
    </row>
    <row r="25" spans="2:235">
      <c r="B25" s="594">
        <v>21</v>
      </c>
      <c r="C25" s="594">
        <v>221</v>
      </c>
      <c r="D25" s="611" t="s">
        <v>1181</v>
      </c>
      <c r="E25" s="612" t="s">
        <v>13</v>
      </c>
      <c r="F25" s="612">
        <v>315</v>
      </c>
      <c r="G25" s="612">
        <v>240</v>
      </c>
      <c r="H25" s="612">
        <v>45</v>
      </c>
      <c r="I25" s="612">
        <v>30</v>
      </c>
      <c r="J25" s="612"/>
      <c r="K25" s="612"/>
      <c r="L25" s="612"/>
      <c r="M25" s="612"/>
      <c r="N25" s="612"/>
      <c r="O25" s="612"/>
      <c r="P25" s="612"/>
      <c r="Q25" s="612"/>
      <c r="R25" s="612"/>
      <c r="S25" s="612"/>
      <c r="T25" s="612"/>
      <c r="U25" s="612"/>
      <c r="V25" s="612"/>
      <c r="W25" s="612"/>
      <c r="X25" s="612"/>
      <c r="Y25" s="612"/>
      <c r="Z25" s="612"/>
      <c r="AA25" s="612"/>
      <c r="AB25" s="612"/>
      <c r="AC25" s="612"/>
      <c r="AD25" s="612"/>
      <c r="AE25" s="612"/>
      <c r="AF25" s="612"/>
      <c r="AG25" s="612"/>
      <c r="AH25" s="612"/>
      <c r="AI25" s="612"/>
      <c r="AJ25" s="612"/>
      <c r="AK25" s="612"/>
      <c r="AL25" s="612"/>
      <c r="AM25" s="613"/>
      <c r="AN25" s="613"/>
      <c r="AO25" s="613"/>
      <c r="AP25" s="614"/>
      <c r="AQ25" s="612" t="s">
        <v>11</v>
      </c>
      <c r="AR25" s="615" t="s">
        <v>629</v>
      </c>
      <c r="AS25" s="615" t="s">
        <v>629</v>
      </c>
      <c r="AT25" s="615" t="s">
        <v>629</v>
      </c>
      <c r="AU25" s="615" t="s">
        <v>629</v>
      </c>
      <c r="AV25" s="615" t="s">
        <v>629</v>
      </c>
      <c r="AW25" s="615" t="s">
        <v>629</v>
      </c>
      <c r="AX25" s="615" t="s">
        <v>629</v>
      </c>
      <c r="AY25" s="615" t="s">
        <v>629</v>
      </c>
      <c r="AZ25" s="615" t="s">
        <v>629</v>
      </c>
      <c r="BA25" s="615" t="s">
        <v>629</v>
      </c>
      <c r="BB25" s="615" t="s">
        <v>629</v>
      </c>
      <c r="BC25" s="615" t="s">
        <v>629</v>
      </c>
      <c r="BD25" s="615" t="s">
        <v>629</v>
      </c>
      <c r="BE25" s="615" t="s">
        <v>629</v>
      </c>
      <c r="BF25" s="615" t="s">
        <v>629</v>
      </c>
      <c r="BG25" s="615" t="s">
        <v>629</v>
      </c>
      <c r="BH25" s="615" t="s">
        <v>629</v>
      </c>
      <c r="BI25" s="615" t="s">
        <v>629</v>
      </c>
      <c r="BJ25" s="615" t="s">
        <v>629</v>
      </c>
      <c r="BK25" s="615" t="s">
        <v>629</v>
      </c>
      <c r="BL25" s="615" t="s">
        <v>629</v>
      </c>
      <c r="BM25" s="615" t="s">
        <v>629</v>
      </c>
      <c r="BN25" s="615" t="s">
        <v>629</v>
      </c>
      <c r="BO25" s="615" t="s">
        <v>629</v>
      </c>
      <c r="BP25" s="615">
        <v>1</v>
      </c>
      <c r="BQ25" s="615">
        <v>1</v>
      </c>
      <c r="BR25" s="615">
        <v>1</v>
      </c>
      <c r="BS25" s="615">
        <v>1</v>
      </c>
      <c r="BT25" s="615">
        <v>1</v>
      </c>
      <c r="BU25" s="615">
        <v>1</v>
      </c>
      <c r="BV25" s="615">
        <v>0</v>
      </c>
      <c r="BW25" s="615">
        <v>0</v>
      </c>
      <c r="BX25" s="615">
        <v>0</v>
      </c>
      <c r="BY25" s="615">
        <v>0</v>
      </c>
      <c r="BZ25" s="615">
        <v>0</v>
      </c>
      <c r="CA25" s="615">
        <v>0</v>
      </c>
      <c r="CB25" s="615">
        <v>0</v>
      </c>
      <c r="CC25" s="615">
        <v>0</v>
      </c>
      <c r="CD25" s="615">
        <v>0</v>
      </c>
      <c r="CE25" s="615">
        <v>0</v>
      </c>
      <c r="CF25" s="615">
        <v>0</v>
      </c>
      <c r="CG25" s="615">
        <v>0</v>
      </c>
      <c r="CH25" s="615">
        <v>0</v>
      </c>
      <c r="CI25" s="615">
        <v>0</v>
      </c>
      <c r="CJ25" s="615">
        <v>0</v>
      </c>
      <c r="CK25" s="615">
        <v>0</v>
      </c>
      <c r="CL25" s="615">
        <v>0</v>
      </c>
      <c r="CM25" s="615">
        <v>0</v>
      </c>
      <c r="CN25" s="615">
        <v>0</v>
      </c>
      <c r="CO25" s="615">
        <v>0</v>
      </c>
      <c r="CP25" s="615">
        <v>0</v>
      </c>
      <c r="CQ25" s="615">
        <v>0</v>
      </c>
      <c r="CR25" s="615">
        <v>0</v>
      </c>
      <c r="CS25" s="615">
        <v>0</v>
      </c>
      <c r="CT25" s="615">
        <v>0</v>
      </c>
      <c r="CU25" s="615">
        <v>0</v>
      </c>
      <c r="CV25" s="615">
        <v>0</v>
      </c>
      <c r="CW25" s="615">
        <v>0</v>
      </c>
      <c r="CX25" s="615">
        <v>0</v>
      </c>
      <c r="CY25" s="615">
        <v>0</v>
      </c>
      <c r="CZ25" s="615" t="s">
        <v>1049</v>
      </c>
      <c r="DA25" s="615">
        <v>1</v>
      </c>
      <c r="DB25" s="617"/>
      <c r="DC25" s="617"/>
      <c r="DD25" s="617"/>
      <c r="DE25" s="617"/>
      <c r="DF25" s="617"/>
      <c r="DG25" s="617"/>
      <c r="DH25" s="617"/>
      <c r="DI25" s="617"/>
      <c r="DJ25" s="617"/>
      <c r="DK25" s="617"/>
      <c r="DL25" s="617"/>
      <c r="DM25" s="617"/>
      <c r="DN25" s="617"/>
      <c r="DO25" s="617"/>
      <c r="DP25" s="617"/>
      <c r="DQ25" s="617"/>
      <c r="DR25" s="617"/>
      <c r="DS25" s="617"/>
      <c r="DT25" s="617"/>
      <c r="DU25" s="617"/>
      <c r="DV25" s="617"/>
      <c r="DW25" s="617"/>
      <c r="DX25" s="617"/>
      <c r="DY25" s="617"/>
      <c r="DZ25" s="617"/>
      <c r="EA25" s="617"/>
      <c r="EB25" s="617"/>
      <c r="EC25" s="617"/>
      <c r="ED25" s="617"/>
      <c r="EE25" s="617"/>
      <c r="EF25" s="617"/>
      <c r="EG25" s="617"/>
      <c r="EH25" s="617"/>
      <c r="EI25" s="617"/>
      <c r="EJ25" s="617"/>
      <c r="EK25" s="617"/>
      <c r="EL25" s="615" t="s">
        <v>833</v>
      </c>
      <c r="EM25" s="615" t="s">
        <v>833</v>
      </c>
      <c r="EN25" s="615" t="s">
        <v>833</v>
      </c>
      <c r="EO25" s="615" t="s">
        <v>833</v>
      </c>
      <c r="EP25" s="615" t="s">
        <v>833</v>
      </c>
      <c r="EQ25" s="615" t="s">
        <v>833</v>
      </c>
      <c r="ER25" s="615" t="s">
        <v>833</v>
      </c>
      <c r="ES25" s="615" t="s">
        <v>833</v>
      </c>
      <c r="ET25" s="615" t="s">
        <v>833</v>
      </c>
      <c r="EU25" s="615" t="s">
        <v>833</v>
      </c>
      <c r="EV25" s="615" t="s">
        <v>833</v>
      </c>
      <c r="EW25" s="615" t="s">
        <v>833</v>
      </c>
      <c r="EX25" s="615">
        <v>3670</v>
      </c>
      <c r="EY25" s="615">
        <v>3820</v>
      </c>
      <c r="EZ25" s="615" t="s">
        <v>1206</v>
      </c>
      <c r="FA25" s="615" t="s">
        <v>1206</v>
      </c>
      <c r="FB25" s="615" t="s">
        <v>1206</v>
      </c>
      <c r="FC25" s="615" t="s">
        <v>1206</v>
      </c>
      <c r="FD25" s="615" t="s">
        <v>1206</v>
      </c>
      <c r="FE25" s="615" t="s">
        <v>1206</v>
      </c>
      <c r="FF25" s="615" t="s">
        <v>1206</v>
      </c>
      <c r="FG25" s="615" t="s">
        <v>1206</v>
      </c>
      <c r="FH25" s="615" t="s">
        <v>1206</v>
      </c>
      <c r="FI25" s="615" t="s">
        <v>1206</v>
      </c>
      <c r="FJ25" s="615" t="s">
        <v>1206</v>
      </c>
      <c r="FK25" s="615" t="s">
        <v>1206</v>
      </c>
      <c r="FL25" s="615">
        <v>104</v>
      </c>
      <c r="FM25" s="615">
        <v>104</v>
      </c>
      <c r="FN25" s="615">
        <v>104</v>
      </c>
      <c r="FO25" s="615">
        <v>104</v>
      </c>
      <c r="FP25" s="615">
        <v>102</v>
      </c>
      <c r="FQ25" s="615">
        <v>106</v>
      </c>
      <c r="FR25" s="615">
        <v>105</v>
      </c>
      <c r="FS25" s="615">
        <v>106</v>
      </c>
      <c r="FT25" s="615">
        <v>106</v>
      </c>
      <c r="FU25" s="615">
        <v>105</v>
      </c>
      <c r="FV25" s="615">
        <v>48</v>
      </c>
      <c r="FW25" s="615">
        <v>48</v>
      </c>
      <c r="FX25" s="615">
        <v>48</v>
      </c>
      <c r="FY25" s="615">
        <v>48</v>
      </c>
      <c r="FZ25" s="615">
        <v>48</v>
      </c>
      <c r="GA25" s="615">
        <v>48</v>
      </c>
      <c r="GB25" s="615">
        <v>48</v>
      </c>
      <c r="GC25" s="615">
        <v>48</v>
      </c>
      <c r="GD25" s="615">
        <v>48</v>
      </c>
      <c r="GE25" s="615">
        <v>48</v>
      </c>
      <c r="GF25" s="615">
        <v>18350</v>
      </c>
      <c r="GG25" s="615" t="s">
        <v>1206</v>
      </c>
      <c r="GH25" s="615" t="s">
        <v>1206</v>
      </c>
      <c r="GI25" s="615" t="s">
        <v>1206</v>
      </c>
      <c r="GJ25" s="615" t="s">
        <v>1206</v>
      </c>
      <c r="GK25" s="615" t="s">
        <v>1206</v>
      </c>
      <c r="GL25" s="615" t="s">
        <v>1206</v>
      </c>
      <c r="GM25" s="615" t="s">
        <v>1206</v>
      </c>
      <c r="GN25" s="615" t="s">
        <v>1206</v>
      </c>
      <c r="GO25" s="615" t="s">
        <v>1206</v>
      </c>
      <c r="GP25" s="615" t="s">
        <v>1206</v>
      </c>
      <c r="GQ25" s="615" t="s">
        <v>1206</v>
      </c>
      <c r="GR25" s="615" t="s">
        <v>1206</v>
      </c>
      <c r="GS25" s="615">
        <v>15</v>
      </c>
      <c r="GT25" s="615">
        <v>15</v>
      </c>
      <c r="GU25" s="615">
        <v>15</v>
      </c>
      <c r="GV25" s="615">
        <v>15</v>
      </c>
      <c r="GW25" s="615">
        <v>15</v>
      </c>
      <c r="GX25" s="615">
        <v>15</v>
      </c>
      <c r="GY25" s="615">
        <v>15</v>
      </c>
      <c r="GZ25" s="615">
        <v>15</v>
      </c>
      <c r="HA25" s="615">
        <v>15</v>
      </c>
      <c r="HB25" s="615">
        <v>15</v>
      </c>
      <c r="HC25" s="615" t="s">
        <v>1207</v>
      </c>
      <c r="HD25" s="615" t="s">
        <v>1207</v>
      </c>
      <c r="HE25" s="615" t="s">
        <v>1207</v>
      </c>
      <c r="HF25" s="615" t="s">
        <v>1207</v>
      </c>
      <c r="HG25" s="615" t="s">
        <v>1207</v>
      </c>
      <c r="HH25" s="615" t="s">
        <v>1207</v>
      </c>
      <c r="HI25" s="615" t="s">
        <v>1207</v>
      </c>
      <c r="HJ25" s="615" t="s">
        <v>1207</v>
      </c>
      <c r="HK25" s="615" t="s">
        <v>1207</v>
      </c>
      <c r="HL25" s="615" t="s">
        <v>1207</v>
      </c>
      <c r="HM25" s="615" t="s">
        <v>1207</v>
      </c>
      <c r="HN25" s="615" t="s">
        <v>1207</v>
      </c>
      <c r="HO25" s="611">
        <f t="shared" si="1"/>
        <v>79950</v>
      </c>
      <c r="HP25" s="611">
        <f t="shared" si="2"/>
        <v>79950</v>
      </c>
      <c r="HQ25" s="611">
        <f t="shared" si="3"/>
        <v>79950</v>
      </c>
      <c r="HR25" s="611">
        <f t="shared" si="4"/>
        <v>79950</v>
      </c>
      <c r="HS25" s="611">
        <f t="shared" si="5"/>
        <v>79950</v>
      </c>
      <c r="HT25" s="611">
        <f t="shared" si="6"/>
        <v>79950</v>
      </c>
      <c r="HU25" s="611">
        <f t="shared" si="7"/>
        <v>79950</v>
      </c>
      <c r="HV25" s="611">
        <f t="shared" si="8"/>
        <v>79950</v>
      </c>
      <c r="HW25" s="611">
        <f t="shared" si="9"/>
        <v>79950</v>
      </c>
      <c r="HX25" s="611">
        <f t="shared" si="10"/>
        <v>79950</v>
      </c>
      <c r="HY25" s="611">
        <f t="shared" si="11"/>
        <v>79950</v>
      </c>
      <c r="HZ25" s="611">
        <f t="shared" si="12"/>
        <v>79950</v>
      </c>
      <c r="IA25" s="621" t="s">
        <v>1298</v>
      </c>
    </row>
    <row r="26" spans="2:235">
      <c r="B26" s="594">
        <v>22</v>
      </c>
      <c r="C26" s="594">
        <v>222</v>
      </c>
      <c r="D26" s="611" t="s">
        <v>1182</v>
      </c>
      <c r="E26" s="612" t="s">
        <v>13</v>
      </c>
      <c r="F26" s="612">
        <v>90</v>
      </c>
      <c r="G26" s="612">
        <v>75</v>
      </c>
      <c r="H26" s="612">
        <v>15</v>
      </c>
      <c r="I26" s="612">
        <v>0</v>
      </c>
      <c r="J26" s="612"/>
      <c r="K26" s="612"/>
      <c r="L26" s="612"/>
      <c r="M26" s="612"/>
      <c r="N26" s="612"/>
      <c r="O26" s="612"/>
      <c r="P26" s="612"/>
      <c r="Q26" s="612"/>
      <c r="R26" s="612"/>
      <c r="S26" s="612"/>
      <c r="T26" s="612"/>
      <c r="U26" s="612"/>
      <c r="V26" s="612"/>
      <c r="W26" s="612"/>
      <c r="X26" s="612"/>
      <c r="Y26" s="612"/>
      <c r="Z26" s="612"/>
      <c r="AA26" s="612"/>
      <c r="AB26" s="612"/>
      <c r="AC26" s="612"/>
      <c r="AD26" s="612"/>
      <c r="AE26" s="612"/>
      <c r="AF26" s="612"/>
      <c r="AG26" s="612"/>
      <c r="AH26" s="612"/>
      <c r="AI26" s="612"/>
      <c r="AJ26" s="612"/>
      <c r="AK26" s="612"/>
      <c r="AL26" s="612"/>
      <c r="AM26" s="613"/>
      <c r="AN26" s="613"/>
      <c r="AO26" s="613"/>
      <c r="AP26" s="614"/>
      <c r="AQ26" s="612" t="s">
        <v>11</v>
      </c>
      <c r="AR26" s="615" t="s">
        <v>629</v>
      </c>
      <c r="AS26" s="615" t="s">
        <v>629</v>
      </c>
      <c r="AT26" s="615" t="s">
        <v>629</v>
      </c>
      <c r="AU26" s="615" t="s">
        <v>629</v>
      </c>
      <c r="AV26" s="615" t="s">
        <v>629</v>
      </c>
      <c r="AW26" s="615" t="s">
        <v>629</v>
      </c>
      <c r="AX26" s="615" t="s">
        <v>629</v>
      </c>
      <c r="AY26" s="615" t="s">
        <v>629</v>
      </c>
      <c r="AZ26" s="615" t="s">
        <v>629</v>
      </c>
      <c r="BA26" s="615" t="s">
        <v>629</v>
      </c>
      <c r="BB26" s="615" t="s">
        <v>629</v>
      </c>
      <c r="BC26" s="615" t="s">
        <v>629</v>
      </c>
      <c r="BD26" s="615" t="s">
        <v>629</v>
      </c>
      <c r="BE26" s="615" t="s">
        <v>629</v>
      </c>
      <c r="BF26" s="615" t="s">
        <v>629</v>
      </c>
      <c r="BG26" s="615" t="s">
        <v>629</v>
      </c>
      <c r="BH26" s="615" t="s">
        <v>629</v>
      </c>
      <c r="BI26" s="615" t="s">
        <v>629</v>
      </c>
      <c r="BJ26" s="615" t="s">
        <v>629</v>
      </c>
      <c r="BK26" s="615" t="s">
        <v>629</v>
      </c>
      <c r="BL26" s="615" t="s">
        <v>629</v>
      </c>
      <c r="BM26" s="615" t="s">
        <v>629</v>
      </c>
      <c r="BN26" s="615" t="s">
        <v>629</v>
      </c>
      <c r="BO26" s="615" t="s">
        <v>629</v>
      </c>
      <c r="BP26" s="615">
        <v>0</v>
      </c>
      <c r="BQ26" s="615">
        <v>0</v>
      </c>
      <c r="BR26" s="615">
        <v>0</v>
      </c>
      <c r="BS26" s="615">
        <v>0</v>
      </c>
      <c r="BT26" s="615">
        <v>0</v>
      </c>
      <c r="BU26" s="615">
        <v>0</v>
      </c>
      <c r="BV26" s="615">
        <v>0</v>
      </c>
      <c r="BW26" s="615">
        <v>0</v>
      </c>
      <c r="BX26" s="615">
        <v>0</v>
      </c>
      <c r="BY26" s="615">
        <v>0</v>
      </c>
      <c r="BZ26" s="615">
        <v>0</v>
      </c>
      <c r="CA26" s="615">
        <v>0</v>
      </c>
      <c r="CB26" s="615">
        <v>0</v>
      </c>
      <c r="CC26" s="615">
        <v>0</v>
      </c>
      <c r="CD26" s="615">
        <v>0</v>
      </c>
      <c r="CE26" s="615">
        <v>0</v>
      </c>
      <c r="CF26" s="615">
        <v>0</v>
      </c>
      <c r="CG26" s="615">
        <v>0</v>
      </c>
      <c r="CH26" s="615">
        <v>0</v>
      </c>
      <c r="CI26" s="615">
        <v>0</v>
      </c>
      <c r="CJ26" s="615">
        <v>0</v>
      </c>
      <c r="CK26" s="615">
        <v>0</v>
      </c>
      <c r="CL26" s="615">
        <v>0</v>
      </c>
      <c r="CM26" s="615">
        <v>0</v>
      </c>
      <c r="CN26" s="615">
        <v>0</v>
      </c>
      <c r="CO26" s="615">
        <v>0</v>
      </c>
      <c r="CP26" s="615">
        <v>0</v>
      </c>
      <c r="CQ26" s="615">
        <v>0</v>
      </c>
      <c r="CR26" s="615">
        <v>0</v>
      </c>
      <c r="CS26" s="615">
        <v>0</v>
      </c>
      <c r="CT26" s="615">
        <v>0</v>
      </c>
      <c r="CU26" s="615">
        <v>0</v>
      </c>
      <c r="CV26" s="615">
        <v>0</v>
      </c>
      <c r="CW26" s="615">
        <v>0</v>
      </c>
      <c r="CX26" s="615">
        <v>0</v>
      </c>
      <c r="CY26" s="615">
        <v>0</v>
      </c>
      <c r="CZ26" s="615" t="s">
        <v>1049</v>
      </c>
      <c r="DA26" s="615">
        <v>1</v>
      </c>
      <c r="DB26" s="617"/>
      <c r="DC26" s="617"/>
      <c r="DD26" s="617"/>
      <c r="DE26" s="617"/>
      <c r="DF26" s="617"/>
      <c r="DG26" s="617"/>
      <c r="DH26" s="617"/>
      <c r="DI26" s="617"/>
      <c r="DJ26" s="617"/>
      <c r="DK26" s="617"/>
      <c r="DL26" s="617"/>
      <c r="DM26" s="617"/>
      <c r="DN26" s="617"/>
      <c r="DO26" s="617"/>
      <c r="DP26" s="617"/>
      <c r="DQ26" s="617"/>
      <c r="DR26" s="617"/>
      <c r="DS26" s="617"/>
      <c r="DT26" s="617"/>
      <c r="DU26" s="617"/>
      <c r="DV26" s="617"/>
      <c r="DW26" s="617"/>
      <c r="DX26" s="617"/>
      <c r="DY26" s="617"/>
      <c r="DZ26" s="617"/>
      <c r="EA26" s="617"/>
      <c r="EB26" s="617"/>
      <c r="EC26" s="617"/>
      <c r="ED26" s="617"/>
      <c r="EE26" s="617"/>
      <c r="EF26" s="617"/>
      <c r="EG26" s="617"/>
      <c r="EH26" s="617"/>
      <c r="EI26" s="617"/>
      <c r="EJ26" s="617"/>
      <c r="EK26" s="617"/>
      <c r="EL26" s="615" t="s">
        <v>833</v>
      </c>
      <c r="EM26" s="615" t="s">
        <v>833</v>
      </c>
      <c r="EN26" s="615" t="s">
        <v>833</v>
      </c>
      <c r="EO26" s="615" t="s">
        <v>833</v>
      </c>
      <c r="EP26" s="615" t="s">
        <v>833</v>
      </c>
      <c r="EQ26" s="615" t="s">
        <v>833</v>
      </c>
      <c r="ER26" s="615" t="s">
        <v>833</v>
      </c>
      <c r="ES26" s="615" t="s">
        <v>833</v>
      </c>
      <c r="ET26" s="615" t="s">
        <v>833</v>
      </c>
      <c r="EU26" s="615" t="s">
        <v>833</v>
      </c>
      <c r="EV26" s="615" t="s">
        <v>833</v>
      </c>
      <c r="EW26" s="615" t="s">
        <v>833</v>
      </c>
      <c r="EX26" s="615">
        <v>3670</v>
      </c>
      <c r="EY26" s="615">
        <v>3820</v>
      </c>
      <c r="EZ26" s="615" t="s">
        <v>1206</v>
      </c>
      <c r="FA26" s="615" t="s">
        <v>1206</v>
      </c>
      <c r="FB26" s="615" t="s">
        <v>1206</v>
      </c>
      <c r="FC26" s="615" t="s">
        <v>1206</v>
      </c>
      <c r="FD26" s="615" t="s">
        <v>1206</v>
      </c>
      <c r="FE26" s="615" t="s">
        <v>1206</v>
      </c>
      <c r="FF26" s="615" t="s">
        <v>1206</v>
      </c>
      <c r="FG26" s="615" t="s">
        <v>1206</v>
      </c>
      <c r="FH26" s="615" t="s">
        <v>1206</v>
      </c>
      <c r="FI26" s="615" t="s">
        <v>1206</v>
      </c>
      <c r="FJ26" s="615" t="s">
        <v>1206</v>
      </c>
      <c r="FK26" s="615" t="s">
        <v>1206</v>
      </c>
      <c r="FL26" s="615">
        <v>40</v>
      </c>
      <c r="FM26" s="615">
        <v>40</v>
      </c>
      <c r="FN26" s="615">
        <v>40</v>
      </c>
      <c r="FO26" s="615">
        <v>40</v>
      </c>
      <c r="FP26" s="615">
        <v>40</v>
      </c>
      <c r="FQ26" s="615">
        <v>41</v>
      </c>
      <c r="FR26" s="615">
        <v>40</v>
      </c>
      <c r="FS26" s="615">
        <v>40</v>
      </c>
      <c r="FT26" s="615">
        <v>40</v>
      </c>
      <c r="FU26" s="615">
        <v>40</v>
      </c>
      <c r="FV26" s="615">
        <v>12</v>
      </c>
      <c r="FW26" s="615">
        <v>12</v>
      </c>
      <c r="FX26" s="615">
        <v>12</v>
      </c>
      <c r="FY26" s="615">
        <v>12</v>
      </c>
      <c r="FZ26" s="615">
        <v>12</v>
      </c>
      <c r="GA26" s="615">
        <v>12</v>
      </c>
      <c r="GB26" s="615">
        <v>12</v>
      </c>
      <c r="GC26" s="615">
        <v>12</v>
      </c>
      <c r="GD26" s="615">
        <v>12</v>
      </c>
      <c r="GE26" s="615">
        <v>12</v>
      </c>
      <c r="GF26" s="615">
        <v>18350</v>
      </c>
      <c r="GG26" s="615" t="s">
        <v>1206</v>
      </c>
      <c r="GH26" s="615" t="s">
        <v>1206</v>
      </c>
      <c r="GI26" s="615" t="s">
        <v>1206</v>
      </c>
      <c r="GJ26" s="615" t="s">
        <v>1206</v>
      </c>
      <c r="GK26" s="615" t="s">
        <v>1206</v>
      </c>
      <c r="GL26" s="615" t="s">
        <v>1206</v>
      </c>
      <c r="GM26" s="615" t="s">
        <v>1206</v>
      </c>
      <c r="GN26" s="615" t="s">
        <v>1206</v>
      </c>
      <c r="GO26" s="615" t="s">
        <v>1206</v>
      </c>
      <c r="GP26" s="615" t="s">
        <v>1206</v>
      </c>
      <c r="GQ26" s="615" t="s">
        <v>1206</v>
      </c>
      <c r="GR26" s="615" t="s">
        <v>1206</v>
      </c>
      <c r="GS26" s="615">
        <v>0</v>
      </c>
      <c r="GT26" s="615">
        <v>0</v>
      </c>
      <c r="GU26" s="615">
        <v>0</v>
      </c>
      <c r="GV26" s="615">
        <v>0</v>
      </c>
      <c r="GW26" s="615">
        <v>0</v>
      </c>
      <c r="GX26" s="615">
        <v>0</v>
      </c>
      <c r="GY26" s="615">
        <v>0</v>
      </c>
      <c r="GZ26" s="615">
        <v>0</v>
      </c>
      <c r="HA26" s="615">
        <v>0</v>
      </c>
      <c r="HB26" s="615">
        <v>0</v>
      </c>
      <c r="HC26" s="615" t="s">
        <v>1208</v>
      </c>
      <c r="HD26" s="615" t="s">
        <v>1208</v>
      </c>
      <c r="HE26" s="615" t="s">
        <v>1208</v>
      </c>
      <c r="HF26" s="615" t="s">
        <v>1208</v>
      </c>
      <c r="HG26" s="615" t="s">
        <v>1208</v>
      </c>
      <c r="HH26" s="615" t="s">
        <v>1208</v>
      </c>
      <c r="HI26" s="615" t="s">
        <v>1208</v>
      </c>
      <c r="HJ26" s="615" t="s">
        <v>1208</v>
      </c>
      <c r="HK26" s="615" t="s">
        <v>1208</v>
      </c>
      <c r="HL26" s="615" t="s">
        <v>1208</v>
      </c>
      <c r="HM26" s="615" t="s">
        <v>1208</v>
      </c>
      <c r="HN26" s="615" t="s">
        <v>1208</v>
      </c>
      <c r="HO26" s="611" t="str">
        <f t="shared" si="1"/>
        <v/>
      </c>
      <c r="HP26" s="611" t="str">
        <f t="shared" si="2"/>
        <v/>
      </c>
      <c r="HQ26" s="611" t="str">
        <f t="shared" si="3"/>
        <v/>
      </c>
      <c r="HR26" s="611" t="str">
        <f t="shared" si="4"/>
        <v/>
      </c>
      <c r="HS26" s="611" t="str">
        <f t="shared" si="5"/>
        <v/>
      </c>
      <c r="HT26" s="611" t="str">
        <f t="shared" si="6"/>
        <v/>
      </c>
      <c r="HU26" s="611" t="str">
        <f t="shared" si="7"/>
        <v/>
      </c>
      <c r="HV26" s="611" t="str">
        <f t="shared" si="8"/>
        <v/>
      </c>
      <c r="HW26" s="611" t="str">
        <f t="shared" si="9"/>
        <v/>
      </c>
      <c r="HX26" s="611" t="str">
        <f t="shared" si="10"/>
        <v/>
      </c>
      <c r="HY26" s="611" t="str">
        <f t="shared" si="11"/>
        <v/>
      </c>
      <c r="HZ26" s="611" t="str">
        <f t="shared" si="12"/>
        <v/>
      </c>
      <c r="IA26" s="622" t="s">
        <v>1298</v>
      </c>
    </row>
    <row r="27" spans="2:235">
      <c r="B27" s="594">
        <v>23</v>
      </c>
      <c r="C27" s="594">
        <v>223</v>
      </c>
      <c r="D27" s="611" t="s">
        <v>1183</v>
      </c>
      <c r="E27" s="612" t="s">
        <v>13</v>
      </c>
      <c r="F27" s="612">
        <v>85</v>
      </c>
      <c r="G27" s="612">
        <v>75</v>
      </c>
      <c r="H27" s="612">
        <v>10</v>
      </c>
      <c r="I27" s="612">
        <v>0</v>
      </c>
      <c r="J27" s="612"/>
      <c r="K27" s="612"/>
      <c r="L27" s="612"/>
      <c r="M27" s="612"/>
      <c r="N27" s="612"/>
      <c r="O27" s="612"/>
      <c r="P27" s="612"/>
      <c r="Q27" s="612"/>
      <c r="R27" s="612"/>
      <c r="S27" s="612"/>
      <c r="T27" s="612"/>
      <c r="U27" s="612"/>
      <c r="V27" s="612"/>
      <c r="W27" s="612"/>
      <c r="X27" s="612"/>
      <c r="Y27" s="612"/>
      <c r="Z27" s="612"/>
      <c r="AA27" s="612"/>
      <c r="AB27" s="612"/>
      <c r="AC27" s="612"/>
      <c r="AD27" s="612"/>
      <c r="AE27" s="612"/>
      <c r="AF27" s="612"/>
      <c r="AG27" s="612"/>
      <c r="AH27" s="612"/>
      <c r="AI27" s="612"/>
      <c r="AJ27" s="612"/>
      <c r="AK27" s="612"/>
      <c r="AL27" s="612"/>
      <c r="AM27" s="613"/>
      <c r="AN27" s="613"/>
      <c r="AO27" s="613"/>
      <c r="AP27" s="614"/>
      <c r="AQ27" s="612" t="s">
        <v>11</v>
      </c>
      <c r="AR27" s="615" t="s">
        <v>629</v>
      </c>
      <c r="AS27" s="615" t="s">
        <v>629</v>
      </c>
      <c r="AT27" s="615" t="s">
        <v>629</v>
      </c>
      <c r="AU27" s="615" t="s">
        <v>629</v>
      </c>
      <c r="AV27" s="615" t="s">
        <v>629</v>
      </c>
      <c r="AW27" s="615" t="s">
        <v>629</v>
      </c>
      <c r="AX27" s="615" t="s">
        <v>629</v>
      </c>
      <c r="AY27" s="615" t="s">
        <v>629</v>
      </c>
      <c r="AZ27" s="615" t="s">
        <v>629</v>
      </c>
      <c r="BA27" s="615" t="s">
        <v>629</v>
      </c>
      <c r="BB27" s="615" t="s">
        <v>629</v>
      </c>
      <c r="BC27" s="615" t="s">
        <v>629</v>
      </c>
      <c r="BD27" s="615" t="s">
        <v>629</v>
      </c>
      <c r="BE27" s="615" t="s">
        <v>629</v>
      </c>
      <c r="BF27" s="615" t="s">
        <v>629</v>
      </c>
      <c r="BG27" s="615" t="s">
        <v>629</v>
      </c>
      <c r="BH27" s="615" t="s">
        <v>629</v>
      </c>
      <c r="BI27" s="615" t="s">
        <v>629</v>
      </c>
      <c r="BJ27" s="615" t="s">
        <v>629</v>
      </c>
      <c r="BK27" s="615" t="s">
        <v>629</v>
      </c>
      <c r="BL27" s="615" t="s">
        <v>629</v>
      </c>
      <c r="BM27" s="615" t="s">
        <v>629</v>
      </c>
      <c r="BN27" s="615" t="s">
        <v>629</v>
      </c>
      <c r="BO27" s="615" t="s">
        <v>629</v>
      </c>
      <c r="BP27" s="615">
        <v>0</v>
      </c>
      <c r="BQ27" s="615">
        <v>0</v>
      </c>
      <c r="BR27" s="615">
        <v>0</v>
      </c>
      <c r="BS27" s="615">
        <v>0</v>
      </c>
      <c r="BT27" s="615">
        <v>0</v>
      </c>
      <c r="BU27" s="615">
        <v>0</v>
      </c>
      <c r="BV27" s="615">
        <v>0</v>
      </c>
      <c r="BW27" s="615">
        <v>0</v>
      </c>
      <c r="BX27" s="615">
        <v>0</v>
      </c>
      <c r="BY27" s="615">
        <v>0</v>
      </c>
      <c r="BZ27" s="615">
        <v>0</v>
      </c>
      <c r="CA27" s="615">
        <v>0</v>
      </c>
      <c r="CB27" s="615">
        <v>0</v>
      </c>
      <c r="CC27" s="615">
        <v>0</v>
      </c>
      <c r="CD27" s="615">
        <v>0</v>
      </c>
      <c r="CE27" s="615">
        <v>0</v>
      </c>
      <c r="CF27" s="615">
        <v>0</v>
      </c>
      <c r="CG27" s="615">
        <v>0</v>
      </c>
      <c r="CH27" s="615">
        <v>0</v>
      </c>
      <c r="CI27" s="615">
        <v>0</v>
      </c>
      <c r="CJ27" s="615">
        <v>0</v>
      </c>
      <c r="CK27" s="615">
        <v>0</v>
      </c>
      <c r="CL27" s="615">
        <v>0</v>
      </c>
      <c r="CM27" s="615">
        <v>0</v>
      </c>
      <c r="CN27" s="615">
        <v>0</v>
      </c>
      <c r="CO27" s="615">
        <v>0</v>
      </c>
      <c r="CP27" s="615">
        <v>0</v>
      </c>
      <c r="CQ27" s="615">
        <v>0</v>
      </c>
      <c r="CR27" s="615">
        <v>0</v>
      </c>
      <c r="CS27" s="615">
        <v>0</v>
      </c>
      <c r="CT27" s="615">
        <v>0</v>
      </c>
      <c r="CU27" s="615">
        <v>0</v>
      </c>
      <c r="CV27" s="615">
        <v>0</v>
      </c>
      <c r="CW27" s="615">
        <v>0</v>
      </c>
      <c r="CX27" s="615">
        <v>0</v>
      </c>
      <c r="CY27" s="615">
        <v>0</v>
      </c>
      <c r="CZ27" s="615" t="s">
        <v>1049</v>
      </c>
      <c r="DA27" s="615">
        <v>0</v>
      </c>
      <c r="DB27" s="617"/>
      <c r="DC27" s="617"/>
      <c r="DD27" s="617"/>
      <c r="DE27" s="617"/>
      <c r="DF27" s="617"/>
      <c r="DG27" s="617"/>
      <c r="DH27" s="617"/>
      <c r="DI27" s="617"/>
      <c r="DJ27" s="617"/>
      <c r="DK27" s="617"/>
      <c r="DL27" s="617"/>
      <c r="DM27" s="617"/>
      <c r="DN27" s="617"/>
      <c r="DO27" s="617"/>
      <c r="DP27" s="617"/>
      <c r="DQ27" s="617"/>
      <c r="DR27" s="617"/>
      <c r="DS27" s="617"/>
      <c r="DT27" s="617"/>
      <c r="DU27" s="617"/>
      <c r="DV27" s="617"/>
      <c r="DW27" s="617"/>
      <c r="DX27" s="617"/>
      <c r="DY27" s="617"/>
      <c r="DZ27" s="617"/>
      <c r="EA27" s="617"/>
      <c r="EB27" s="617"/>
      <c r="EC27" s="617"/>
      <c r="ED27" s="617"/>
      <c r="EE27" s="617"/>
      <c r="EF27" s="617"/>
      <c r="EG27" s="617"/>
      <c r="EH27" s="617"/>
      <c r="EI27" s="617"/>
      <c r="EJ27" s="617"/>
      <c r="EK27" s="617"/>
      <c r="EL27" s="615" t="s">
        <v>833</v>
      </c>
      <c r="EM27" s="615" t="s">
        <v>833</v>
      </c>
      <c r="EN27" s="615" t="s">
        <v>833</v>
      </c>
      <c r="EO27" s="615" t="s">
        <v>833</v>
      </c>
      <c r="EP27" s="615" t="s">
        <v>833</v>
      </c>
      <c r="EQ27" s="615" t="s">
        <v>833</v>
      </c>
      <c r="ER27" s="615" t="s">
        <v>833</v>
      </c>
      <c r="ES27" s="615" t="s">
        <v>833</v>
      </c>
      <c r="ET27" s="615" t="s">
        <v>833</v>
      </c>
      <c r="EU27" s="615" t="s">
        <v>833</v>
      </c>
      <c r="EV27" s="615" t="s">
        <v>833</v>
      </c>
      <c r="EW27" s="615" t="s">
        <v>833</v>
      </c>
      <c r="EX27" s="615">
        <v>3670</v>
      </c>
      <c r="EY27" s="615">
        <v>3820</v>
      </c>
      <c r="EZ27" s="615" t="s">
        <v>833</v>
      </c>
      <c r="FA27" s="615" t="s">
        <v>833</v>
      </c>
      <c r="FB27" s="615" t="s">
        <v>833</v>
      </c>
      <c r="FC27" s="615" t="s">
        <v>833</v>
      </c>
      <c r="FD27" s="615" t="s">
        <v>833</v>
      </c>
      <c r="FE27" s="615" t="s">
        <v>833</v>
      </c>
      <c r="FF27" s="615" t="s">
        <v>833</v>
      </c>
      <c r="FG27" s="615" t="s">
        <v>833</v>
      </c>
      <c r="FH27" s="615" t="s">
        <v>833</v>
      </c>
      <c r="FI27" s="615" t="s">
        <v>833</v>
      </c>
      <c r="FJ27" s="615" t="s">
        <v>833</v>
      </c>
      <c r="FK27" s="615" t="s">
        <v>833</v>
      </c>
      <c r="FL27" s="615">
        <v>44</v>
      </c>
      <c r="FM27" s="615">
        <v>44</v>
      </c>
      <c r="FN27" s="615">
        <v>44</v>
      </c>
      <c r="FO27" s="615">
        <v>44</v>
      </c>
      <c r="FP27" s="615">
        <v>43</v>
      </c>
      <c r="FQ27" s="615">
        <v>43</v>
      </c>
      <c r="FR27" s="615">
        <v>42</v>
      </c>
      <c r="FS27" s="615">
        <v>42</v>
      </c>
      <c r="FT27" s="615">
        <v>41</v>
      </c>
      <c r="FU27" s="615">
        <v>41</v>
      </c>
      <c r="FV27" s="615">
        <v>8</v>
      </c>
      <c r="FW27" s="615">
        <v>8</v>
      </c>
      <c r="FX27" s="615">
        <v>8</v>
      </c>
      <c r="FY27" s="615">
        <v>8</v>
      </c>
      <c r="FZ27" s="615">
        <v>9</v>
      </c>
      <c r="GA27" s="615">
        <v>9</v>
      </c>
      <c r="GB27" s="615">
        <v>10</v>
      </c>
      <c r="GC27" s="615">
        <v>10</v>
      </c>
      <c r="GD27" s="615">
        <v>11</v>
      </c>
      <c r="GE27" s="615">
        <v>11</v>
      </c>
      <c r="GF27" s="615">
        <v>18350</v>
      </c>
      <c r="GG27" s="615" t="s">
        <v>1206</v>
      </c>
      <c r="GH27" s="615" t="s">
        <v>1206</v>
      </c>
      <c r="GI27" s="615" t="s">
        <v>1206</v>
      </c>
      <c r="GJ27" s="615" t="s">
        <v>1206</v>
      </c>
      <c r="GK27" s="615" t="s">
        <v>1206</v>
      </c>
      <c r="GL27" s="615" t="s">
        <v>1206</v>
      </c>
      <c r="GM27" s="615" t="s">
        <v>1206</v>
      </c>
      <c r="GN27" s="615" t="s">
        <v>1206</v>
      </c>
      <c r="GO27" s="615" t="s">
        <v>1206</v>
      </c>
      <c r="GP27" s="615" t="s">
        <v>1206</v>
      </c>
      <c r="GQ27" s="615" t="s">
        <v>1206</v>
      </c>
      <c r="GR27" s="615" t="s">
        <v>1206</v>
      </c>
      <c r="GS27" s="615">
        <v>0</v>
      </c>
      <c r="GT27" s="615">
        <v>0</v>
      </c>
      <c r="GU27" s="615">
        <v>0</v>
      </c>
      <c r="GV27" s="615">
        <v>0</v>
      </c>
      <c r="GW27" s="615">
        <v>0</v>
      </c>
      <c r="GX27" s="615">
        <v>0</v>
      </c>
      <c r="GY27" s="615">
        <v>0</v>
      </c>
      <c r="GZ27" s="615">
        <v>0</v>
      </c>
      <c r="HA27" s="615">
        <v>0</v>
      </c>
      <c r="HB27" s="615">
        <v>0</v>
      </c>
      <c r="HC27" s="615" t="s">
        <v>1208</v>
      </c>
      <c r="HD27" s="615" t="s">
        <v>1208</v>
      </c>
      <c r="HE27" s="615" t="s">
        <v>1208</v>
      </c>
      <c r="HF27" s="615" t="s">
        <v>1208</v>
      </c>
      <c r="HG27" s="615" t="s">
        <v>1208</v>
      </c>
      <c r="HH27" s="615" t="s">
        <v>1208</v>
      </c>
      <c r="HI27" s="615" t="s">
        <v>1208</v>
      </c>
      <c r="HJ27" s="615" t="s">
        <v>1208</v>
      </c>
      <c r="HK27" s="615" t="s">
        <v>1208</v>
      </c>
      <c r="HL27" s="615" t="s">
        <v>1208</v>
      </c>
      <c r="HM27" s="615" t="s">
        <v>1208</v>
      </c>
      <c r="HN27" s="615" t="s">
        <v>1208</v>
      </c>
      <c r="HO27" s="611" t="str">
        <f t="shared" si="1"/>
        <v/>
      </c>
      <c r="HP27" s="611" t="str">
        <f t="shared" si="2"/>
        <v/>
      </c>
      <c r="HQ27" s="611" t="str">
        <f t="shared" si="3"/>
        <v/>
      </c>
      <c r="HR27" s="611" t="str">
        <f t="shared" si="4"/>
        <v/>
      </c>
      <c r="HS27" s="611" t="str">
        <f t="shared" si="5"/>
        <v/>
      </c>
      <c r="HT27" s="611" t="str">
        <f t="shared" si="6"/>
        <v/>
      </c>
      <c r="HU27" s="611" t="str">
        <f t="shared" si="7"/>
        <v/>
      </c>
      <c r="HV27" s="611" t="str">
        <f t="shared" si="8"/>
        <v/>
      </c>
      <c r="HW27" s="611" t="str">
        <f t="shared" si="9"/>
        <v/>
      </c>
      <c r="HX27" s="611" t="str">
        <f t="shared" si="10"/>
        <v/>
      </c>
      <c r="HY27" s="611" t="str">
        <f t="shared" si="11"/>
        <v/>
      </c>
      <c r="HZ27" s="611" t="str">
        <f t="shared" si="12"/>
        <v/>
      </c>
      <c r="IA27" s="622" t="s">
        <v>1298</v>
      </c>
    </row>
    <row r="28" spans="2:235">
      <c r="B28" s="594">
        <v>24</v>
      </c>
      <c r="C28" s="594">
        <v>224</v>
      </c>
      <c r="D28" s="611" t="s">
        <v>1184</v>
      </c>
      <c r="E28" s="612" t="s">
        <v>13</v>
      </c>
      <c r="F28" s="612">
        <v>200</v>
      </c>
      <c r="G28" s="612">
        <v>170</v>
      </c>
      <c r="H28" s="612">
        <v>30</v>
      </c>
      <c r="I28" s="612">
        <v>0</v>
      </c>
      <c r="J28" s="612"/>
      <c r="K28" s="612"/>
      <c r="L28" s="612"/>
      <c r="M28" s="612"/>
      <c r="N28" s="612"/>
      <c r="O28" s="612"/>
      <c r="P28" s="612"/>
      <c r="Q28" s="612"/>
      <c r="R28" s="612"/>
      <c r="S28" s="612"/>
      <c r="T28" s="612"/>
      <c r="U28" s="612"/>
      <c r="V28" s="612"/>
      <c r="W28" s="612"/>
      <c r="X28" s="612"/>
      <c r="Y28" s="612"/>
      <c r="Z28" s="612"/>
      <c r="AA28" s="612"/>
      <c r="AB28" s="612"/>
      <c r="AC28" s="612"/>
      <c r="AD28" s="612"/>
      <c r="AE28" s="612"/>
      <c r="AF28" s="612"/>
      <c r="AG28" s="612"/>
      <c r="AH28" s="612"/>
      <c r="AI28" s="612"/>
      <c r="AJ28" s="612"/>
      <c r="AK28" s="612"/>
      <c r="AL28" s="612"/>
      <c r="AM28" s="613"/>
      <c r="AN28" s="613"/>
      <c r="AO28" s="613"/>
      <c r="AP28" s="614"/>
      <c r="AQ28" s="612" t="s">
        <v>11</v>
      </c>
      <c r="AR28" s="615" t="s">
        <v>629</v>
      </c>
      <c r="AS28" s="615" t="s">
        <v>629</v>
      </c>
      <c r="AT28" s="615" t="s">
        <v>629</v>
      </c>
      <c r="AU28" s="615" t="s">
        <v>629</v>
      </c>
      <c r="AV28" s="615" t="s">
        <v>629</v>
      </c>
      <c r="AW28" s="615" t="s">
        <v>629</v>
      </c>
      <c r="AX28" s="615" t="s">
        <v>629</v>
      </c>
      <c r="AY28" s="615" t="s">
        <v>629</v>
      </c>
      <c r="AZ28" s="615" t="s">
        <v>629</v>
      </c>
      <c r="BA28" s="615" t="s">
        <v>629</v>
      </c>
      <c r="BB28" s="615" t="s">
        <v>629</v>
      </c>
      <c r="BC28" s="615" t="s">
        <v>629</v>
      </c>
      <c r="BD28" s="615" t="s">
        <v>629</v>
      </c>
      <c r="BE28" s="615" t="s">
        <v>629</v>
      </c>
      <c r="BF28" s="615" t="s">
        <v>629</v>
      </c>
      <c r="BG28" s="615" t="s">
        <v>629</v>
      </c>
      <c r="BH28" s="615" t="s">
        <v>629</v>
      </c>
      <c r="BI28" s="615" t="s">
        <v>629</v>
      </c>
      <c r="BJ28" s="615" t="s">
        <v>629</v>
      </c>
      <c r="BK28" s="615" t="s">
        <v>629</v>
      </c>
      <c r="BL28" s="615" t="s">
        <v>629</v>
      </c>
      <c r="BM28" s="615" t="s">
        <v>629</v>
      </c>
      <c r="BN28" s="615" t="s">
        <v>629</v>
      </c>
      <c r="BO28" s="615" t="s">
        <v>629</v>
      </c>
      <c r="BP28" s="615">
        <v>0</v>
      </c>
      <c r="BQ28" s="615">
        <v>0</v>
      </c>
      <c r="BR28" s="615">
        <v>0</v>
      </c>
      <c r="BS28" s="615">
        <v>0</v>
      </c>
      <c r="BT28" s="615">
        <v>0</v>
      </c>
      <c r="BU28" s="615">
        <v>0</v>
      </c>
      <c r="BV28" s="615">
        <v>0</v>
      </c>
      <c r="BW28" s="615">
        <v>1</v>
      </c>
      <c r="BX28" s="615">
        <v>1</v>
      </c>
      <c r="BY28" s="615">
        <v>0</v>
      </c>
      <c r="BZ28" s="615">
        <v>0</v>
      </c>
      <c r="CA28" s="615">
        <v>0</v>
      </c>
      <c r="CB28" s="615">
        <v>0</v>
      </c>
      <c r="CC28" s="615">
        <v>0</v>
      </c>
      <c r="CD28" s="615">
        <v>0</v>
      </c>
      <c r="CE28" s="615">
        <v>0</v>
      </c>
      <c r="CF28" s="615">
        <v>0</v>
      </c>
      <c r="CG28" s="615">
        <v>0</v>
      </c>
      <c r="CH28" s="615">
        <v>0</v>
      </c>
      <c r="CI28" s="615">
        <v>0</v>
      </c>
      <c r="CJ28" s="615">
        <v>0</v>
      </c>
      <c r="CK28" s="615">
        <v>0</v>
      </c>
      <c r="CL28" s="615">
        <v>0</v>
      </c>
      <c r="CM28" s="615">
        <v>0</v>
      </c>
      <c r="CN28" s="615">
        <v>0</v>
      </c>
      <c r="CO28" s="615">
        <v>0</v>
      </c>
      <c r="CP28" s="615">
        <v>0</v>
      </c>
      <c r="CQ28" s="615">
        <v>0</v>
      </c>
      <c r="CR28" s="615">
        <v>0</v>
      </c>
      <c r="CS28" s="615">
        <v>0</v>
      </c>
      <c r="CT28" s="615">
        <v>0</v>
      </c>
      <c r="CU28" s="615">
        <v>0</v>
      </c>
      <c r="CV28" s="615">
        <v>0</v>
      </c>
      <c r="CW28" s="615">
        <v>0</v>
      </c>
      <c r="CX28" s="615">
        <v>0</v>
      </c>
      <c r="CY28" s="615">
        <v>0</v>
      </c>
      <c r="CZ28" s="615" t="s">
        <v>1049</v>
      </c>
      <c r="DA28" s="615">
        <v>0</v>
      </c>
      <c r="DB28" s="617"/>
      <c r="DC28" s="617"/>
      <c r="DD28" s="617"/>
      <c r="DE28" s="617"/>
      <c r="DF28" s="617"/>
      <c r="DG28" s="617"/>
      <c r="DH28" s="617"/>
      <c r="DI28" s="617"/>
      <c r="DJ28" s="617"/>
      <c r="DK28" s="617"/>
      <c r="DL28" s="617"/>
      <c r="DM28" s="617"/>
      <c r="DN28" s="617"/>
      <c r="DO28" s="617"/>
      <c r="DP28" s="617"/>
      <c r="DQ28" s="617"/>
      <c r="DR28" s="617"/>
      <c r="DS28" s="617"/>
      <c r="DT28" s="617"/>
      <c r="DU28" s="617"/>
      <c r="DV28" s="617"/>
      <c r="DW28" s="617"/>
      <c r="DX28" s="617"/>
      <c r="DY28" s="617"/>
      <c r="DZ28" s="617"/>
      <c r="EA28" s="617"/>
      <c r="EB28" s="617"/>
      <c r="EC28" s="617"/>
      <c r="ED28" s="617"/>
      <c r="EE28" s="617"/>
      <c r="EF28" s="617"/>
      <c r="EG28" s="617"/>
      <c r="EH28" s="617"/>
      <c r="EI28" s="617"/>
      <c r="EJ28" s="617"/>
      <c r="EK28" s="617"/>
      <c r="EL28" s="615" t="s">
        <v>833</v>
      </c>
      <c r="EM28" s="615" t="s">
        <v>833</v>
      </c>
      <c r="EN28" s="615" t="s">
        <v>833</v>
      </c>
      <c r="EO28" s="615" t="s">
        <v>833</v>
      </c>
      <c r="EP28" s="615" t="s">
        <v>833</v>
      </c>
      <c r="EQ28" s="615" t="s">
        <v>833</v>
      </c>
      <c r="ER28" s="615" t="s">
        <v>833</v>
      </c>
      <c r="ES28" s="615" t="s">
        <v>833</v>
      </c>
      <c r="ET28" s="615" t="s">
        <v>833</v>
      </c>
      <c r="EU28" s="615" t="s">
        <v>833</v>
      </c>
      <c r="EV28" s="615" t="s">
        <v>833</v>
      </c>
      <c r="EW28" s="615" t="s">
        <v>833</v>
      </c>
      <c r="EX28" s="615">
        <v>3670</v>
      </c>
      <c r="EY28" s="615">
        <v>3820</v>
      </c>
      <c r="EZ28" s="615" t="s">
        <v>1206</v>
      </c>
      <c r="FA28" s="615" t="s">
        <v>1206</v>
      </c>
      <c r="FB28" s="615" t="s">
        <v>1206</v>
      </c>
      <c r="FC28" s="615" t="s">
        <v>1206</v>
      </c>
      <c r="FD28" s="615" t="s">
        <v>1206</v>
      </c>
      <c r="FE28" s="615" t="s">
        <v>1206</v>
      </c>
      <c r="FF28" s="615" t="s">
        <v>1206</v>
      </c>
      <c r="FG28" s="615" t="s">
        <v>1206</v>
      </c>
      <c r="FH28" s="615" t="s">
        <v>1206</v>
      </c>
      <c r="FI28" s="615" t="s">
        <v>1206</v>
      </c>
      <c r="FJ28" s="615" t="s">
        <v>1206</v>
      </c>
      <c r="FK28" s="615" t="s">
        <v>1206</v>
      </c>
      <c r="FL28" s="615">
        <v>30</v>
      </c>
      <c r="FM28" s="615">
        <v>30</v>
      </c>
      <c r="FN28" s="615">
        <v>30</v>
      </c>
      <c r="FO28" s="615">
        <v>30</v>
      </c>
      <c r="FP28" s="615">
        <v>30</v>
      </c>
      <c r="FQ28" s="615">
        <v>30</v>
      </c>
      <c r="FR28" s="615">
        <v>31</v>
      </c>
      <c r="FS28" s="615">
        <v>31</v>
      </c>
      <c r="FT28" s="615">
        <v>31</v>
      </c>
      <c r="FU28" s="615">
        <v>31</v>
      </c>
      <c r="FV28" s="615">
        <v>62</v>
      </c>
      <c r="FW28" s="615">
        <v>62</v>
      </c>
      <c r="FX28" s="615">
        <v>62</v>
      </c>
      <c r="FY28" s="615">
        <v>61</v>
      </c>
      <c r="FZ28" s="615">
        <v>60</v>
      </c>
      <c r="GA28" s="615">
        <v>60</v>
      </c>
      <c r="GB28" s="615">
        <v>60</v>
      </c>
      <c r="GC28" s="615">
        <v>60</v>
      </c>
      <c r="GD28" s="615">
        <v>60</v>
      </c>
      <c r="GE28" s="615">
        <v>60</v>
      </c>
      <c r="GF28" s="615">
        <v>18350</v>
      </c>
      <c r="GG28" s="615" t="s">
        <v>1206</v>
      </c>
      <c r="GH28" s="615" t="s">
        <v>1206</v>
      </c>
      <c r="GI28" s="615" t="s">
        <v>1206</v>
      </c>
      <c r="GJ28" s="615" t="s">
        <v>1206</v>
      </c>
      <c r="GK28" s="615" t="s">
        <v>1206</v>
      </c>
      <c r="GL28" s="615" t="s">
        <v>1206</v>
      </c>
      <c r="GM28" s="615" t="s">
        <v>1206</v>
      </c>
      <c r="GN28" s="615" t="s">
        <v>1206</v>
      </c>
      <c r="GO28" s="615" t="s">
        <v>1206</v>
      </c>
      <c r="GP28" s="615" t="s">
        <v>1206</v>
      </c>
      <c r="GQ28" s="615" t="s">
        <v>1206</v>
      </c>
      <c r="GR28" s="615" t="s">
        <v>1206</v>
      </c>
      <c r="GS28" s="615">
        <v>0</v>
      </c>
      <c r="GT28" s="615">
        <v>0</v>
      </c>
      <c r="GU28" s="615">
        <v>0</v>
      </c>
      <c r="GV28" s="615">
        <v>0</v>
      </c>
      <c r="GW28" s="615">
        <v>0</v>
      </c>
      <c r="GX28" s="615">
        <v>0</v>
      </c>
      <c r="GY28" s="615">
        <v>0</v>
      </c>
      <c r="GZ28" s="615">
        <v>0</v>
      </c>
      <c r="HA28" s="615">
        <v>0</v>
      </c>
      <c r="HB28" s="615">
        <v>0</v>
      </c>
      <c r="HC28" s="615" t="s">
        <v>629</v>
      </c>
      <c r="HD28" s="615" t="s">
        <v>629</v>
      </c>
      <c r="HE28" s="615" t="s">
        <v>629</v>
      </c>
      <c r="HF28" s="615" t="s">
        <v>629</v>
      </c>
      <c r="HG28" s="615" t="s">
        <v>629</v>
      </c>
      <c r="HH28" s="615" t="s">
        <v>629</v>
      </c>
      <c r="HI28" s="615" t="s">
        <v>629</v>
      </c>
      <c r="HJ28" s="615" t="s">
        <v>629</v>
      </c>
      <c r="HK28" s="615" t="s">
        <v>629</v>
      </c>
      <c r="HL28" s="615" t="s">
        <v>629</v>
      </c>
      <c r="HM28" s="615" t="s">
        <v>629</v>
      </c>
      <c r="HN28" s="615" t="s">
        <v>629</v>
      </c>
      <c r="HO28" s="611" t="str">
        <f t="shared" si="1"/>
        <v/>
      </c>
      <c r="HP28" s="611" t="str">
        <f t="shared" si="2"/>
        <v/>
      </c>
      <c r="HQ28" s="611" t="str">
        <f t="shared" si="3"/>
        <v/>
      </c>
      <c r="HR28" s="611" t="str">
        <f t="shared" si="4"/>
        <v/>
      </c>
      <c r="HS28" s="611" t="str">
        <f t="shared" si="5"/>
        <v/>
      </c>
      <c r="HT28" s="611" t="str">
        <f t="shared" si="6"/>
        <v/>
      </c>
      <c r="HU28" s="611" t="str">
        <f t="shared" si="7"/>
        <v/>
      </c>
      <c r="HV28" s="611" t="str">
        <f t="shared" si="8"/>
        <v/>
      </c>
      <c r="HW28" s="611" t="str">
        <f t="shared" si="9"/>
        <v/>
      </c>
      <c r="HX28" s="611" t="str">
        <f t="shared" si="10"/>
        <v/>
      </c>
      <c r="HY28" s="611" t="str">
        <f t="shared" si="11"/>
        <v/>
      </c>
      <c r="HZ28" s="611" t="str">
        <f t="shared" si="12"/>
        <v/>
      </c>
      <c r="IA28" s="623" t="s">
        <v>1298</v>
      </c>
    </row>
    <row r="29" spans="2:235">
      <c r="B29" s="594">
        <v>25</v>
      </c>
      <c r="C29" s="594">
        <v>225</v>
      </c>
      <c r="D29" s="611" t="s">
        <v>1185</v>
      </c>
      <c r="E29" s="612" t="s">
        <v>13</v>
      </c>
      <c r="F29" s="612">
        <v>110</v>
      </c>
      <c r="G29" s="612">
        <v>60</v>
      </c>
      <c r="H29" s="612">
        <v>30</v>
      </c>
      <c r="I29" s="612">
        <v>20</v>
      </c>
      <c r="J29" s="612"/>
      <c r="K29" s="612"/>
      <c r="L29" s="612"/>
      <c r="M29" s="612"/>
      <c r="N29" s="612"/>
      <c r="O29" s="612"/>
      <c r="P29" s="612"/>
      <c r="Q29" s="612"/>
      <c r="R29" s="612"/>
      <c r="S29" s="612"/>
      <c r="T29" s="612"/>
      <c r="U29" s="612"/>
      <c r="V29" s="612"/>
      <c r="W29" s="612"/>
      <c r="X29" s="612"/>
      <c r="Y29" s="612"/>
      <c r="Z29" s="612"/>
      <c r="AA29" s="612"/>
      <c r="AB29" s="612"/>
      <c r="AC29" s="612"/>
      <c r="AD29" s="612"/>
      <c r="AE29" s="612"/>
      <c r="AF29" s="612"/>
      <c r="AG29" s="612"/>
      <c r="AH29" s="612"/>
      <c r="AI29" s="612"/>
      <c r="AJ29" s="612"/>
      <c r="AK29" s="612"/>
      <c r="AL29" s="612"/>
      <c r="AM29" s="613"/>
      <c r="AN29" s="613"/>
      <c r="AO29" s="613"/>
      <c r="AP29" s="614"/>
      <c r="AQ29" s="612" t="s">
        <v>11</v>
      </c>
      <c r="AR29" s="615" t="s">
        <v>629</v>
      </c>
      <c r="AS29" s="615" t="s">
        <v>629</v>
      </c>
      <c r="AT29" s="615" t="s">
        <v>629</v>
      </c>
      <c r="AU29" s="615" t="s">
        <v>629</v>
      </c>
      <c r="AV29" s="615" t="s">
        <v>629</v>
      </c>
      <c r="AW29" s="615" t="s">
        <v>629</v>
      </c>
      <c r="AX29" s="615" t="s">
        <v>629</v>
      </c>
      <c r="AY29" s="615" t="s">
        <v>629</v>
      </c>
      <c r="AZ29" s="615" t="s">
        <v>629</v>
      </c>
      <c r="BA29" s="615" t="s">
        <v>629</v>
      </c>
      <c r="BB29" s="615" t="s">
        <v>629</v>
      </c>
      <c r="BC29" s="615" t="s">
        <v>629</v>
      </c>
      <c r="BD29" s="615" t="s">
        <v>629</v>
      </c>
      <c r="BE29" s="615" t="s">
        <v>629</v>
      </c>
      <c r="BF29" s="615" t="s">
        <v>629</v>
      </c>
      <c r="BG29" s="615" t="s">
        <v>629</v>
      </c>
      <c r="BH29" s="615" t="s">
        <v>629</v>
      </c>
      <c r="BI29" s="615" t="s">
        <v>629</v>
      </c>
      <c r="BJ29" s="615" t="s">
        <v>629</v>
      </c>
      <c r="BK29" s="615" t="s">
        <v>629</v>
      </c>
      <c r="BL29" s="615" t="s">
        <v>629</v>
      </c>
      <c r="BM29" s="615" t="s">
        <v>629</v>
      </c>
      <c r="BN29" s="615" t="s">
        <v>629</v>
      </c>
      <c r="BO29" s="615" t="s">
        <v>629</v>
      </c>
      <c r="BP29" s="615">
        <v>0</v>
      </c>
      <c r="BQ29" s="615">
        <v>0</v>
      </c>
      <c r="BR29" s="615">
        <v>0</v>
      </c>
      <c r="BS29" s="615">
        <v>0</v>
      </c>
      <c r="BT29" s="615">
        <v>0</v>
      </c>
      <c r="BU29" s="615">
        <v>0</v>
      </c>
      <c r="BV29" s="615">
        <v>0</v>
      </c>
      <c r="BW29" s="615">
        <v>0</v>
      </c>
      <c r="BX29" s="615">
        <v>0</v>
      </c>
      <c r="BY29" s="615">
        <v>0</v>
      </c>
      <c r="BZ29" s="615">
        <v>0</v>
      </c>
      <c r="CA29" s="615">
        <v>0</v>
      </c>
      <c r="CB29" s="615">
        <v>0</v>
      </c>
      <c r="CC29" s="615">
        <v>0</v>
      </c>
      <c r="CD29" s="615">
        <v>0</v>
      </c>
      <c r="CE29" s="615">
        <v>0</v>
      </c>
      <c r="CF29" s="615">
        <v>0</v>
      </c>
      <c r="CG29" s="615">
        <v>0</v>
      </c>
      <c r="CH29" s="615">
        <v>0</v>
      </c>
      <c r="CI29" s="615">
        <v>0</v>
      </c>
      <c r="CJ29" s="615">
        <v>0</v>
      </c>
      <c r="CK29" s="615">
        <v>0</v>
      </c>
      <c r="CL29" s="615">
        <v>0</v>
      </c>
      <c r="CM29" s="615">
        <v>0</v>
      </c>
      <c r="CN29" s="615">
        <v>0</v>
      </c>
      <c r="CO29" s="615">
        <v>0</v>
      </c>
      <c r="CP29" s="615">
        <v>0</v>
      </c>
      <c r="CQ29" s="615">
        <v>0</v>
      </c>
      <c r="CR29" s="615">
        <v>0</v>
      </c>
      <c r="CS29" s="615">
        <v>0</v>
      </c>
      <c r="CT29" s="615">
        <v>0</v>
      </c>
      <c r="CU29" s="615">
        <v>0</v>
      </c>
      <c r="CV29" s="615">
        <v>0</v>
      </c>
      <c r="CW29" s="615">
        <v>0</v>
      </c>
      <c r="CX29" s="615">
        <v>0</v>
      </c>
      <c r="CY29" s="615">
        <v>0</v>
      </c>
      <c r="CZ29" s="615" t="s">
        <v>1049</v>
      </c>
      <c r="DA29" s="615">
        <v>0</v>
      </c>
      <c r="DB29" s="617"/>
      <c r="DC29" s="617"/>
      <c r="DD29" s="617"/>
      <c r="DE29" s="617"/>
      <c r="DF29" s="617"/>
      <c r="DG29" s="617"/>
      <c r="DH29" s="617"/>
      <c r="DI29" s="617"/>
      <c r="DJ29" s="617"/>
      <c r="DK29" s="617"/>
      <c r="DL29" s="617"/>
      <c r="DM29" s="617"/>
      <c r="DN29" s="617"/>
      <c r="DO29" s="617"/>
      <c r="DP29" s="617"/>
      <c r="DQ29" s="617"/>
      <c r="DR29" s="617"/>
      <c r="DS29" s="617"/>
      <c r="DT29" s="617"/>
      <c r="DU29" s="617"/>
      <c r="DV29" s="617"/>
      <c r="DW29" s="617"/>
      <c r="DX29" s="617"/>
      <c r="DY29" s="617"/>
      <c r="DZ29" s="617"/>
      <c r="EA29" s="617"/>
      <c r="EB29" s="617"/>
      <c r="EC29" s="617"/>
      <c r="ED29" s="617"/>
      <c r="EE29" s="617"/>
      <c r="EF29" s="617"/>
      <c r="EG29" s="617"/>
      <c r="EH29" s="617"/>
      <c r="EI29" s="617"/>
      <c r="EJ29" s="617"/>
      <c r="EK29" s="617"/>
      <c r="EL29" s="615" t="s">
        <v>833</v>
      </c>
      <c r="EM29" s="615" t="s">
        <v>833</v>
      </c>
      <c r="EN29" s="615" t="s">
        <v>833</v>
      </c>
      <c r="EO29" s="615" t="s">
        <v>833</v>
      </c>
      <c r="EP29" s="615" t="s">
        <v>833</v>
      </c>
      <c r="EQ29" s="615" t="s">
        <v>833</v>
      </c>
      <c r="ER29" s="615" t="s">
        <v>833</v>
      </c>
      <c r="ES29" s="615" t="s">
        <v>833</v>
      </c>
      <c r="ET29" s="615" t="s">
        <v>833</v>
      </c>
      <c r="EU29" s="615" t="s">
        <v>833</v>
      </c>
      <c r="EV29" s="615" t="s">
        <v>833</v>
      </c>
      <c r="EW29" s="615" t="s">
        <v>833</v>
      </c>
      <c r="EX29" s="615">
        <v>3670</v>
      </c>
      <c r="EY29" s="615">
        <v>3820</v>
      </c>
      <c r="EZ29" s="616" t="s">
        <v>1577</v>
      </c>
      <c r="FA29" s="616" t="s">
        <v>1577</v>
      </c>
      <c r="FB29" s="616" t="s">
        <v>1577</v>
      </c>
      <c r="FC29" s="616" t="s">
        <v>1577</v>
      </c>
      <c r="FD29" s="616" t="s">
        <v>1577</v>
      </c>
      <c r="FE29" s="616" t="s">
        <v>1577</v>
      </c>
      <c r="FF29" s="616" t="s">
        <v>1577</v>
      </c>
      <c r="FG29" s="616" t="s">
        <v>1577</v>
      </c>
      <c r="FH29" s="616" t="s">
        <v>1577</v>
      </c>
      <c r="FI29" s="616" t="s">
        <v>1577</v>
      </c>
      <c r="FJ29" s="616" t="s">
        <v>1577</v>
      </c>
      <c r="FK29" s="616" t="s">
        <v>1577</v>
      </c>
      <c r="FL29" s="615">
        <v>25</v>
      </c>
      <c r="FM29" s="615">
        <v>25</v>
      </c>
      <c r="FN29" s="615">
        <v>25</v>
      </c>
      <c r="FO29" s="615">
        <v>25</v>
      </c>
      <c r="FP29" s="615">
        <v>25</v>
      </c>
      <c r="FQ29" s="615">
        <v>25</v>
      </c>
      <c r="FR29" s="615">
        <v>25</v>
      </c>
      <c r="FS29" s="615">
        <v>25</v>
      </c>
      <c r="FT29" s="615">
        <v>25</v>
      </c>
      <c r="FU29" s="615">
        <v>25</v>
      </c>
      <c r="FV29" s="615">
        <v>22</v>
      </c>
      <c r="FW29" s="615">
        <v>22</v>
      </c>
      <c r="FX29" s="615">
        <v>22</v>
      </c>
      <c r="FY29" s="615">
        <v>22</v>
      </c>
      <c r="FZ29" s="615">
        <v>22</v>
      </c>
      <c r="GA29" s="615">
        <v>22</v>
      </c>
      <c r="GB29" s="615">
        <v>22</v>
      </c>
      <c r="GC29" s="615">
        <v>22</v>
      </c>
      <c r="GD29" s="615">
        <v>22</v>
      </c>
      <c r="GE29" s="615">
        <v>22</v>
      </c>
      <c r="GF29" s="615">
        <v>18350</v>
      </c>
      <c r="GG29" s="615" t="s">
        <v>1206</v>
      </c>
      <c r="GH29" s="615" t="s">
        <v>1206</v>
      </c>
      <c r="GI29" s="615" t="s">
        <v>1206</v>
      </c>
      <c r="GJ29" s="615" t="s">
        <v>1206</v>
      </c>
      <c r="GK29" s="615" t="s">
        <v>1206</v>
      </c>
      <c r="GL29" s="615" t="s">
        <v>1206</v>
      </c>
      <c r="GM29" s="615" t="s">
        <v>1206</v>
      </c>
      <c r="GN29" s="615" t="s">
        <v>1206</v>
      </c>
      <c r="GO29" s="615" t="s">
        <v>1206</v>
      </c>
      <c r="GP29" s="615" t="s">
        <v>1206</v>
      </c>
      <c r="GQ29" s="615" t="s">
        <v>1206</v>
      </c>
      <c r="GR29" s="615" t="s">
        <v>1206</v>
      </c>
      <c r="GS29" s="615">
        <v>10</v>
      </c>
      <c r="GT29" s="615">
        <v>10</v>
      </c>
      <c r="GU29" s="615">
        <v>9</v>
      </c>
      <c r="GV29" s="615">
        <v>9</v>
      </c>
      <c r="GW29" s="615">
        <v>10</v>
      </c>
      <c r="GX29" s="615">
        <v>10</v>
      </c>
      <c r="GY29" s="615">
        <v>10</v>
      </c>
      <c r="GZ29" s="615">
        <v>10</v>
      </c>
      <c r="HA29" s="615">
        <v>10</v>
      </c>
      <c r="HB29" s="615">
        <v>10</v>
      </c>
      <c r="HC29" s="615" t="s">
        <v>1208</v>
      </c>
      <c r="HD29" s="615" t="s">
        <v>1208</v>
      </c>
      <c r="HE29" s="615" t="s">
        <v>1208</v>
      </c>
      <c r="HF29" s="615" t="s">
        <v>1208</v>
      </c>
      <c r="HG29" s="615" t="s">
        <v>1208</v>
      </c>
      <c r="HH29" s="615" t="s">
        <v>1208</v>
      </c>
      <c r="HI29" s="615" t="s">
        <v>1208</v>
      </c>
      <c r="HJ29" s="615" t="s">
        <v>1208</v>
      </c>
      <c r="HK29" s="615" t="s">
        <v>1208</v>
      </c>
      <c r="HL29" s="615" t="s">
        <v>1208</v>
      </c>
      <c r="HM29" s="615" t="s">
        <v>1208</v>
      </c>
      <c r="HN29" s="615" t="s">
        <v>1208</v>
      </c>
      <c r="HO29" s="611" t="str">
        <f t="shared" si="1"/>
        <v/>
      </c>
      <c r="HP29" s="611" t="str">
        <f t="shared" si="2"/>
        <v/>
      </c>
      <c r="HQ29" s="611" t="str">
        <f t="shared" si="3"/>
        <v/>
      </c>
      <c r="HR29" s="611" t="str">
        <f t="shared" si="4"/>
        <v/>
      </c>
      <c r="HS29" s="611" t="str">
        <f t="shared" si="5"/>
        <v/>
      </c>
      <c r="HT29" s="611" t="str">
        <f t="shared" si="6"/>
        <v/>
      </c>
      <c r="HU29" s="611" t="str">
        <f t="shared" si="7"/>
        <v/>
      </c>
      <c r="HV29" s="611" t="str">
        <f t="shared" si="8"/>
        <v/>
      </c>
      <c r="HW29" s="611" t="str">
        <f t="shared" si="9"/>
        <v/>
      </c>
      <c r="HX29" s="611" t="str">
        <f t="shared" si="10"/>
        <v/>
      </c>
      <c r="HY29" s="611" t="str">
        <f t="shared" si="11"/>
        <v/>
      </c>
      <c r="HZ29" s="611" t="str">
        <f t="shared" si="12"/>
        <v/>
      </c>
      <c r="IA29" s="622" t="s">
        <v>1298</v>
      </c>
    </row>
    <row r="30" spans="2:235">
      <c r="B30" s="594">
        <v>26</v>
      </c>
      <c r="C30" s="594">
        <v>226</v>
      </c>
      <c r="D30" s="611" t="s">
        <v>1186</v>
      </c>
      <c r="E30" s="612" t="s">
        <v>13</v>
      </c>
      <c r="F30" s="612">
        <v>35</v>
      </c>
      <c r="G30" s="612">
        <v>1</v>
      </c>
      <c r="H30" s="612">
        <v>3</v>
      </c>
      <c r="I30" s="612">
        <v>31</v>
      </c>
      <c r="J30" s="612"/>
      <c r="K30" s="612"/>
      <c r="L30" s="612"/>
      <c r="M30" s="612"/>
      <c r="N30" s="612"/>
      <c r="O30" s="612"/>
      <c r="P30" s="612"/>
      <c r="Q30" s="612"/>
      <c r="R30" s="612"/>
      <c r="S30" s="612"/>
      <c r="T30" s="612"/>
      <c r="U30" s="612"/>
      <c r="V30" s="612"/>
      <c r="W30" s="612"/>
      <c r="X30" s="612"/>
      <c r="Y30" s="612"/>
      <c r="Z30" s="612"/>
      <c r="AA30" s="612"/>
      <c r="AB30" s="612"/>
      <c r="AC30" s="612"/>
      <c r="AD30" s="612"/>
      <c r="AE30" s="612"/>
      <c r="AF30" s="612"/>
      <c r="AG30" s="612"/>
      <c r="AH30" s="612"/>
      <c r="AI30" s="612"/>
      <c r="AJ30" s="612"/>
      <c r="AK30" s="612"/>
      <c r="AL30" s="612"/>
      <c r="AM30" s="613"/>
      <c r="AN30" s="613"/>
      <c r="AO30" s="613"/>
      <c r="AP30" s="614"/>
      <c r="AQ30" s="612" t="s">
        <v>11</v>
      </c>
      <c r="AR30" s="615" t="s">
        <v>629</v>
      </c>
      <c r="AS30" s="615" t="s">
        <v>629</v>
      </c>
      <c r="AT30" s="615" t="s">
        <v>629</v>
      </c>
      <c r="AU30" s="615" t="s">
        <v>629</v>
      </c>
      <c r="AV30" s="615" t="s">
        <v>629</v>
      </c>
      <c r="AW30" s="615" t="s">
        <v>629</v>
      </c>
      <c r="AX30" s="615" t="s">
        <v>629</v>
      </c>
      <c r="AY30" s="615" t="s">
        <v>629</v>
      </c>
      <c r="AZ30" s="615" t="s">
        <v>629</v>
      </c>
      <c r="BA30" s="615" t="s">
        <v>629</v>
      </c>
      <c r="BB30" s="615" t="s">
        <v>629</v>
      </c>
      <c r="BC30" s="615" t="s">
        <v>629</v>
      </c>
      <c r="BD30" s="615" t="s">
        <v>629</v>
      </c>
      <c r="BE30" s="615" t="s">
        <v>629</v>
      </c>
      <c r="BF30" s="615" t="s">
        <v>629</v>
      </c>
      <c r="BG30" s="615" t="s">
        <v>629</v>
      </c>
      <c r="BH30" s="615" t="s">
        <v>629</v>
      </c>
      <c r="BI30" s="615" t="s">
        <v>629</v>
      </c>
      <c r="BJ30" s="615" t="s">
        <v>629</v>
      </c>
      <c r="BK30" s="615" t="s">
        <v>629</v>
      </c>
      <c r="BL30" s="615" t="s">
        <v>629</v>
      </c>
      <c r="BM30" s="615" t="s">
        <v>629</v>
      </c>
      <c r="BN30" s="615" t="s">
        <v>629</v>
      </c>
      <c r="BO30" s="615" t="s">
        <v>629</v>
      </c>
      <c r="BP30" s="615">
        <v>0</v>
      </c>
      <c r="BQ30" s="615">
        <v>0</v>
      </c>
      <c r="BR30" s="615">
        <v>0</v>
      </c>
      <c r="BS30" s="615">
        <v>0</v>
      </c>
      <c r="BT30" s="615">
        <v>0</v>
      </c>
      <c r="BU30" s="615">
        <v>0</v>
      </c>
      <c r="BV30" s="615">
        <v>0</v>
      </c>
      <c r="BW30" s="615">
        <v>0</v>
      </c>
      <c r="BX30" s="615">
        <v>0</v>
      </c>
      <c r="BY30" s="615">
        <v>0</v>
      </c>
      <c r="BZ30" s="615">
        <v>0</v>
      </c>
      <c r="CA30" s="615">
        <v>0</v>
      </c>
      <c r="CB30" s="615">
        <v>0</v>
      </c>
      <c r="CC30" s="615">
        <v>0</v>
      </c>
      <c r="CD30" s="615">
        <v>0</v>
      </c>
      <c r="CE30" s="615">
        <v>0</v>
      </c>
      <c r="CF30" s="615">
        <v>0</v>
      </c>
      <c r="CG30" s="615">
        <v>0</v>
      </c>
      <c r="CH30" s="615">
        <v>0</v>
      </c>
      <c r="CI30" s="615">
        <v>0</v>
      </c>
      <c r="CJ30" s="615">
        <v>0</v>
      </c>
      <c r="CK30" s="615">
        <v>0</v>
      </c>
      <c r="CL30" s="615">
        <v>0</v>
      </c>
      <c r="CM30" s="615">
        <v>0</v>
      </c>
      <c r="CN30" s="615">
        <v>0</v>
      </c>
      <c r="CO30" s="615">
        <v>0</v>
      </c>
      <c r="CP30" s="615">
        <v>0</v>
      </c>
      <c r="CQ30" s="615">
        <v>0</v>
      </c>
      <c r="CR30" s="615">
        <v>0</v>
      </c>
      <c r="CS30" s="615">
        <v>0</v>
      </c>
      <c r="CT30" s="615">
        <v>0</v>
      </c>
      <c r="CU30" s="615">
        <v>0</v>
      </c>
      <c r="CV30" s="615">
        <v>0</v>
      </c>
      <c r="CW30" s="615">
        <v>0</v>
      </c>
      <c r="CX30" s="615">
        <v>0</v>
      </c>
      <c r="CY30" s="615">
        <v>0</v>
      </c>
      <c r="CZ30" s="615" t="s">
        <v>1049</v>
      </c>
      <c r="DA30" s="615">
        <v>0</v>
      </c>
      <c r="DB30" s="617"/>
      <c r="DC30" s="617"/>
      <c r="DD30" s="617"/>
      <c r="DE30" s="617"/>
      <c r="DF30" s="617"/>
      <c r="DG30" s="617"/>
      <c r="DH30" s="617"/>
      <c r="DI30" s="617"/>
      <c r="DJ30" s="617"/>
      <c r="DK30" s="617"/>
      <c r="DL30" s="617"/>
      <c r="DM30" s="617"/>
      <c r="DN30" s="617"/>
      <c r="DO30" s="617"/>
      <c r="DP30" s="617"/>
      <c r="DQ30" s="617"/>
      <c r="DR30" s="617"/>
      <c r="DS30" s="617"/>
      <c r="DT30" s="617"/>
      <c r="DU30" s="617"/>
      <c r="DV30" s="617"/>
      <c r="DW30" s="617"/>
      <c r="DX30" s="617"/>
      <c r="DY30" s="617"/>
      <c r="DZ30" s="617"/>
      <c r="EA30" s="617"/>
      <c r="EB30" s="617"/>
      <c r="EC30" s="617"/>
      <c r="ED30" s="617"/>
      <c r="EE30" s="617"/>
      <c r="EF30" s="617"/>
      <c r="EG30" s="617"/>
      <c r="EH30" s="617"/>
      <c r="EI30" s="617"/>
      <c r="EJ30" s="617"/>
      <c r="EK30" s="617"/>
      <c r="EL30" s="615" t="s">
        <v>833</v>
      </c>
      <c r="EM30" s="615" t="s">
        <v>833</v>
      </c>
      <c r="EN30" s="615" t="s">
        <v>833</v>
      </c>
      <c r="EO30" s="615" t="s">
        <v>833</v>
      </c>
      <c r="EP30" s="615" t="s">
        <v>833</v>
      </c>
      <c r="EQ30" s="615" t="s">
        <v>833</v>
      </c>
      <c r="ER30" s="615" t="s">
        <v>833</v>
      </c>
      <c r="ES30" s="615" t="s">
        <v>833</v>
      </c>
      <c r="ET30" s="615" t="s">
        <v>833</v>
      </c>
      <c r="EU30" s="615" t="s">
        <v>833</v>
      </c>
      <c r="EV30" s="615" t="s">
        <v>833</v>
      </c>
      <c r="EW30" s="615" t="s">
        <v>833</v>
      </c>
      <c r="EX30" s="615">
        <v>3670</v>
      </c>
      <c r="EY30" s="615">
        <v>3820</v>
      </c>
      <c r="EZ30" s="615" t="s">
        <v>1206</v>
      </c>
      <c r="FA30" s="615" t="s">
        <v>1206</v>
      </c>
      <c r="FB30" s="615" t="s">
        <v>1206</v>
      </c>
      <c r="FC30" s="615" t="s">
        <v>1206</v>
      </c>
      <c r="FD30" s="615" t="s">
        <v>1206</v>
      </c>
      <c r="FE30" s="615" t="s">
        <v>1206</v>
      </c>
      <c r="FF30" s="615" t="s">
        <v>1206</v>
      </c>
      <c r="FG30" s="615" t="s">
        <v>1206</v>
      </c>
      <c r="FH30" s="615" t="s">
        <v>1206</v>
      </c>
      <c r="FI30" s="615" t="s">
        <v>1206</v>
      </c>
      <c r="FJ30" s="615" t="s">
        <v>1206</v>
      </c>
      <c r="FK30" s="615" t="s">
        <v>1206</v>
      </c>
      <c r="FL30" s="615">
        <v>0</v>
      </c>
      <c r="FM30" s="615">
        <v>0</v>
      </c>
      <c r="FN30" s="615">
        <v>0</v>
      </c>
      <c r="FO30" s="615">
        <v>0</v>
      </c>
      <c r="FP30" s="615">
        <v>0</v>
      </c>
      <c r="FQ30" s="615">
        <v>0</v>
      </c>
      <c r="FR30" s="615">
        <v>0</v>
      </c>
      <c r="FS30" s="615">
        <v>0</v>
      </c>
      <c r="FT30" s="615">
        <v>0</v>
      </c>
      <c r="FU30" s="615">
        <v>0</v>
      </c>
      <c r="FV30" s="615">
        <v>0</v>
      </c>
      <c r="FW30" s="615">
        <v>0</v>
      </c>
      <c r="FX30" s="615">
        <v>0</v>
      </c>
      <c r="FY30" s="615">
        <v>0</v>
      </c>
      <c r="FZ30" s="615">
        <v>0</v>
      </c>
      <c r="GA30" s="615">
        <v>0</v>
      </c>
      <c r="GB30" s="615">
        <v>0</v>
      </c>
      <c r="GC30" s="615">
        <v>0</v>
      </c>
      <c r="GD30" s="615">
        <v>0</v>
      </c>
      <c r="GE30" s="615">
        <v>0</v>
      </c>
      <c r="GF30" s="615">
        <v>18350</v>
      </c>
      <c r="GG30" s="615" t="s">
        <v>1206</v>
      </c>
      <c r="GH30" s="615" t="s">
        <v>1206</v>
      </c>
      <c r="GI30" s="615" t="s">
        <v>1206</v>
      </c>
      <c r="GJ30" s="615" t="s">
        <v>1206</v>
      </c>
      <c r="GK30" s="615" t="s">
        <v>1206</v>
      </c>
      <c r="GL30" s="615" t="s">
        <v>1206</v>
      </c>
      <c r="GM30" s="615" t="s">
        <v>1206</v>
      </c>
      <c r="GN30" s="615" t="s">
        <v>1206</v>
      </c>
      <c r="GO30" s="615" t="s">
        <v>1206</v>
      </c>
      <c r="GP30" s="615" t="s">
        <v>1206</v>
      </c>
      <c r="GQ30" s="615" t="s">
        <v>1206</v>
      </c>
      <c r="GR30" s="615" t="s">
        <v>1206</v>
      </c>
      <c r="GS30" s="615">
        <v>10</v>
      </c>
      <c r="GT30" s="615">
        <v>10</v>
      </c>
      <c r="GU30" s="615">
        <v>10</v>
      </c>
      <c r="GV30" s="615">
        <v>10</v>
      </c>
      <c r="GW30" s="615">
        <v>10</v>
      </c>
      <c r="GX30" s="615">
        <v>10</v>
      </c>
      <c r="GY30" s="615">
        <v>9</v>
      </c>
      <c r="GZ30" s="615">
        <v>9</v>
      </c>
      <c r="HA30" s="615">
        <v>9</v>
      </c>
      <c r="HB30" s="615">
        <v>9</v>
      </c>
      <c r="HC30" s="615" t="s">
        <v>1207</v>
      </c>
      <c r="HD30" s="615" t="s">
        <v>1207</v>
      </c>
      <c r="HE30" s="615" t="s">
        <v>1207</v>
      </c>
      <c r="HF30" s="615" t="s">
        <v>1207</v>
      </c>
      <c r="HG30" s="615" t="s">
        <v>1207</v>
      </c>
      <c r="HH30" s="615" t="s">
        <v>1207</v>
      </c>
      <c r="HI30" s="615" t="s">
        <v>1207</v>
      </c>
      <c r="HJ30" s="615" t="s">
        <v>1207</v>
      </c>
      <c r="HK30" s="615" t="s">
        <v>1207</v>
      </c>
      <c r="HL30" s="615" t="s">
        <v>1207</v>
      </c>
      <c r="HM30" s="615" t="s">
        <v>1207</v>
      </c>
      <c r="HN30" s="615" t="s">
        <v>1207</v>
      </c>
      <c r="HO30" s="611">
        <f t="shared" si="1"/>
        <v>79950</v>
      </c>
      <c r="HP30" s="611">
        <f t="shared" si="2"/>
        <v>79950</v>
      </c>
      <c r="HQ30" s="611">
        <f t="shared" si="3"/>
        <v>79950</v>
      </c>
      <c r="HR30" s="611">
        <f t="shared" si="4"/>
        <v>79950</v>
      </c>
      <c r="HS30" s="611">
        <f t="shared" si="5"/>
        <v>79950</v>
      </c>
      <c r="HT30" s="611">
        <f t="shared" si="6"/>
        <v>79950</v>
      </c>
      <c r="HU30" s="611">
        <f t="shared" si="7"/>
        <v>79950</v>
      </c>
      <c r="HV30" s="611">
        <f t="shared" si="8"/>
        <v>79950</v>
      </c>
      <c r="HW30" s="611">
        <f t="shared" si="9"/>
        <v>79950</v>
      </c>
      <c r="HX30" s="611">
        <f t="shared" si="10"/>
        <v>79950</v>
      </c>
      <c r="HY30" s="611">
        <f t="shared" si="11"/>
        <v>79950</v>
      </c>
      <c r="HZ30" s="611">
        <f t="shared" si="12"/>
        <v>79950</v>
      </c>
      <c r="IA30" s="622" t="s">
        <v>1662</v>
      </c>
    </row>
    <row r="31" spans="2:235">
      <c r="B31" s="594">
        <v>27</v>
      </c>
      <c r="C31" s="594">
        <v>227</v>
      </c>
      <c r="D31" s="611" t="s">
        <v>763</v>
      </c>
      <c r="E31" s="612" t="s">
        <v>13</v>
      </c>
      <c r="F31" s="612">
        <v>210</v>
      </c>
      <c r="G31" s="612">
        <v>150</v>
      </c>
      <c r="H31" s="612">
        <v>50</v>
      </c>
      <c r="I31" s="612">
        <v>10</v>
      </c>
      <c r="J31" s="612"/>
      <c r="K31" s="612"/>
      <c r="L31" s="612"/>
      <c r="M31" s="612"/>
      <c r="N31" s="612"/>
      <c r="O31" s="612"/>
      <c r="P31" s="612"/>
      <c r="Q31" s="612"/>
      <c r="R31" s="612"/>
      <c r="S31" s="612"/>
      <c r="T31" s="612"/>
      <c r="U31" s="612"/>
      <c r="V31" s="612"/>
      <c r="W31" s="612"/>
      <c r="X31" s="612"/>
      <c r="Y31" s="612"/>
      <c r="Z31" s="612"/>
      <c r="AA31" s="612"/>
      <c r="AB31" s="612"/>
      <c r="AC31" s="612"/>
      <c r="AD31" s="612"/>
      <c r="AE31" s="612"/>
      <c r="AF31" s="612"/>
      <c r="AG31" s="612"/>
      <c r="AH31" s="612"/>
      <c r="AI31" s="612"/>
      <c r="AJ31" s="612"/>
      <c r="AK31" s="612"/>
      <c r="AL31" s="612"/>
      <c r="AM31" s="613"/>
      <c r="AN31" s="613"/>
      <c r="AO31" s="613"/>
      <c r="AP31" s="612"/>
      <c r="AQ31" s="612" t="s">
        <v>11</v>
      </c>
      <c r="AR31" s="615" t="s">
        <v>629</v>
      </c>
      <c r="AS31" s="615" t="s">
        <v>629</v>
      </c>
      <c r="AT31" s="615" t="s">
        <v>629</v>
      </c>
      <c r="AU31" s="615" t="s">
        <v>629</v>
      </c>
      <c r="AV31" s="615" t="s">
        <v>629</v>
      </c>
      <c r="AW31" s="615" t="s">
        <v>629</v>
      </c>
      <c r="AX31" s="615" t="s">
        <v>629</v>
      </c>
      <c r="AY31" s="615" t="s">
        <v>629</v>
      </c>
      <c r="AZ31" s="615" t="s">
        <v>629</v>
      </c>
      <c r="BA31" s="615" t="s">
        <v>629</v>
      </c>
      <c r="BB31" s="615" t="s">
        <v>629</v>
      </c>
      <c r="BC31" s="615" t="s">
        <v>629</v>
      </c>
      <c r="BD31" s="615" t="s">
        <v>629</v>
      </c>
      <c r="BE31" s="615" t="s">
        <v>629</v>
      </c>
      <c r="BF31" s="615" t="s">
        <v>629</v>
      </c>
      <c r="BG31" s="615" t="s">
        <v>629</v>
      </c>
      <c r="BH31" s="615" t="s">
        <v>629</v>
      </c>
      <c r="BI31" s="615" t="s">
        <v>629</v>
      </c>
      <c r="BJ31" s="615" t="s">
        <v>629</v>
      </c>
      <c r="BK31" s="615" t="s">
        <v>629</v>
      </c>
      <c r="BL31" s="615" t="s">
        <v>629</v>
      </c>
      <c r="BM31" s="615" t="s">
        <v>629</v>
      </c>
      <c r="BN31" s="615" t="s">
        <v>629</v>
      </c>
      <c r="BO31" s="615" t="s">
        <v>629</v>
      </c>
      <c r="BP31" s="615">
        <v>1</v>
      </c>
      <c r="BQ31" s="615">
        <v>1</v>
      </c>
      <c r="BR31" s="615">
        <v>0</v>
      </c>
      <c r="BS31" s="615">
        <v>0</v>
      </c>
      <c r="BT31" s="615">
        <v>0</v>
      </c>
      <c r="BU31" s="615">
        <v>0</v>
      </c>
      <c r="BV31" s="615">
        <v>0</v>
      </c>
      <c r="BW31" s="615">
        <v>0</v>
      </c>
      <c r="BX31" s="615">
        <v>0</v>
      </c>
      <c r="BY31" s="615">
        <v>0</v>
      </c>
      <c r="BZ31" s="615">
        <v>0</v>
      </c>
      <c r="CA31" s="615">
        <v>0</v>
      </c>
      <c r="CB31" s="615">
        <v>0</v>
      </c>
      <c r="CC31" s="615">
        <v>0</v>
      </c>
      <c r="CD31" s="615">
        <v>0</v>
      </c>
      <c r="CE31" s="615">
        <v>0</v>
      </c>
      <c r="CF31" s="615">
        <v>0</v>
      </c>
      <c r="CG31" s="615">
        <v>0</v>
      </c>
      <c r="CH31" s="615">
        <v>0</v>
      </c>
      <c r="CI31" s="615">
        <v>0</v>
      </c>
      <c r="CJ31" s="615">
        <v>0</v>
      </c>
      <c r="CK31" s="615">
        <v>0</v>
      </c>
      <c r="CL31" s="615">
        <v>0</v>
      </c>
      <c r="CM31" s="615">
        <v>0</v>
      </c>
      <c r="CN31" s="615">
        <v>0</v>
      </c>
      <c r="CO31" s="615">
        <v>0</v>
      </c>
      <c r="CP31" s="615">
        <v>0</v>
      </c>
      <c r="CQ31" s="615">
        <v>0</v>
      </c>
      <c r="CR31" s="615">
        <v>0</v>
      </c>
      <c r="CS31" s="615">
        <v>0</v>
      </c>
      <c r="CT31" s="615">
        <v>0</v>
      </c>
      <c r="CU31" s="615">
        <v>0</v>
      </c>
      <c r="CV31" s="615">
        <v>0</v>
      </c>
      <c r="CW31" s="615">
        <v>0</v>
      </c>
      <c r="CX31" s="615">
        <v>0</v>
      </c>
      <c r="CY31" s="615">
        <v>0</v>
      </c>
      <c r="CZ31" s="615" t="s">
        <v>1049</v>
      </c>
      <c r="DA31" s="615">
        <v>1</v>
      </c>
      <c r="DB31" s="617"/>
      <c r="DC31" s="617"/>
      <c r="DD31" s="617"/>
      <c r="DE31" s="617"/>
      <c r="DF31" s="617"/>
      <c r="DG31" s="617"/>
      <c r="DH31" s="617"/>
      <c r="DI31" s="617"/>
      <c r="DJ31" s="617"/>
      <c r="DK31" s="617"/>
      <c r="DL31" s="617"/>
      <c r="DM31" s="617"/>
      <c r="DN31" s="617"/>
      <c r="DO31" s="617"/>
      <c r="DP31" s="617"/>
      <c r="DQ31" s="617"/>
      <c r="DR31" s="617"/>
      <c r="DS31" s="617"/>
      <c r="DT31" s="617"/>
      <c r="DU31" s="617"/>
      <c r="DV31" s="617"/>
      <c r="DW31" s="617"/>
      <c r="DX31" s="617"/>
      <c r="DY31" s="617"/>
      <c r="DZ31" s="617"/>
      <c r="EA31" s="617"/>
      <c r="EB31" s="617"/>
      <c r="EC31" s="617"/>
      <c r="ED31" s="617"/>
      <c r="EE31" s="617"/>
      <c r="EF31" s="617"/>
      <c r="EG31" s="617"/>
      <c r="EH31" s="617"/>
      <c r="EI31" s="617"/>
      <c r="EJ31" s="617"/>
      <c r="EK31" s="617"/>
      <c r="EL31" s="615" t="s">
        <v>833</v>
      </c>
      <c r="EM31" s="615" t="s">
        <v>833</v>
      </c>
      <c r="EN31" s="615" t="s">
        <v>833</v>
      </c>
      <c r="EO31" s="615" t="s">
        <v>833</v>
      </c>
      <c r="EP31" s="615" t="s">
        <v>833</v>
      </c>
      <c r="EQ31" s="615" t="s">
        <v>833</v>
      </c>
      <c r="ER31" s="615" t="s">
        <v>833</v>
      </c>
      <c r="ES31" s="615" t="s">
        <v>833</v>
      </c>
      <c r="ET31" s="615" t="s">
        <v>833</v>
      </c>
      <c r="EU31" s="615" t="s">
        <v>833</v>
      </c>
      <c r="EV31" s="615" t="s">
        <v>833</v>
      </c>
      <c r="EW31" s="615" t="s">
        <v>833</v>
      </c>
      <c r="EX31" s="615">
        <v>3670</v>
      </c>
      <c r="EY31" s="615">
        <v>3820</v>
      </c>
      <c r="EZ31" s="615" t="s">
        <v>1206</v>
      </c>
      <c r="FA31" s="615" t="s">
        <v>1206</v>
      </c>
      <c r="FB31" s="615" t="s">
        <v>1206</v>
      </c>
      <c r="FC31" s="615" t="s">
        <v>1206</v>
      </c>
      <c r="FD31" s="615" t="s">
        <v>1206</v>
      </c>
      <c r="FE31" s="615" t="s">
        <v>1206</v>
      </c>
      <c r="FF31" s="615" t="s">
        <v>1206</v>
      </c>
      <c r="FG31" s="615" t="s">
        <v>1206</v>
      </c>
      <c r="FH31" s="615" t="s">
        <v>1206</v>
      </c>
      <c r="FI31" s="615" t="s">
        <v>1206</v>
      </c>
      <c r="FJ31" s="615" t="s">
        <v>1206</v>
      </c>
      <c r="FK31" s="615" t="s">
        <v>1206</v>
      </c>
      <c r="FL31" s="615">
        <v>55</v>
      </c>
      <c r="FM31" s="615">
        <v>55</v>
      </c>
      <c r="FN31" s="615">
        <v>56</v>
      </c>
      <c r="FO31" s="615">
        <v>55</v>
      </c>
      <c r="FP31" s="615">
        <v>54</v>
      </c>
      <c r="FQ31" s="615">
        <v>54</v>
      </c>
      <c r="FR31" s="615">
        <v>53</v>
      </c>
      <c r="FS31" s="615">
        <v>53</v>
      </c>
      <c r="FT31" s="615">
        <v>53</v>
      </c>
      <c r="FU31" s="615">
        <v>53</v>
      </c>
      <c r="FV31" s="615">
        <v>36</v>
      </c>
      <c r="FW31" s="615">
        <v>36</v>
      </c>
      <c r="FX31" s="615">
        <v>36</v>
      </c>
      <c r="FY31" s="615">
        <v>37</v>
      </c>
      <c r="FZ31" s="615">
        <v>37</v>
      </c>
      <c r="GA31" s="615">
        <v>36</v>
      </c>
      <c r="GB31" s="615">
        <v>37</v>
      </c>
      <c r="GC31" s="615">
        <v>37</v>
      </c>
      <c r="GD31" s="615">
        <v>37</v>
      </c>
      <c r="GE31" s="615">
        <v>36</v>
      </c>
      <c r="GF31" s="615">
        <v>18350</v>
      </c>
      <c r="GG31" s="615" t="s">
        <v>833</v>
      </c>
      <c r="GH31" s="615" t="s">
        <v>833</v>
      </c>
      <c r="GI31" s="615" t="s">
        <v>833</v>
      </c>
      <c r="GJ31" s="615" t="s">
        <v>833</v>
      </c>
      <c r="GK31" s="615" t="s">
        <v>833</v>
      </c>
      <c r="GL31" s="615" t="s">
        <v>833</v>
      </c>
      <c r="GM31" s="615" t="s">
        <v>833</v>
      </c>
      <c r="GN31" s="615" t="s">
        <v>833</v>
      </c>
      <c r="GO31" s="615" t="s">
        <v>833</v>
      </c>
      <c r="GP31" s="615" t="s">
        <v>833</v>
      </c>
      <c r="GQ31" s="615" t="s">
        <v>833</v>
      </c>
      <c r="GR31" s="615" t="s">
        <v>833</v>
      </c>
      <c r="GS31" s="615">
        <v>5</v>
      </c>
      <c r="GT31" s="615">
        <v>5</v>
      </c>
      <c r="GU31" s="615">
        <v>5</v>
      </c>
      <c r="GV31" s="615">
        <v>5</v>
      </c>
      <c r="GW31" s="615">
        <v>5</v>
      </c>
      <c r="GX31" s="615">
        <v>5</v>
      </c>
      <c r="GY31" s="615">
        <v>5</v>
      </c>
      <c r="GZ31" s="615">
        <v>5</v>
      </c>
      <c r="HA31" s="615">
        <v>5</v>
      </c>
      <c r="HB31" s="615">
        <v>5</v>
      </c>
      <c r="HC31" s="615" t="s">
        <v>629</v>
      </c>
      <c r="HD31" s="615" t="s">
        <v>629</v>
      </c>
      <c r="HE31" s="615" t="s">
        <v>629</v>
      </c>
      <c r="HF31" s="615" t="s">
        <v>629</v>
      </c>
      <c r="HG31" s="615" t="s">
        <v>629</v>
      </c>
      <c r="HH31" s="615" t="s">
        <v>629</v>
      </c>
      <c r="HI31" s="615" t="s">
        <v>629</v>
      </c>
      <c r="HJ31" s="615" t="s">
        <v>629</v>
      </c>
      <c r="HK31" s="615" t="s">
        <v>629</v>
      </c>
      <c r="HL31" s="615" t="s">
        <v>629</v>
      </c>
      <c r="HM31" s="615" t="s">
        <v>629</v>
      </c>
      <c r="HN31" s="615" t="s">
        <v>629</v>
      </c>
      <c r="HO31" s="611" t="str">
        <f t="shared" si="1"/>
        <v/>
      </c>
      <c r="HP31" s="611" t="str">
        <f t="shared" si="2"/>
        <v/>
      </c>
      <c r="HQ31" s="611" t="str">
        <f t="shared" si="3"/>
        <v/>
      </c>
      <c r="HR31" s="611" t="str">
        <f t="shared" si="4"/>
        <v/>
      </c>
      <c r="HS31" s="611" t="str">
        <f t="shared" si="5"/>
        <v/>
      </c>
      <c r="HT31" s="611" t="str">
        <f t="shared" si="6"/>
        <v/>
      </c>
      <c r="HU31" s="611" t="str">
        <f t="shared" si="7"/>
        <v/>
      </c>
      <c r="HV31" s="611" t="str">
        <f t="shared" si="8"/>
        <v/>
      </c>
      <c r="HW31" s="611" t="str">
        <f t="shared" si="9"/>
        <v/>
      </c>
      <c r="HX31" s="611" t="str">
        <f t="shared" si="10"/>
        <v/>
      </c>
      <c r="HY31" s="611" t="str">
        <f t="shared" si="11"/>
        <v/>
      </c>
      <c r="HZ31" s="611" t="str">
        <f t="shared" si="12"/>
        <v/>
      </c>
      <c r="IA31" s="619" t="s">
        <v>1295</v>
      </c>
    </row>
    <row r="32" spans="2:235">
      <c r="B32" s="594">
        <v>28</v>
      </c>
      <c r="C32" s="594">
        <v>228</v>
      </c>
      <c r="D32" s="611" t="s">
        <v>401</v>
      </c>
      <c r="E32" s="612" t="s">
        <v>13</v>
      </c>
      <c r="F32" s="612">
        <v>170</v>
      </c>
      <c r="G32" s="612">
        <v>135</v>
      </c>
      <c r="H32" s="612">
        <v>35</v>
      </c>
      <c r="I32" s="612">
        <v>0</v>
      </c>
      <c r="J32" s="612"/>
      <c r="K32" s="612"/>
      <c r="L32" s="612"/>
      <c r="M32" s="612"/>
      <c r="N32" s="612"/>
      <c r="O32" s="612"/>
      <c r="P32" s="612"/>
      <c r="Q32" s="612"/>
      <c r="R32" s="612"/>
      <c r="S32" s="612"/>
      <c r="T32" s="612"/>
      <c r="U32" s="612"/>
      <c r="V32" s="612"/>
      <c r="W32" s="612"/>
      <c r="X32" s="612"/>
      <c r="Y32" s="612"/>
      <c r="Z32" s="612"/>
      <c r="AA32" s="612"/>
      <c r="AB32" s="612"/>
      <c r="AC32" s="612"/>
      <c r="AD32" s="612"/>
      <c r="AE32" s="612"/>
      <c r="AF32" s="612"/>
      <c r="AG32" s="612"/>
      <c r="AH32" s="612"/>
      <c r="AI32" s="612"/>
      <c r="AJ32" s="612"/>
      <c r="AK32" s="612"/>
      <c r="AL32" s="612"/>
      <c r="AM32" s="613"/>
      <c r="AN32" s="613"/>
      <c r="AO32" s="613"/>
      <c r="AP32" s="612"/>
      <c r="AQ32" s="612" t="s">
        <v>11</v>
      </c>
      <c r="AR32" s="615" t="s">
        <v>629</v>
      </c>
      <c r="AS32" s="615" t="s">
        <v>629</v>
      </c>
      <c r="AT32" s="615" t="s">
        <v>629</v>
      </c>
      <c r="AU32" s="615" t="s">
        <v>629</v>
      </c>
      <c r="AV32" s="615" t="s">
        <v>629</v>
      </c>
      <c r="AW32" s="615" t="s">
        <v>629</v>
      </c>
      <c r="AX32" s="615" t="s">
        <v>629</v>
      </c>
      <c r="AY32" s="615" t="s">
        <v>629</v>
      </c>
      <c r="AZ32" s="615" t="s">
        <v>629</v>
      </c>
      <c r="BA32" s="615" t="s">
        <v>629</v>
      </c>
      <c r="BB32" s="615" t="s">
        <v>629</v>
      </c>
      <c r="BC32" s="615" t="s">
        <v>629</v>
      </c>
      <c r="BD32" s="615" t="s">
        <v>629</v>
      </c>
      <c r="BE32" s="615" t="s">
        <v>629</v>
      </c>
      <c r="BF32" s="615" t="s">
        <v>629</v>
      </c>
      <c r="BG32" s="615" t="s">
        <v>629</v>
      </c>
      <c r="BH32" s="615" t="s">
        <v>629</v>
      </c>
      <c r="BI32" s="615" t="s">
        <v>629</v>
      </c>
      <c r="BJ32" s="615" t="s">
        <v>629</v>
      </c>
      <c r="BK32" s="615" t="s">
        <v>629</v>
      </c>
      <c r="BL32" s="615" t="s">
        <v>629</v>
      </c>
      <c r="BM32" s="615" t="s">
        <v>629</v>
      </c>
      <c r="BN32" s="615" t="s">
        <v>629</v>
      </c>
      <c r="BO32" s="615" t="s">
        <v>629</v>
      </c>
      <c r="BP32" s="615">
        <v>0</v>
      </c>
      <c r="BQ32" s="615">
        <v>0</v>
      </c>
      <c r="BR32" s="615">
        <v>0</v>
      </c>
      <c r="BS32" s="615">
        <v>0</v>
      </c>
      <c r="BT32" s="615">
        <v>0</v>
      </c>
      <c r="BU32" s="615">
        <v>0</v>
      </c>
      <c r="BV32" s="615">
        <v>0</v>
      </c>
      <c r="BW32" s="615">
        <v>0</v>
      </c>
      <c r="BX32" s="615">
        <v>0</v>
      </c>
      <c r="BY32" s="615">
        <v>0</v>
      </c>
      <c r="BZ32" s="615">
        <v>0</v>
      </c>
      <c r="CA32" s="615">
        <v>0</v>
      </c>
      <c r="CB32" s="615">
        <v>0</v>
      </c>
      <c r="CC32" s="615">
        <v>0</v>
      </c>
      <c r="CD32" s="615">
        <v>0</v>
      </c>
      <c r="CE32" s="615">
        <v>0</v>
      </c>
      <c r="CF32" s="615">
        <v>0</v>
      </c>
      <c r="CG32" s="615">
        <v>0</v>
      </c>
      <c r="CH32" s="615">
        <v>0</v>
      </c>
      <c r="CI32" s="615">
        <v>0</v>
      </c>
      <c r="CJ32" s="615">
        <v>0</v>
      </c>
      <c r="CK32" s="615">
        <v>0</v>
      </c>
      <c r="CL32" s="615">
        <v>0</v>
      </c>
      <c r="CM32" s="615">
        <v>0</v>
      </c>
      <c r="CN32" s="615">
        <v>0</v>
      </c>
      <c r="CO32" s="615">
        <v>0</v>
      </c>
      <c r="CP32" s="615">
        <v>0</v>
      </c>
      <c r="CQ32" s="615">
        <v>0</v>
      </c>
      <c r="CR32" s="615">
        <v>0</v>
      </c>
      <c r="CS32" s="615">
        <v>0</v>
      </c>
      <c r="CT32" s="615">
        <v>0</v>
      </c>
      <c r="CU32" s="615">
        <v>0</v>
      </c>
      <c r="CV32" s="615">
        <v>0</v>
      </c>
      <c r="CW32" s="615">
        <v>0</v>
      </c>
      <c r="CX32" s="615">
        <v>0</v>
      </c>
      <c r="CY32" s="615">
        <v>0</v>
      </c>
      <c r="CZ32" s="615" t="s">
        <v>1049</v>
      </c>
      <c r="DA32" s="615">
        <v>0</v>
      </c>
      <c r="DB32" s="617"/>
      <c r="DC32" s="617"/>
      <c r="DD32" s="617"/>
      <c r="DE32" s="617"/>
      <c r="DF32" s="617"/>
      <c r="DG32" s="617"/>
      <c r="DH32" s="617"/>
      <c r="DI32" s="617"/>
      <c r="DJ32" s="617"/>
      <c r="DK32" s="617"/>
      <c r="DL32" s="617"/>
      <c r="DM32" s="617"/>
      <c r="DN32" s="617"/>
      <c r="DO32" s="617"/>
      <c r="DP32" s="617"/>
      <c r="DQ32" s="617"/>
      <c r="DR32" s="617"/>
      <c r="DS32" s="617"/>
      <c r="DT32" s="617"/>
      <c r="DU32" s="617"/>
      <c r="DV32" s="617"/>
      <c r="DW32" s="617"/>
      <c r="DX32" s="617"/>
      <c r="DY32" s="617"/>
      <c r="DZ32" s="617"/>
      <c r="EA32" s="617"/>
      <c r="EB32" s="617"/>
      <c r="EC32" s="617"/>
      <c r="ED32" s="617"/>
      <c r="EE32" s="617"/>
      <c r="EF32" s="617"/>
      <c r="EG32" s="617"/>
      <c r="EH32" s="617"/>
      <c r="EI32" s="617"/>
      <c r="EJ32" s="617"/>
      <c r="EK32" s="617"/>
      <c r="EL32" s="615" t="s">
        <v>833</v>
      </c>
      <c r="EM32" s="615" t="s">
        <v>833</v>
      </c>
      <c r="EN32" s="615" t="s">
        <v>833</v>
      </c>
      <c r="EO32" s="615" t="s">
        <v>833</v>
      </c>
      <c r="EP32" s="615" t="s">
        <v>833</v>
      </c>
      <c r="EQ32" s="615" t="s">
        <v>833</v>
      </c>
      <c r="ER32" s="615" t="s">
        <v>833</v>
      </c>
      <c r="ES32" s="615" t="s">
        <v>833</v>
      </c>
      <c r="ET32" s="615" t="s">
        <v>833</v>
      </c>
      <c r="EU32" s="615" t="s">
        <v>833</v>
      </c>
      <c r="EV32" s="615" t="s">
        <v>833</v>
      </c>
      <c r="EW32" s="615" t="s">
        <v>833</v>
      </c>
      <c r="EX32" s="615">
        <v>3670</v>
      </c>
      <c r="EY32" s="615">
        <v>3820</v>
      </c>
      <c r="EZ32" s="616" t="s">
        <v>1577</v>
      </c>
      <c r="FA32" s="616" t="s">
        <v>1577</v>
      </c>
      <c r="FB32" s="616" t="s">
        <v>1577</v>
      </c>
      <c r="FC32" s="616" t="s">
        <v>1577</v>
      </c>
      <c r="FD32" s="616" t="s">
        <v>1577</v>
      </c>
      <c r="FE32" s="616" t="s">
        <v>1577</v>
      </c>
      <c r="FF32" s="616" t="s">
        <v>1577</v>
      </c>
      <c r="FG32" s="616" t="s">
        <v>1577</v>
      </c>
      <c r="FH32" s="616" t="s">
        <v>1577</v>
      </c>
      <c r="FI32" s="616" t="s">
        <v>1577</v>
      </c>
      <c r="FJ32" s="616" t="s">
        <v>1577</v>
      </c>
      <c r="FK32" s="616" t="s">
        <v>1577</v>
      </c>
      <c r="FL32" s="615">
        <v>55</v>
      </c>
      <c r="FM32" s="615">
        <v>56</v>
      </c>
      <c r="FN32" s="615">
        <v>56</v>
      </c>
      <c r="FO32" s="615">
        <v>56</v>
      </c>
      <c r="FP32" s="615">
        <v>55</v>
      </c>
      <c r="FQ32" s="615">
        <v>55</v>
      </c>
      <c r="FR32" s="615">
        <v>55</v>
      </c>
      <c r="FS32" s="615">
        <v>52</v>
      </c>
      <c r="FT32" s="615">
        <v>52</v>
      </c>
      <c r="FU32" s="615">
        <v>53</v>
      </c>
      <c r="FV32" s="615">
        <v>19</v>
      </c>
      <c r="FW32" s="615">
        <v>19</v>
      </c>
      <c r="FX32" s="615">
        <v>19</v>
      </c>
      <c r="FY32" s="615">
        <v>19</v>
      </c>
      <c r="FZ32" s="615">
        <v>20</v>
      </c>
      <c r="GA32" s="615">
        <v>20</v>
      </c>
      <c r="GB32" s="615">
        <v>21</v>
      </c>
      <c r="GC32" s="615">
        <v>21</v>
      </c>
      <c r="GD32" s="615">
        <v>21</v>
      </c>
      <c r="GE32" s="615">
        <v>20</v>
      </c>
      <c r="GF32" s="615">
        <v>18350</v>
      </c>
      <c r="GG32" s="615" t="s">
        <v>1206</v>
      </c>
      <c r="GH32" s="615" t="s">
        <v>1206</v>
      </c>
      <c r="GI32" s="615" t="s">
        <v>1206</v>
      </c>
      <c r="GJ32" s="615" t="s">
        <v>1206</v>
      </c>
      <c r="GK32" s="615" t="s">
        <v>1206</v>
      </c>
      <c r="GL32" s="615" t="s">
        <v>1206</v>
      </c>
      <c r="GM32" s="615" t="s">
        <v>1206</v>
      </c>
      <c r="GN32" s="615" t="s">
        <v>1206</v>
      </c>
      <c r="GO32" s="615" t="s">
        <v>1206</v>
      </c>
      <c r="GP32" s="615" t="s">
        <v>1206</v>
      </c>
      <c r="GQ32" s="615" t="s">
        <v>1206</v>
      </c>
      <c r="GR32" s="615" t="s">
        <v>1206</v>
      </c>
      <c r="GS32" s="615">
        <v>0</v>
      </c>
      <c r="GT32" s="615">
        <v>0</v>
      </c>
      <c r="GU32" s="615">
        <v>0</v>
      </c>
      <c r="GV32" s="615">
        <v>0</v>
      </c>
      <c r="GW32" s="615">
        <v>0</v>
      </c>
      <c r="GX32" s="615">
        <v>0</v>
      </c>
      <c r="GY32" s="615">
        <v>0</v>
      </c>
      <c r="GZ32" s="615">
        <v>0</v>
      </c>
      <c r="HA32" s="615">
        <v>0</v>
      </c>
      <c r="HB32" s="615">
        <v>0</v>
      </c>
      <c r="HC32" s="615" t="s">
        <v>629</v>
      </c>
      <c r="HD32" s="615" t="s">
        <v>629</v>
      </c>
      <c r="HE32" s="615" t="s">
        <v>629</v>
      </c>
      <c r="HF32" s="615" t="s">
        <v>629</v>
      </c>
      <c r="HG32" s="615" t="s">
        <v>629</v>
      </c>
      <c r="HH32" s="615" t="s">
        <v>629</v>
      </c>
      <c r="HI32" s="615" t="s">
        <v>629</v>
      </c>
      <c r="HJ32" s="615" t="s">
        <v>629</v>
      </c>
      <c r="HK32" s="615" t="s">
        <v>629</v>
      </c>
      <c r="HL32" s="615" t="s">
        <v>629</v>
      </c>
      <c r="HM32" s="615" t="s">
        <v>629</v>
      </c>
      <c r="HN32" s="615" t="s">
        <v>629</v>
      </c>
      <c r="HO32" s="611" t="str">
        <f t="shared" si="1"/>
        <v/>
      </c>
      <c r="HP32" s="611" t="str">
        <f t="shared" si="2"/>
        <v/>
      </c>
      <c r="HQ32" s="611" t="str">
        <f t="shared" si="3"/>
        <v/>
      </c>
      <c r="HR32" s="611" t="str">
        <f t="shared" si="4"/>
        <v/>
      </c>
      <c r="HS32" s="611" t="str">
        <f t="shared" si="5"/>
        <v/>
      </c>
      <c r="HT32" s="611" t="str">
        <f t="shared" si="6"/>
        <v/>
      </c>
      <c r="HU32" s="611" t="str">
        <f t="shared" si="7"/>
        <v/>
      </c>
      <c r="HV32" s="611" t="str">
        <f t="shared" si="8"/>
        <v/>
      </c>
      <c r="HW32" s="611" t="str">
        <f t="shared" si="9"/>
        <v/>
      </c>
      <c r="HX32" s="611" t="str">
        <f t="shared" si="10"/>
        <v/>
      </c>
      <c r="HY32" s="611" t="str">
        <f t="shared" si="11"/>
        <v/>
      </c>
      <c r="HZ32" s="611" t="str">
        <f t="shared" si="12"/>
        <v/>
      </c>
      <c r="IA32" s="619" t="s">
        <v>1295</v>
      </c>
    </row>
    <row r="33" spans="2:235">
      <c r="B33" s="594">
        <v>29</v>
      </c>
      <c r="C33" s="594">
        <v>229</v>
      </c>
      <c r="D33" s="611" t="s">
        <v>765</v>
      </c>
      <c r="E33" s="612" t="s">
        <v>13</v>
      </c>
      <c r="F33" s="612">
        <v>180</v>
      </c>
      <c r="G33" s="612">
        <v>150</v>
      </c>
      <c r="H33" s="612">
        <v>30</v>
      </c>
      <c r="I33" s="612">
        <v>0</v>
      </c>
      <c r="J33" s="612"/>
      <c r="K33" s="612"/>
      <c r="L33" s="612"/>
      <c r="M33" s="612"/>
      <c r="N33" s="612"/>
      <c r="O33" s="612"/>
      <c r="P33" s="612"/>
      <c r="Q33" s="612"/>
      <c r="R33" s="612"/>
      <c r="S33" s="612"/>
      <c r="T33" s="612"/>
      <c r="U33" s="612"/>
      <c r="V33" s="612"/>
      <c r="W33" s="612"/>
      <c r="X33" s="612"/>
      <c r="Y33" s="612"/>
      <c r="Z33" s="612"/>
      <c r="AA33" s="612"/>
      <c r="AB33" s="612"/>
      <c r="AC33" s="612"/>
      <c r="AD33" s="612"/>
      <c r="AE33" s="612"/>
      <c r="AF33" s="612"/>
      <c r="AG33" s="612"/>
      <c r="AH33" s="612"/>
      <c r="AI33" s="612"/>
      <c r="AJ33" s="612"/>
      <c r="AK33" s="612"/>
      <c r="AL33" s="612"/>
      <c r="AM33" s="613"/>
      <c r="AN33" s="613"/>
      <c r="AO33" s="613"/>
      <c r="AP33" s="612"/>
      <c r="AQ33" s="612" t="s">
        <v>11</v>
      </c>
      <c r="AR33" s="615" t="s">
        <v>629</v>
      </c>
      <c r="AS33" s="615" t="s">
        <v>629</v>
      </c>
      <c r="AT33" s="615" t="s">
        <v>629</v>
      </c>
      <c r="AU33" s="615" t="s">
        <v>629</v>
      </c>
      <c r="AV33" s="615" t="s">
        <v>629</v>
      </c>
      <c r="AW33" s="615" t="s">
        <v>629</v>
      </c>
      <c r="AX33" s="615" t="s">
        <v>629</v>
      </c>
      <c r="AY33" s="615" t="s">
        <v>629</v>
      </c>
      <c r="AZ33" s="615" t="s">
        <v>629</v>
      </c>
      <c r="BA33" s="615" t="s">
        <v>629</v>
      </c>
      <c r="BB33" s="615" t="s">
        <v>629</v>
      </c>
      <c r="BC33" s="615" t="s">
        <v>629</v>
      </c>
      <c r="BD33" s="615" t="s">
        <v>629</v>
      </c>
      <c r="BE33" s="615" t="s">
        <v>629</v>
      </c>
      <c r="BF33" s="615" t="s">
        <v>629</v>
      </c>
      <c r="BG33" s="615" t="s">
        <v>629</v>
      </c>
      <c r="BH33" s="615" t="s">
        <v>629</v>
      </c>
      <c r="BI33" s="615" t="s">
        <v>629</v>
      </c>
      <c r="BJ33" s="615" t="s">
        <v>629</v>
      </c>
      <c r="BK33" s="615" t="s">
        <v>629</v>
      </c>
      <c r="BL33" s="615" t="s">
        <v>629</v>
      </c>
      <c r="BM33" s="615" t="s">
        <v>629</v>
      </c>
      <c r="BN33" s="615" t="s">
        <v>629</v>
      </c>
      <c r="BO33" s="615" t="s">
        <v>629</v>
      </c>
      <c r="BP33" s="615">
        <v>1</v>
      </c>
      <c r="BQ33" s="615">
        <v>1</v>
      </c>
      <c r="BR33" s="615">
        <v>1</v>
      </c>
      <c r="BS33" s="615">
        <v>1</v>
      </c>
      <c r="BT33" s="615">
        <v>1</v>
      </c>
      <c r="BU33" s="615">
        <v>1</v>
      </c>
      <c r="BV33" s="615">
        <v>1</v>
      </c>
      <c r="BW33" s="615">
        <v>1</v>
      </c>
      <c r="BX33" s="615">
        <v>1</v>
      </c>
      <c r="BY33" s="615">
        <v>1</v>
      </c>
      <c r="BZ33" s="615">
        <v>1</v>
      </c>
      <c r="CA33" s="615">
        <v>1</v>
      </c>
      <c r="CB33" s="615">
        <v>0</v>
      </c>
      <c r="CC33" s="615">
        <v>0</v>
      </c>
      <c r="CD33" s="615">
        <v>0</v>
      </c>
      <c r="CE33" s="615">
        <v>0</v>
      </c>
      <c r="CF33" s="615">
        <v>0</v>
      </c>
      <c r="CG33" s="615">
        <v>0</v>
      </c>
      <c r="CH33" s="615">
        <v>0</v>
      </c>
      <c r="CI33" s="615">
        <v>0</v>
      </c>
      <c r="CJ33" s="615">
        <v>0</v>
      </c>
      <c r="CK33" s="615">
        <v>0</v>
      </c>
      <c r="CL33" s="615">
        <v>0</v>
      </c>
      <c r="CM33" s="615">
        <v>0</v>
      </c>
      <c r="CN33" s="615">
        <v>0</v>
      </c>
      <c r="CO33" s="615">
        <v>0</v>
      </c>
      <c r="CP33" s="615">
        <v>0</v>
      </c>
      <c r="CQ33" s="615">
        <v>0</v>
      </c>
      <c r="CR33" s="615">
        <v>0</v>
      </c>
      <c r="CS33" s="615">
        <v>0</v>
      </c>
      <c r="CT33" s="615">
        <v>0</v>
      </c>
      <c r="CU33" s="615">
        <v>0</v>
      </c>
      <c r="CV33" s="615">
        <v>0</v>
      </c>
      <c r="CW33" s="615">
        <v>0</v>
      </c>
      <c r="CX33" s="615">
        <v>0</v>
      </c>
      <c r="CY33" s="615">
        <v>0</v>
      </c>
      <c r="CZ33" s="615" t="s">
        <v>1049</v>
      </c>
      <c r="DA33" s="615">
        <v>0</v>
      </c>
      <c r="DB33" s="617"/>
      <c r="DC33" s="617"/>
      <c r="DD33" s="617"/>
      <c r="DE33" s="617"/>
      <c r="DF33" s="617"/>
      <c r="DG33" s="617"/>
      <c r="DH33" s="617"/>
      <c r="DI33" s="617"/>
      <c r="DJ33" s="617"/>
      <c r="DK33" s="617"/>
      <c r="DL33" s="617"/>
      <c r="DM33" s="617"/>
      <c r="DN33" s="617"/>
      <c r="DO33" s="617"/>
      <c r="DP33" s="617"/>
      <c r="DQ33" s="617"/>
      <c r="DR33" s="617"/>
      <c r="DS33" s="617"/>
      <c r="DT33" s="617"/>
      <c r="DU33" s="617"/>
      <c r="DV33" s="617"/>
      <c r="DW33" s="617"/>
      <c r="DX33" s="617"/>
      <c r="DY33" s="617"/>
      <c r="DZ33" s="617"/>
      <c r="EA33" s="617"/>
      <c r="EB33" s="617"/>
      <c r="EC33" s="617"/>
      <c r="ED33" s="617"/>
      <c r="EE33" s="617"/>
      <c r="EF33" s="617"/>
      <c r="EG33" s="617"/>
      <c r="EH33" s="617"/>
      <c r="EI33" s="617"/>
      <c r="EJ33" s="617"/>
      <c r="EK33" s="617"/>
      <c r="EL33" s="615" t="s">
        <v>833</v>
      </c>
      <c r="EM33" s="615" t="s">
        <v>833</v>
      </c>
      <c r="EN33" s="615" t="s">
        <v>833</v>
      </c>
      <c r="EO33" s="615" t="s">
        <v>833</v>
      </c>
      <c r="EP33" s="615" t="s">
        <v>833</v>
      </c>
      <c r="EQ33" s="615" t="s">
        <v>833</v>
      </c>
      <c r="ER33" s="615" t="s">
        <v>833</v>
      </c>
      <c r="ES33" s="615" t="s">
        <v>833</v>
      </c>
      <c r="ET33" s="615" t="s">
        <v>833</v>
      </c>
      <c r="EU33" s="615" t="s">
        <v>833</v>
      </c>
      <c r="EV33" s="615" t="s">
        <v>833</v>
      </c>
      <c r="EW33" s="615" t="s">
        <v>833</v>
      </c>
      <c r="EX33" s="615">
        <v>3670</v>
      </c>
      <c r="EY33" s="615">
        <v>3820</v>
      </c>
      <c r="EZ33" s="615" t="s">
        <v>1206</v>
      </c>
      <c r="FA33" s="615" t="s">
        <v>1206</v>
      </c>
      <c r="FB33" s="615" t="s">
        <v>1206</v>
      </c>
      <c r="FC33" s="615" t="s">
        <v>1206</v>
      </c>
      <c r="FD33" s="615" t="s">
        <v>1206</v>
      </c>
      <c r="FE33" s="615" t="s">
        <v>1206</v>
      </c>
      <c r="FF33" s="615" t="s">
        <v>1206</v>
      </c>
      <c r="FG33" s="615" t="s">
        <v>1206</v>
      </c>
      <c r="FH33" s="615" t="s">
        <v>1206</v>
      </c>
      <c r="FI33" s="615" t="s">
        <v>1206</v>
      </c>
      <c r="FJ33" s="615" t="s">
        <v>1206</v>
      </c>
      <c r="FK33" s="615" t="s">
        <v>1206</v>
      </c>
      <c r="FL33" s="615">
        <v>64</v>
      </c>
      <c r="FM33" s="615">
        <v>65</v>
      </c>
      <c r="FN33" s="615">
        <v>66</v>
      </c>
      <c r="FO33" s="615">
        <v>66</v>
      </c>
      <c r="FP33" s="615">
        <v>66</v>
      </c>
      <c r="FQ33" s="615">
        <v>66</v>
      </c>
      <c r="FR33" s="615">
        <v>66</v>
      </c>
      <c r="FS33" s="615">
        <v>65</v>
      </c>
      <c r="FT33" s="615">
        <v>65</v>
      </c>
      <c r="FU33" s="615">
        <v>65</v>
      </c>
      <c r="FV33" s="615">
        <v>25</v>
      </c>
      <c r="FW33" s="615">
        <v>25</v>
      </c>
      <c r="FX33" s="615">
        <v>24</v>
      </c>
      <c r="FY33" s="615">
        <v>24</v>
      </c>
      <c r="FZ33" s="615">
        <v>25</v>
      </c>
      <c r="GA33" s="615">
        <v>24</v>
      </c>
      <c r="GB33" s="615">
        <v>24</v>
      </c>
      <c r="GC33" s="615">
        <v>25</v>
      </c>
      <c r="GD33" s="615">
        <v>25</v>
      </c>
      <c r="GE33" s="615">
        <v>25</v>
      </c>
      <c r="GF33" s="615">
        <v>18350</v>
      </c>
      <c r="GG33" s="615" t="s">
        <v>1206</v>
      </c>
      <c r="GH33" s="615" t="s">
        <v>1206</v>
      </c>
      <c r="GI33" s="615" t="s">
        <v>1206</v>
      </c>
      <c r="GJ33" s="615" t="s">
        <v>1206</v>
      </c>
      <c r="GK33" s="615" t="s">
        <v>1206</v>
      </c>
      <c r="GL33" s="615" t="s">
        <v>1206</v>
      </c>
      <c r="GM33" s="615" t="s">
        <v>1206</v>
      </c>
      <c r="GN33" s="615" t="s">
        <v>1206</v>
      </c>
      <c r="GO33" s="615" t="s">
        <v>1206</v>
      </c>
      <c r="GP33" s="615" t="s">
        <v>1206</v>
      </c>
      <c r="GQ33" s="615" t="s">
        <v>1206</v>
      </c>
      <c r="GR33" s="615" t="s">
        <v>1206</v>
      </c>
      <c r="GS33" s="615">
        <v>0</v>
      </c>
      <c r="GT33" s="615">
        <v>0</v>
      </c>
      <c r="GU33" s="615">
        <v>0</v>
      </c>
      <c r="GV33" s="615">
        <v>0</v>
      </c>
      <c r="GW33" s="615">
        <v>0</v>
      </c>
      <c r="GX33" s="615">
        <v>0</v>
      </c>
      <c r="GY33" s="615">
        <v>0</v>
      </c>
      <c r="GZ33" s="615">
        <v>0</v>
      </c>
      <c r="HA33" s="615">
        <v>0</v>
      </c>
      <c r="HB33" s="615">
        <v>0</v>
      </c>
      <c r="HC33" s="615" t="s">
        <v>629</v>
      </c>
      <c r="HD33" s="615" t="s">
        <v>629</v>
      </c>
      <c r="HE33" s="615" t="s">
        <v>629</v>
      </c>
      <c r="HF33" s="615" t="s">
        <v>629</v>
      </c>
      <c r="HG33" s="615" t="s">
        <v>629</v>
      </c>
      <c r="HH33" s="615" t="s">
        <v>629</v>
      </c>
      <c r="HI33" s="615" t="s">
        <v>629</v>
      </c>
      <c r="HJ33" s="615" t="s">
        <v>629</v>
      </c>
      <c r="HK33" s="615" t="s">
        <v>629</v>
      </c>
      <c r="HL33" s="615" t="s">
        <v>629</v>
      </c>
      <c r="HM33" s="615" t="s">
        <v>629</v>
      </c>
      <c r="HN33" s="615" t="s">
        <v>629</v>
      </c>
      <c r="HO33" s="611" t="str">
        <f t="shared" si="1"/>
        <v/>
      </c>
      <c r="HP33" s="611" t="str">
        <f t="shared" si="2"/>
        <v/>
      </c>
      <c r="HQ33" s="611" t="str">
        <f t="shared" si="3"/>
        <v/>
      </c>
      <c r="HR33" s="611" t="str">
        <f t="shared" si="4"/>
        <v/>
      </c>
      <c r="HS33" s="611" t="str">
        <f t="shared" si="5"/>
        <v/>
      </c>
      <c r="HT33" s="611" t="str">
        <f t="shared" si="6"/>
        <v/>
      </c>
      <c r="HU33" s="611" t="str">
        <f t="shared" si="7"/>
        <v/>
      </c>
      <c r="HV33" s="611" t="str">
        <f t="shared" si="8"/>
        <v/>
      </c>
      <c r="HW33" s="611" t="str">
        <f t="shared" si="9"/>
        <v/>
      </c>
      <c r="HX33" s="611" t="str">
        <f t="shared" si="10"/>
        <v/>
      </c>
      <c r="HY33" s="611" t="str">
        <f t="shared" si="11"/>
        <v/>
      </c>
      <c r="HZ33" s="611" t="str">
        <f t="shared" si="12"/>
        <v/>
      </c>
      <c r="IA33" s="619" t="s">
        <v>1295</v>
      </c>
    </row>
    <row r="34" spans="2:235">
      <c r="B34" s="594">
        <v>30</v>
      </c>
      <c r="C34" s="594">
        <v>230</v>
      </c>
      <c r="D34" s="611" t="s">
        <v>767</v>
      </c>
      <c r="E34" s="612" t="s">
        <v>13</v>
      </c>
      <c r="F34" s="612">
        <v>65</v>
      </c>
      <c r="G34" s="612">
        <v>45</v>
      </c>
      <c r="H34" s="612">
        <v>20</v>
      </c>
      <c r="I34" s="612">
        <v>0</v>
      </c>
      <c r="J34" s="612"/>
      <c r="K34" s="612"/>
      <c r="L34" s="612"/>
      <c r="M34" s="612"/>
      <c r="N34" s="612"/>
      <c r="O34" s="612"/>
      <c r="P34" s="612"/>
      <c r="Q34" s="612"/>
      <c r="R34" s="612"/>
      <c r="S34" s="612"/>
      <c r="T34" s="612"/>
      <c r="U34" s="612"/>
      <c r="V34" s="612"/>
      <c r="W34" s="612"/>
      <c r="X34" s="612"/>
      <c r="Y34" s="612"/>
      <c r="Z34" s="612"/>
      <c r="AA34" s="612"/>
      <c r="AB34" s="612"/>
      <c r="AC34" s="612"/>
      <c r="AD34" s="612"/>
      <c r="AE34" s="612"/>
      <c r="AF34" s="612"/>
      <c r="AG34" s="612"/>
      <c r="AH34" s="612"/>
      <c r="AI34" s="612"/>
      <c r="AJ34" s="612"/>
      <c r="AK34" s="612"/>
      <c r="AL34" s="612"/>
      <c r="AM34" s="613"/>
      <c r="AN34" s="613"/>
      <c r="AO34" s="613"/>
      <c r="AP34" s="612"/>
      <c r="AQ34" s="612" t="s">
        <v>11</v>
      </c>
      <c r="AR34" s="615" t="s">
        <v>629</v>
      </c>
      <c r="AS34" s="615" t="s">
        <v>629</v>
      </c>
      <c r="AT34" s="615" t="s">
        <v>629</v>
      </c>
      <c r="AU34" s="615" t="s">
        <v>629</v>
      </c>
      <c r="AV34" s="615" t="s">
        <v>629</v>
      </c>
      <c r="AW34" s="615" t="s">
        <v>629</v>
      </c>
      <c r="AX34" s="615" t="s">
        <v>629</v>
      </c>
      <c r="AY34" s="615" t="s">
        <v>629</v>
      </c>
      <c r="AZ34" s="615" t="s">
        <v>629</v>
      </c>
      <c r="BA34" s="615" t="s">
        <v>629</v>
      </c>
      <c r="BB34" s="615" t="s">
        <v>629</v>
      </c>
      <c r="BC34" s="615" t="s">
        <v>629</v>
      </c>
      <c r="BD34" s="615" t="s">
        <v>629</v>
      </c>
      <c r="BE34" s="615" t="s">
        <v>629</v>
      </c>
      <c r="BF34" s="615" t="s">
        <v>629</v>
      </c>
      <c r="BG34" s="615" t="s">
        <v>629</v>
      </c>
      <c r="BH34" s="615" t="s">
        <v>629</v>
      </c>
      <c r="BI34" s="615" t="s">
        <v>629</v>
      </c>
      <c r="BJ34" s="615" t="s">
        <v>629</v>
      </c>
      <c r="BK34" s="615" t="s">
        <v>629</v>
      </c>
      <c r="BL34" s="615" t="s">
        <v>629</v>
      </c>
      <c r="BM34" s="615" t="s">
        <v>629</v>
      </c>
      <c r="BN34" s="615" t="s">
        <v>629</v>
      </c>
      <c r="BO34" s="615" t="s">
        <v>629</v>
      </c>
      <c r="BP34" s="615">
        <v>0</v>
      </c>
      <c r="BQ34" s="615">
        <v>0</v>
      </c>
      <c r="BR34" s="615">
        <v>0</v>
      </c>
      <c r="BS34" s="615">
        <v>0</v>
      </c>
      <c r="BT34" s="615">
        <v>0</v>
      </c>
      <c r="BU34" s="615">
        <v>0</v>
      </c>
      <c r="BV34" s="615">
        <v>0</v>
      </c>
      <c r="BW34" s="615">
        <v>0</v>
      </c>
      <c r="BX34" s="615">
        <v>0</v>
      </c>
      <c r="BY34" s="615">
        <v>0</v>
      </c>
      <c r="BZ34" s="615">
        <v>0</v>
      </c>
      <c r="CA34" s="615">
        <v>0</v>
      </c>
      <c r="CB34" s="615">
        <v>0</v>
      </c>
      <c r="CC34" s="615">
        <v>0</v>
      </c>
      <c r="CD34" s="615">
        <v>0</v>
      </c>
      <c r="CE34" s="615">
        <v>0</v>
      </c>
      <c r="CF34" s="615">
        <v>0</v>
      </c>
      <c r="CG34" s="615">
        <v>0</v>
      </c>
      <c r="CH34" s="615">
        <v>0</v>
      </c>
      <c r="CI34" s="615">
        <v>0</v>
      </c>
      <c r="CJ34" s="615">
        <v>0</v>
      </c>
      <c r="CK34" s="615">
        <v>0</v>
      </c>
      <c r="CL34" s="615">
        <v>0</v>
      </c>
      <c r="CM34" s="615">
        <v>0</v>
      </c>
      <c r="CN34" s="615">
        <v>0</v>
      </c>
      <c r="CO34" s="615">
        <v>0</v>
      </c>
      <c r="CP34" s="615">
        <v>0</v>
      </c>
      <c r="CQ34" s="615">
        <v>0</v>
      </c>
      <c r="CR34" s="615">
        <v>0</v>
      </c>
      <c r="CS34" s="615">
        <v>0</v>
      </c>
      <c r="CT34" s="615">
        <v>0</v>
      </c>
      <c r="CU34" s="615">
        <v>0</v>
      </c>
      <c r="CV34" s="615">
        <v>0</v>
      </c>
      <c r="CW34" s="615">
        <v>0</v>
      </c>
      <c r="CX34" s="615">
        <v>0</v>
      </c>
      <c r="CY34" s="615">
        <v>0</v>
      </c>
      <c r="CZ34" s="615" t="s">
        <v>1049</v>
      </c>
      <c r="DA34" s="615">
        <v>0</v>
      </c>
      <c r="DB34" s="617"/>
      <c r="DC34" s="617"/>
      <c r="DD34" s="617"/>
      <c r="DE34" s="617"/>
      <c r="DF34" s="617"/>
      <c r="DG34" s="617"/>
      <c r="DH34" s="617"/>
      <c r="DI34" s="617"/>
      <c r="DJ34" s="617"/>
      <c r="DK34" s="617"/>
      <c r="DL34" s="617"/>
      <c r="DM34" s="617"/>
      <c r="DN34" s="617"/>
      <c r="DO34" s="617"/>
      <c r="DP34" s="617"/>
      <c r="DQ34" s="617"/>
      <c r="DR34" s="617"/>
      <c r="DS34" s="617"/>
      <c r="DT34" s="617"/>
      <c r="DU34" s="617"/>
      <c r="DV34" s="617"/>
      <c r="DW34" s="617"/>
      <c r="DX34" s="617"/>
      <c r="DY34" s="617"/>
      <c r="DZ34" s="617"/>
      <c r="EA34" s="617"/>
      <c r="EB34" s="617"/>
      <c r="EC34" s="617"/>
      <c r="ED34" s="617"/>
      <c r="EE34" s="617"/>
      <c r="EF34" s="617"/>
      <c r="EG34" s="617"/>
      <c r="EH34" s="617"/>
      <c r="EI34" s="617"/>
      <c r="EJ34" s="617"/>
      <c r="EK34" s="617"/>
      <c r="EL34" s="615" t="s">
        <v>833</v>
      </c>
      <c r="EM34" s="615" t="s">
        <v>833</v>
      </c>
      <c r="EN34" s="615" t="s">
        <v>833</v>
      </c>
      <c r="EO34" s="615" t="s">
        <v>833</v>
      </c>
      <c r="EP34" s="615" t="s">
        <v>833</v>
      </c>
      <c r="EQ34" s="615" t="s">
        <v>833</v>
      </c>
      <c r="ER34" s="615" t="s">
        <v>833</v>
      </c>
      <c r="ES34" s="615" t="s">
        <v>833</v>
      </c>
      <c r="ET34" s="615" t="s">
        <v>833</v>
      </c>
      <c r="EU34" s="615" t="s">
        <v>833</v>
      </c>
      <c r="EV34" s="615" t="s">
        <v>833</v>
      </c>
      <c r="EW34" s="615" t="s">
        <v>833</v>
      </c>
      <c r="EX34" s="615">
        <v>3670</v>
      </c>
      <c r="EY34" s="615">
        <v>3820</v>
      </c>
      <c r="EZ34" s="615" t="s">
        <v>833</v>
      </c>
      <c r="FA34" s="615" t="s">
        <v>833</v>
      </c>
      <c r="FB34" s="615" t="s">
        <v>833</v>
      </c>
      <c r="FC34" s="615" t="s">
        <v>833</v>
      </c>
      <c r="FD34" s="615" t="s">
        <v>833</v>
      </c>
      <c r="FE34" s="615" t="s">
        <v>833</v>
      </c>
      <c r="FF34" s="615" t="s">
        <v>833</v>
      </c>
      <c r="FG34" s="615" t="s">
        <v>833</v>
      </c>
      <c r="FH34" s="615" t="s">
        <v>833</v>
      </c>
      <c r="FI34" s="615" t="s">
        <v>833</v>
      </c>
      <c r="FJ34" s="615" t="s">
        <v>833</v>
      </c>
      <c r="FK34" s="615" t="s">
        <v>833</v>
      </c>
      <c r="FL34" s="615">
        <v>18</v>
      </c>
      <c r="FM34" s="615">
        <v>18</v>
      </c>
      <c r="FN34" s="615">
        <v>18</v>
      </c>
      <c r="FO34" s="615">
        <v>18</v>
      </c>
      <c r="FP34" s="615">
        <v>17</v>
      </c>
      <c r="FQ34" s="615">
        <v>18</v>
      </c>
      <c r="FR34" s="615">
        <v>19</v>
      </c>
      <c r="FS34" s="615">
        <v>18</v>
      </c>
      <c r="FT34" s="615">
        <v>18</v>
      </c>
      <c r="FU34" s="615">
        <v>18</v>
      </c>
      <c r="FV34" s="615">
        <v>15</v>
      </c>
      <c r="FW34" s="615">
        <v>15</v>
      </c>
      <c r="FX34" s="615">
        <v>15</v>
      </c>
      <c r="FY34" s="615">
        <v>15</v>
      </c>
      <c r="FZ34" s="615">
        <v>15</v>
      </c>
      <c r="GA34" s="615">
        <v>15</v>
      </c>
      <c r="GB34" s="615">
        <v>15</v>
      </c>
      <c r="GC34" s="615">
        <v>16</v>
      </c>
      <c r="GD34" s="615">
        <v>16</v>
      </c>
      <c r="GE34" s="615">
        <v>16</v>
      </c>
      <c r="GF34" s="615">
        <v>18350</v>
      </c>
      <c r="GG34" s="615" t="s">
        <v>1206</v>
      </c>
      <c r="GH34" s="615" t="s">
        <v>1206</v>
      </c>
      <c r="GI34" s="615" t="s">
        <v>1206</v>
      </c>
      <c r="GJ34" s="615" t="s">
        <v>1206</v>
      </c>
      <c r="GK34" s="615" t="s">
        <v>1206</v>
      </c>
      <c r="GL34" s="615" t="s">
        <v>1206</v>
      </c>
      <c r="GM34" s="615" t="s">
        <v>1206</v>
      </c>
      <c r="GN34" s="615" t="s">
        <v>1206</v>
      </c>
      <c r="GO34" s="615" t="s">
        <v>1206</v>
      </c>
      <c r="GP34" s="615" t="s">
        <v>1206</v>
      </c>
      <c r="GQ34" s="615" t="s">
        <v>1206</v>
      </c>
      <c r="GR34" s="615" t="s">
        <v>1206</v>
      </c>
      <c r="GS34" s="615">
        <v>0</v>
      </c>
      <c r="GT34" s="615">
        <v>0</v>
      </c>
      <c r="GU34" s="615">
        <v>0</v>
      </c>
      <c r="GV34" s="615">
        <v>0</v>
      </c>
      <c r="GW34" s="615">
        <v>0</v>
      </c>
      <c r="GX34" s="615">
        <v>0</v>
      </c>
      <c r="GY34" s="615">
        <v>0</v>
      </c>
      <c r="GZ34" s="615">
        <v>0</v>
      </c>
      <c r="HA34" s="615">
        <v>0</v>
      </c>
      <c r="HB34" s="615">
        <v>0</v>
      </c>
      <c r="HC34" s="615" t="s">
        <v>629</v>
      </c>
      <c r="HD34" s="615" t="s">
        <v>629</v>
      </c>
      <c r="HE34" s="615" t="s">
        <v>629</v>
      </c>
      <c r="HF34" s="615" t="s">
        <v>629</v>
      </c>
      <c r="HG34" s="615" t="s">
        <v>629</v>
      </c>
      <c r="HH34" s="615" t="s">
        <v>629</v>
      </c>
      <c r="HI34" s="615" t="s">
        <v>629</v>
      </c>
      <c r="HJ34" s="615" t="s">
        <v>629</v>
      </c>
      <c r="HK34" s="615" t="s">
        <v>629</v>
      </c>
      <c r="HL34" s="615" t="s">
        <v>629</v>
      </c>
      <c r="HM34" s="615" t="s">
        <v>629</v>
      </c>
      <c r="HN34" s="615" t="s">
        <v>629</v>
      </c>
      <c r="HO34" s="611" t="str">
        <f t="shared" si="1"/>
        <v/>
      </c>
      <c r="HP34" s="611" t="str">
        <f t="shared" si="2"/>
        <v/>
      </c>
      <c r="HQ34" s="611" t="str">
        <f t="shared" si="3"/>
        <v/>
      </c>
      <c r="HR34" s="611" t="str">
        <f t="shared" si="4"/>
        <v/>
      </c>
      <c r="HS34" s="611" t="str">
        <f t="shared" si="5"/>
        <v/>
      </c>
      <c r="HT34" s="611" t="str">
        <f t="shared" si="6"/>
        <v/>
      </c>
      <c r="HU34" s="611" t="str">
        <f t="shared" si="7"/>
        <v/>
      </c>
      <c r="HV34" s="611" t="str">
        <f t="shared" si="8"/>
        <v/>
      </c>
      <c r="HW34" s="611" t="str">
        <f t="shared" si="9"/>
        <v/>
      </c>
      <c r="HX34" s="611" t="str">
        <f t="shared" si="10"/>
        <v/>
      </c>
      <c r="HY34" s="611" t="str">
        <f t="shared" si="11"/>
        <v/>
      </c>
      <c r="HZ34" s="611" t="str">
        <f t="shared" si="12"/>
        <v/>
      </c>
      <c r="IA34" s="619" t="s">
        <v>1295</v>
      </c>
    </row>
    <row r="35" spans="2:235">
      <c r="B35" s="594">
        <v>31</v>
      </c>
      <c r="C35" s="594">
        <v>231</v>
      </c>
      <c r="D35" s="611" t="s">
        <v>769</v>
      </c>
      <c r="E35" s="612" t="s">
        <v>13</v>
      </c>
      <c r="F35" s="612">
        <v>185</v>
      </c>
      <c r="G35" s="612">
        <v>135</v>
      </c>
      <c r="H35" s="612">
        <v>35</v>
      </c>
      <c r="I35" s="612">
        <v>15</v>
      </c>
      <c r="J35" s="612"/>
      <c r="K35" s="612"/>
      <c r="L35" s="612"/>
      <c r="M35" s="612"/>
      <c r="N35" s="612"/>
      <c r="O35" s="612"/>
      <c r="P35" s="612"/>
      <c r="Q35" s="612"/>
      <c r="R35" s="612"/>
      <c r="S35" s="612"/>
      <c r="T35" s="612"/>
      <c r="U35" s="612"/>
      <c r="V35" s="612"/>
      <c r="W35" s="612"/>
      <c r="X35" s="612"/>
      <c r="Y35" s="612"/>
      <c r="Z35" s="612"/>
      <c r="AA35" s="612"/>
      <c r="AB35" s="612"/>
      <c r="AC35" s="612"/>
      <c r="AD35" s="612"/>
      <c r="AE35" s="612"/>
      <c r="AF35" s="612"/>
      <c r="AG35" s="612"/>
      <c r="AH35" s="612"/>
      <c r="AI35" s="612"/>
      <c r="AJ35" s="612"/>
      <c r="AK35" s="612"/>
      <c r="AL35" s="612"/>
      <c r="AM35" s="613"/>
      <c r="AN35" s="613"/>
      <c r="AO35" s="613"/>
      <c r="AP35" s="612"/>
      <c r="AQ35" s="612" t="s">
        <v>11</v>
      </c>
      <c r="AR35" s="615" t="s">
        <v>629</v>
      </c>
      <c r="AS35" s="615" t="s">
        <v>629</v>
      </c>
      <c r="AT35" s="615" t="s">
        <v>629</v>
      </c>
      <c r="AU35" s="615" t="s">
        <v>629</v>
      </c>
      <c r="AV35" s="615" t="s">
        <v>629</v>
      </c>
      <c r="AW35" s="615" t="s">
        <v>629</v>
      </c>
      <c r="AX35" s="615" t="s">
        <v>629</v>
      </c>
      <c r="AY35" s="615" t="s">
        <v>629</v>
      </c>
      <c r="AZ35" s="615" t="s">
        <v>629</v>
      </c>
      <c r="BA35" s="615" t="s">
        <v>629</v>
      </c>
      <c r="BB35" s="615" t="s">
        <v>629</v>
      </c>
      <c r="BC35" s="615" t="s">
        <v>629</v>
      </c>
      <c r="BD35" s="615" t="s">
        <v>629</v>
      </c>
      <c r="BE35" s="615" t="s">
        <v>629</v>
      </c>
      <c r="BF35" s="615" t="s">
        <v>629</v>
      </c>
      <c r="BG35" s="615" t="s">
        <v>629</v>
      </c>
      <c r="BH35" s="615" t="s">
        <v>629</v>
      </c>
      <c r="BI35" s="615" t="s">
        <v>629</v>
      </c>
      <c r="BJ35" s="615" t="s">
        <v>629</v>
      </c>
      <c r="BK35" s="615" t="s">
        <v>629</v>
      </c>
      <c r="BL35" s="615" t="s">
        <v>629</v>
      </c>
      <c r="BM35" s="615" t="s">
        <v>629</v>
      </c>
      <c r="BN35" s="615" t="s">
        <v>629</v>
      </c>
      <c r="BO35" s="615" t="s">
        <v>629</v>
      </c>
      <c r="BP35" s="615">
        <v>1</v>
      </c>
      <c r="BQ35" s="615">
        <v>1</v>
      </c>
      <c r="BR35" s="615">
        <v>1</v>
      </c>
      <c r="BS35" s="615">
        <v>1</v>
      </c>
      <c r="BT35" s="615">
        <v>1</v>
      </c>
      <c r="BU35" s="615">
        <v>1</v>
      </c>
      <c r="BV35" s="615">
        <v>1</v>
      </c>
      <c r="BW35" s="615">
        <v>1</v>
      </c>
      <c r="BX35" s="615">
        <v>1</v>
      </c>
      <c r="BY35" s="615">
        <v>1</v>
      </c>
      <c r="BZ35" s="615">
        <v>1</v>
      </c>
      <c r="CA35" s="615">
        <v>1</v>
      </c>
      <c r="CB35" s="615">
        <v>0</v>
      </c>
      <c r="CC35" s="615">
        <v>0</v>
      </c>
      <c r="CD35" s="615">
        <v>0</v>
      </c>
      <c r="CE35" s="615">
        <v>0</v>
      </c>
      <c r="CF35" s="615">
        <v>0</v>
      </c>
      <c r="CG35" s="615">
        <v>0</v>
      </c>
      <c r="CH35" s="615">
        <v>0</v>
      </c>
      <c r="CI35" s="615">
        <v>0</v>
      </c>
      <c r="CJ35" s="615">
        <v>0</v>
      </c>
      <c r="CK35" s="615">
        <v>0</v>
      </c>
      <c r="CL35" s="615">
        <v>0</v>
      </c>
      <c r="CM35" s="615">
        <v>0</v>
      </c>
      <c r="CN35" s="615">
        <v>0</v>
      </c>
      <c r="CO35" s="615">
        <v>0</v>
      </c>
      <c r="CP35" s="615">
        <v>0</v>
      </c>
      <c r="CQ35" s="615">
        <v>0</v>
      </c>
      <c r="CR35" s="615">
        <v>0</v>
      </c>
      <c r="CS35" s="615">
        <v>0</v>
      </c>
      <c r="CT35" s="615">
        <v>0</v>
      </c>
      <c r="CU35" s="615">
        <v>0</v>
      </c>
      <c r="CV35" s="615">
        <v>0</v>
      </c>
      <c r="CW35" s="615">
        <v>0</v>
      </c>
      <c r="CX35" s="615">
        <v>0</v>
      </c>
      <c r="CY35" s="615">
        <v>0</v>
      </c>
      <c r="CZ35" s="615" t="s">
        <v>1049</v>
      </c>
      <c r="DA35" s="615">
        <v>5</v>
      </c>
      <c r="DB35" s="617"/>
      <c r="DC35" s="617"/>
      <c r="DD35" s="617"/>
      <c r="DE35" s="617"/>
      <c r="DF35" s="617"/>
      <c r="DG35" s="617"/>
      <c r="DH35" s="617"/>
      <c r="DI35" s="617"/>
      <c r="DJ35" s="617"/>
      <c r="DK35" s="617"/>
      <c r="DL35" s="617"/>
      <c r="DM35" s="617"/>
      <c r="DN35" s="617"/>
      <c r="DO35" s="617"/>
      <c r="DP35" s="617"/>
      <c r="DQ35" s="617"/>
      <c r="DR35" s="617"/>
      <c r="DS35" s="617"/>
      <c r="DT35" s="617"/>
      <c r="DU35" s="617"/>
      <c r="DV35" s="617"/>
      <c r="DW35" s="617"/>
      <c r="DX35" s="617"/>
      <c r="DY35" s="617"/>
      <c r="DZ35" s="617"/>
      <c r="EA35" s="617"/>
      <c r="EB35" s="617"/>
      <c r="EC35" s="617"/>
      <c r="ED35" s="617"/>
      <c r="EE35" s="617"/>
      <c r="EF35" s="617"/>
      <c r="EG35" s="617"/>
      <c r="EH35" s="617"/>
      <c r="EI35" s="617"/>
      <c r="EJ35" s="617"/>
      <c r="EK35" s="617"/>
      <c r="EL35" s="615" t="s">
        <v>833</v>
      </c>
      <c r="EM35" s="615" t="s">
        <v>833</v>
      </c>
      <c r="EN35" s="615" t="s">
        <v>833</v>
      </c>
      <c r="EO35" s="615" t="s">
        <v>833</v>
      </c>
      <c r="EP35" s="615" t="s">
        <v>833</v>
      </c>
      <c r="EQ35" s="615" t="s">
        <v>833</v>
      </c>
      <c r="ER35" s="615" t="s">
        <v>833</v>
      </c>
      <c r="ES35" s="615" t="s">
        <v>833</v>
      </c>
      <c r="ET35" s="615" t="s">
        <v>833</v>
      </c>
      <c r="EU35" s="615" t="s">
        <v>833</v>
      </c>
      <c r="EV35" s="615" t="s">
        <v>833</v>
      </c>
      <c r="EW35" s="615" t="s">
        <v>833</v>
      </c>
      <c r="EX35" s="615">
        <v>3670</v>
      </c>
      <c r="EY35" s="615">
        <v>3820</v>
      </c>
      <c r="EZ35" s="615" t="s">
        <v>1206</v>
      </c>
      <c r="FA35" s="615" t="s">
        <v>1206</v>
      </c>
      <c r="FB35" s="615" t="s">
        <v>1206</v>
      </c>
      <c r="FC35" s="615" t="s">
        <v>1206</v>
      </c>
      <c r="FD35" s="615" t="s">
        <v>1206</v>
      </c>
      <c r="FE35" s="615" t="s">
        <v>1206</v>
      </c>
      <c r="FF35" s="615" t="s">
        <v>1206</v>
      </c>
      <c r="FG35" s="615" t="s">
        <v>1206</v>
      </c>
      <c r="FH35" s="615" t="s">
        <v>1206</v>
      </c>
      <c r="FI35" s="615" t="s">
        <v>1206</v>
      </c>
      <c r="FJ35" s="615" t="s">
        <v>1206</v>
      </c>
      <c r="FK35" s="615" t="s">
        <v>1206</v>
      </c>
      <c r="FL35" s="615">
        <v>72</v>
      </c>
      <c r="FM35" s="615">
        <v>72</v>
      </c>
      <c r="FN35" s="615">
        <v>72</v>
      </c>
      <c r="FO35" s="615">
        <v>72</v>
      </c>
      <c r="FP35" s="615">
        <v>69</v>
      </c>
      <c r="FQ35" s="615">
        <v>70</v>
      </c>
      <c r="FR35" s="615">
        <v>69</v>
      </c>
      <c r="FS35" s="615">
        <v>68</v>
      </c>
      <c r="FT35" s="615">
        <v>68</v>
      </c>
      <c r="FU35" s="615">
        <v>67</v>
      </c>
      <c r="FV35" s="615">
        <v>30</v>
      </c>
      <c r="FW35" s="615">
        <v>30</v>
      </c>
      <c r="FX35" s="615">
        <v>30</v>
      </c>
      <c r="FY35" s="615">
        <v>30</v>
      </c>
      <c r="FZ35" s="615">
        <v>33</v>
      </c>
      <c r="GA35" s="615">
        <v>32</v>
      </c>
      <c r="GB35" s="615">
        <v>32</v>
      </c>
      <c r="GC35" s="615">
        <v>32</v>
      </c>
      <c r="GD35" s="615">
        <v>32</v>
      </c>
      <c r="GE35" s="615">
        <v>32</v>
      </c>
      <c r="GF35" s="615">
        <v>18350</v>
      </c>
      <c r="GG35" s="615" t="s">
        <v>833</v>
      </c>
      <c r="GH35" s="615" t="s">
        <v>833</v>
      </c>
      <c r="GI35" s="615" t="s">
        <v>833</v>
      </c>
      <c r="GJ35" s="615" t="s">
        <v>833</v>
      </c>
      <c r="GK35" s="615" t="s">
        <v>833</v>
      </c>
      <c r="GL35" s="615" t="s">
        <v>833</v>
      </c>
      <c r="GM35" s="615" t="s">
        <v>833</v>
      </c>
      <c r="GN35" s="615" t="s">
        <v>833</v>
      </c>
      <c r="GO35" s="615" t="s">
        <v>833</v>
      </c>
      <c r="GP35" s="615" t="s">
        <v>833</v>
      </c>
      <c r="GQ35" s="615" t="s">
        <v>833</v>
      </c>
      <c r="GR35" s="615" t="s">
        <v>833</v>
      </c>
      <c r="GS35" s="615">
        <v>6</v>
      </c>
      <c r="GT35" s="615">
        <v>6</v>
      </c>
      <c r="GU35" s="615">
        <v>6</v>
      </c>
      <c r="GV35" s="615">
        <v>6</v>
      </c>
      <c r="GW35" s="615">
        <v>6</v>
      </c>
      <c r="GX35" s="615">
        <v>6</v>
      </c>
      <c r="GY35" s="615">
        <v>6</v>
      </c>
      <c r="GZ35" s="615">
        <v>6</v>
      </c>
      <c r="HA35" s="615">
        <v>6</v>
      </c>
      <c r="HB35" s="615">
        <v>6</v>
      </c>
      <c r="HC35" s="615" t="s">
        <v>1207</v>
      </c>
      <c r="HD35" s="615" t="s">
        <v>1207</v>
      </c>
      <c r="HE35" s="615" t="s">
        <v>1207</v>
      </c>
      <c r="HF35" s="615" t="s">
        <v>1207</v>
      </c>
      <c r="HG35" s="615" t="s">
        <v>1207</v>
      </c>
      <c r="HH35" s="615" t="s">
        <v>1207</v>
      </c>
      <c r="HI35" s="615" t="s">
        <v>1207</v>
      </c>
      <c r="HJ35" s="615" t="s">
        <v>1207</v>
      </c>
      <c r="HK35" s="615" t="s">
        <v>1207</v>
      </c>
      <c r="HL35" s="615" t="s">
        <v>1207</v>
      </c>
      <c r="HM35" s="615" t="s">
        <v>1207</v>
      </c>
      <c r="HN35" s="615" t="s">
        <v>1207</v>
      </c>
      <c r="HO35" s="611">
        <f t="shared" si="1"/>
        <v>79950</v>
      </c>
      <c r="HP35" s="611">
        <f t="shared" si="2"/>
        <v>79950</v>
      </c>
      <c r="HQ35" s="611">
        <f t="shared" si="3"/>
        <v>79950</v>
      </c>
      <c r="HR35" s="611">
        <f t="shared" si="4"/>
        <v>79950</v>
      </c>
      <c r="HS35" s="611">
        <f t="shared" si="5"/>
        <v>79950</v>
      </c>
      <c r="HT35" s="611">
        <f t="shared" si="6"/>
        <v>79950</v>
      </c>
      <c r="HU35" s="611">
        <f t="shared" si="7"/>
        <v>79950</v>
      </c>
      <c r="HV35" s="611">
        <f t="shared" si="8"/>
        <v>79950</v>
      </c>
      <c r="HW35" s="611">
        <f t="shared" si="9"/>
        <v>79950</v>
      </c>
      <c r="HX35" s="611">
        <f t="shared" si="10"/>
        <v>79950</v>
      </c>
      <c r="HY35" s="611">
        <f t="shared" si="11"/>
        <v>79950</v>
      </c>
      <c r="HZ35" s="611">
        <f t="shared" si="12"/>
        <v>79950</v>
      </c>
      <c r="IA35" s="619" t="s">
        <v>1295</v>
      </c>
    </row>
    <row r="36" spans="2:235">
      <c r="B36" s="594">
        <v>32</v>
      </c>
      <c r="C36" s="594">
        <v>232</v>
      </c>
      <c r="D36" s="611" t="s">
        <v>1161</v>
      </c>
      <c r="E36" s="612" t="s">
        <v>13</v>
      </c>
      <c r="F36" s="612">
        <v>150</v>
      </c>
      <c r="G36" s="612">
        <v>120</v>
      </c>
      <c r="H36" s="612">
        <v>30</v>
      </c>
      <c r="I36" s="612">
        <v>0</v>
      </c>
      <c r="J36" s="612"/>
      <c r="K36" s="612"/>
      <c r="L36" s="612"/>
      <c r="M36" s="612"/>
      <c r="N36" s="612"/>
      <c r="O36" s="612"/>
      <c r="P36" s="612"/>
      <c r="Q36" s="612"/>
      <c r="R36" s="612"/>
      <c r="S36" s="612"/>
      <c r="T36" s="612"/>
      <c r="U36" s="612"/>
      <c r="V36" s="612"/>
      <c r="W36" s="612"/>
      <c r="X36" s="612"/>
      <c r="Y36" s="612"/>
      <c r="Z36" s="612"/>
      <c r="AA36" s="612"/>
      <c r="AB36" s="612"/>
      <c r="AC36" s="612"/>
      <c r="AD36" s="612"/>
      <c r="AE36" s="612"/>
      <c r="AF36" s="612"/>
      <c r="AG36" s="612"/>
      <c r="AH36" s="612"/>
      <c r="AI36" s="612"/>
      <c r="AJ36" s="612"/>
      <c r="AK36" s="612"/>
      <c r="AL36" s="612"/>
      <c r="AM36" s="613"/>
      <c r="AN36" s="613"/>
      <c r="AO36" s="613"/>
      <c r="AP36" s="612"/>
      <c r="AQ36" s="612" t="s">
        <v>11</v>
      </c>
      <c r="AR36" s="615" t="s">
        <v>629</v>
      </c>
      <c r="AS36" s="615" t="s">
        <v>629</v>
      </c>
      <c r="AT36" s="615" t="s">
        <v>629</v>
      </c>
      <c r="AU36" s="615" t="s">
        <v>629</v>
      </c>
      <c r="AV36" s="615" t="s">
        <v>629</v>
      </c>
      <c r="AW36" s="615" t="s">
        <v>629</v>
      </c>
      <c r="AX36" s="615" t="s">
        <v>629</v>
      </c>
      <c r="AY36" s="615" t="s">
        <v>629</v>
      </c>
      <c r="AZ36" s="615" t="s">
        <v>629</v>
      </c>
      <c r="BA36" s="615" t="s">
        <v>629</v>
      </c>
      <c r="BB36" s="615" t="s">
        <v>629</v>
      </c>
      <c r="BC36" s="615" t="s">
        <v>629</v>
      </c>
      <c r="BD36" s="615" t="s">
        <v>629</v>
      </c>
      <c r="BE36" s="615" t="s">
        <v>629</v>
      </c>
      <c r="BF36" s="615" t="s">
        <v>629</v>
      </c>
      <c r="BG36" s="615" t="s">
        <v>629</v>
      </c>
      <c r="BH36" s="615" t="s">
        <v>629</v>
      </c>
      <c r="BI36" s="615" t="s">
        <v>629</v>
      </c>
      <c r="BJ36" s="615" t="s">
        <v>629</v>
      </c>
      <c r="BK36" s="615" t="s">
        <v>629</v>
      </c>
      <c r="BL36" s="615" t="s">
        <v>629</v>
      </c>
      <c r="BM36" s="615" t="s">
        <v>629</v>
      </c>
      <c r="BN36" s="615" t="s">
        <v>629</v>
      </c>
      <c r="BO36" s="615" t="s">
        <v>629</v>
      </c>
      <c r="BP36" s="615">
        <v>0</v>
      </c>
      <c r="BQ36" s="615">
        <v>0</v>
      </c>
      <c r="BR36" s="615">
        <v>0</v>
      </c>
      <c r="BS36" s="615">
        <v>0</v>
      </c>
      <c r="BT36" s="615">
        <v>0</v>
      </c>
      <c r="BU36" s="615">
        <v>0</v>
      </c>
      <c r="BV36" s="615">
        <v>0</v>
      </c>
      <c r="BW36" s="615">
        <v>0</v>
      </c>
      <c r="BX36" s="615">
        <v>0</v>
      </c>
      <c r="BY36" s="615">
        <v>0</v>
      </c>
      <c r="BZ36" s="615">
        <v>0</v>
      </c>
      <c r="CA36" s="615">
        <v>0</v>
      </c>
      <c r="CB36" s="615">
        <v>0</v>
      </c>
      <c r="CC36" s="615">
        <v>0</v>
      </c>
      <c r="CD36" s="615">
        <v>0</v>
      </c>
      <c r="CE36" s="615">
        <v>0</v>
      </c>
      <c r="CF36" s="615">
        <v>0</v>
      </c>
      <c r="CG36" s="615">
        <v>0</v>
      </c>
      <c r="CH36" s="615">
        <v>0</v>
      </c>
      <c r="CI36" s="615">
        <v>0</v>
      </c>
      <c r="CJ36" s="615">
        <v>0</v>
      </c>
      <c r="CK36" s="615">
        <v>0</v>
      </c>
      <c r="CL36" s="615">
        <v>0</v>
      </c>
      <c r="CM36" s="615">
        <v>0</v>
      </c>
      <c r="CN36" s="615">
        <v>0</v>
      </c>
      <c r="CO36" s="615">
        <v>0</v>
      </c>
      <c r="CP36" s="615">
        <v>0</v>
      </c>
      <c r="CQ36" s="615">
        <v>0</v>
      </c>
      <c r="CR36" s="615">
        <v>0</v>
      </c>
      <c r="CS36" s="615">
        <v>0</v>
      </c>
      <c r="CT36" s="615">
        <v>0</v>
      </c>
      <c r="CU36" s="615">
        <v>0</v>
      </c>
      <c r="CV36" s="615">
        <v>0</v>
      </c>
      <c r="CW36" s="615">
        <v>0</v>
      </c>
      <c r="CX36" s="615">
        <v>0</v>
      </c>
      <c r="CY36" s="615">
        <v>0</v>
      </c>
      <c r="CZ36" s="615" t="s">
        <v>1049</v>
      </c>
      <c r="DA36" s="615">
        <v>0</v>
      </c>
      <c r="DB36" s="617"/>
      <c r="DC36" s="617"/>
      <c r="DD36" s="617"/>
      <c r="DE36" s="617"/>
      <c r="DF36" s="617"/>
      <c r="DG36" s="617"/>
      <c r="DH36" s="617"/>
      <c r="DI36" s="617"/>
      <c r="DJ36" s="617"/>
      <c r="DK36" s="617"/>
      <c r="DL36" s="617"/>
      <c r="DM36" s="617"/>
      <c r="DN36" s="617"/>
      <c r="DO36" s="617"/>
      <c r="DP36" s="617"/>
      <c r="DQ36" s="617"/>
      <c r="DR36" s="617"/>
      <c r="DS36" s="617"/>
      <c r="DT36" s="617"/>
      <c r="DU36" s="617"/>
      <c r="DV36" s="617"/>
      <c r="DW36" s="617"/>
      <c r="DX36" s="617"/>
      <c r="DY36" s="617"/>
      <c r="DZ36" s="617"/>
      <c r="EA36" s="617"/>
      <c r="EB36" s="617"/>
      <c r="EC36" s="617"/>
      <c r="ED36" s="617"/>
      <c r="EE36" s="617"/>
      <c r="EF36" s="617"/>
      <c r="EG36" s="617"/>
      <c r="EH36" s="617"/>
      <c r="EI36" s="617"/>
      <c r="EJ36" s="617"/>
      <c r="EK36" s="617"/>
      <c r="EL36" s="615" t="s">
        <v>833</v>
      </c>
      <c r="EM36" s="615" t="s">
        <v>833</v>
      </c>
      <c r="EN36" s="615" t="s">
        <v>833</v>
      </c>
      <c r="EO36" s="615" t="s">
        <v>833</v>
      </c>
      <c r="EP36" s="615" t="s">
        <v>833</v>
      </c>
      <c r="EQ36" s="615" t="s">
        <v>833</v>
      </c>
      <c r="ER36" s="615" t="s">
        <v>833</v>
      </c>
      <c r="ES36" s="615" t="s">
        <v>833</v>
      </c>
      <c r="ET36" s="615" t="s">
        <v>833</v>
      </c>
      <c r="EU36" s="615" t="s">
        <v>833</v>
      </c>
      <c r="EV36" s="615" t="s">
        <v>833</v>
      </c>
      <c r="EW36" s="615" t="s">
        <v>833</v>
      </c>
      <c r="EX36" s="615">
        <v>3670</v>
      </c>
      <c r="EY36" s="615">
        <v>3820</v>
      </c>
      <c r="EZ36" s="615" t="s">
        <v>1206</v>
      </c>
      <c r="FA36" s="615" t="s">
        <v>1206</v>
      </c>
      <c r="FB36" s="615" t="s">
        <v>1206</v>
      </c>
      <c r="FC36" s="615" t="s">
        <v>1206</v>
      </c>
      <c r="FD36" s="615" t="s">
        <v>1206</v>
      </c>
      <c r="FE36" s="615" t="s">
        <v>1206</v>
      </c>
      <c r="FF36" s="615" t="s">
        <v>1206</v>
      </c>
      <c r="FG36" s="615" t="s">
        <v>1206</v>
      </c>
      <c r="FH36" s="615" t="s">
        <v>1206</v>
      </c>
      <c r="FI36" s="615" t="s">
        <v>1206</v>
      </c>
      <c r="FJ36" s="615" t="s">
        <v>1206</v>
      </c>
      <c r="FK36" s="615" t="s">
        <v>1206</v>
      </c>
      <c r="FL36" s="615">
        <v>62</v>
      </c>
      <c r="FM36" s="615">
        <v>62</v>
      </c>
      <c r="FN36" s="615">
        <v>61</v>
      </c>
      <c r="FO36" s="615">
        <v>61</v>
      </c>
      <c r="FP36" s="615">
        <v>61</v>
      </c>
      <c r="FQ36" s="615">
        <v>62</v>
      </c>
      <c r="FR36" s="615">
        <v>62</v>
      </c>
      <c r="FS36" s="615">
        <v>62</v>
      </c>
      <c r="FT36" s="615">
        <v>62</v>
      </c>
      <c r="FU36" s="615">
        <v>63</v>
      </c>
      <c r="FV36" s="615">
        <v>24</v>
      </c>
      <c r="FW36" s="615">
        <v>24</v>
      </c>
      <c r="FX36" s="615">
        <v>24</v>
      </c>
      <c r="FY36" s="615">
        <v>24</v>
      </c>
      <c r="FZ36" s="615">
        <v>24</v>
      </c>
      <c r="GA36" s="615">
        <v>24</v>
      </c>
      <c r="GB36" s="615">
        <v>24</v>
      </c>
      <c r="GC36" s="615">
        <v>24</v>
      </c>
      <c r="GD36" s="615">
        <v>24</v>
      </c>
      <c r="GE36" s="615">
        <v>24</v>
      </c>
      <c r="GF36" s="615">
        <v>18350</v>
      </c>
      <c r="GG36" s="615" t="s">
        <v>1206</v>
      </c>
      <c r="GH36" s="615" t="s">
        <v>1206</v>
      </c>
      <c r="GI36" s="615" t="s">
        <v>1206</v>
      </c>
      <c r="GJ36" s="615" t="s">
        <v>1206</v>
      </c>
      <c r="GK36" s="615" t="s">
        <v>1206</v>
      </c>
      <c r="GL36" s="615" t="s">
        <v>1206</v>
      </c>
      <c r="GM36" s="615" t="s">
        <v>1206</v>
      </c>
      <c r="GN36" s="615" t="s">
        <v>1206</v>
      </c>
      <c r="GO36" s="615" t="s">
        <v>1206</v>
      </c>
      <c r="GP36" s="615" t="s">
        <v>1206</v>
      </c>
      <c r="GQ36" s="615" t="s">
        <v>1206</v>
      </c>
      <c r="GR36" s="615" t="s">
        <v>1206</v>
      </c>
      <c r="GS36" s="615">
        <v>0</v>
      </c>
      <c r="GT36" s="615">
        <v>0</v>
      </c>
      <c r="GU36" s="615">
        <v>0</v>
      </c>
      <c r="GV36" s="615">
        <v>0</v>
      </c>
      <c r="GW36" s="615">
        <v>0</v>
      </c>
      <c r="GX36" s="615">
        <v>0</v>
      </c>
      <c r="GY36" s="615">
        <v>0</v>
      </c>
      <c r="GZ36" s="615">
        <v>0</v>
      </c>
      <c r="HA36" s="615">
        <v>0</v>
      </c>
      <c r="HB36" s="615">
        <v>0</v>
      </c>
      <c r="HC36" s="615" t="s">
        <v>1208</v>
      </c>
      <c r="HD36" s="615" t="s">
        <v>1208</v>
      </c>
      <c r="HE36" s="615" t="s">
        <v>1208</v>
      </c>
      <c r="HF36" s="615" t="s">
        <v>1208</v>
      </c>
      <c r="HG36" s="615" t="s">
        <v>1208</v>
      </c>
      <c r="HH36" s="615" t="s">
        <v>1208</v>
      </c>
      <c r="HI36" s="615" t="s">
        <v>1208</v>
      </c>
      <c r="HJ36" s="615" t="s">
        <v>1208</v>
      </c>
      <c r="HK36" s="615" t="s">
        <v>1208</v>
      </c>
      <c r="HL36" s="615" t="s">
        <v>1208</v>
      </c>
      <c r="HM36" s="615" t="s">
        <v>1208</v>
      </c>
      <c r="HN36" s="615" t="s">
        <v>1208</v>
      </c>
      <c r="HO36" s="611" t="str">
        <f t="shared" ref="HO36:HO47" si="13">IF(HC36="配置",$HO$3,"")</f>
        <v/>
      </c>
      <c r="HP36" s="611" t="str">
        <f t="shared" ref="HP36:HP47" si="14">IF(HD36="配置",$HO$3,"")</f>
        <v/>
      </c>
      <c r="HQ36" s="611" t="str">
        <f t="shared" ref="HQ36:HQ47" si="15">IF(HE36="配置",$HO$3,"")</f>
        <v/>
      </c>
      <c r="HR36" s="611" t="str">
        <f t="shared" ref="HR36:HR47" si="16">IF(HF36="配置",$HO$3,"")</f>
        <v/>
      </c>
      <c r="HS36" s="611" t="str">
        <f t="shared" ref="HS36:HS47" si="17">IF(HG36="配置",$HO$3,"")</f>
        <v/>
      </c>
      <c r="HT36" s="611" t="str">
        <f t="shared" ref="HT36:HT47" si="18">IF(HH36="配置",$HO$3,"")</f>
        <v/>
      </c>
      <c r="HU36" s="611" t="str">
        <f t="shared" ref="HU36:HU47" si="19">IF(HI36="配置",$HO$3,"")</f>
        <v/>
      </c>
      <c r="HV36" s="611" t="str">
        <f t="shared" ref="HV36:HV47" si="20">IF(HJ36="配置",$HO$3,"")</f>
        <v/>
      </c>
      <c r="HW36" s="611" t="str">
        <f t="shared" ref="HW36:HW47" si="21">IF(HK36="配置",$HO$3,"")</f>
        <v/>
      </c>
      <c r="HX36" s="611" t="str">
        <f t="shared" ref="HX36:HX47" si="22">IF(HL36="配置",$HO$3,"")</f>
        <v/>
      </c>
      <c r="HY36" s="611" t="str">
        <f t="shared" ref="HY36:HY47" si="23">IF(HM36="配置",$HO$3,"")</f>
        <v/>
      </c>
      <c r="HZ36" s="611" t="str">
        <f t="shared" ref="HZ36:HZ47" si="24">IF(HN36="配置",$HO$3,"")</f>
        <v/>
      </c>
      <c r="IA36" s="619" t="s">
        <v>1295</v>
      </c>
    </row>
    <row r="37" spans="2:235">
      <c r="B37" s="594">
        <v>33</v>
      </c>
      <c r="C37" s="594">
        <v>233</v>
      </c>
      <c r="D37" s="611" t="s">
        <v>772</v>
      </c>
      <c r="E37" s="612" t="s">
        <v>13</v>
      </c>
      <c r="F37" s="612">
        <v>190</v>
      </c>
      <c r="G37" s="612">
        <v>160</v>
      </c>
      <c r="H37" s="612">
        <v>30</v>
      </c>
      <c r="I37" s="612">
        <v>0</v>
      </c>
      <c r="J37" s="612"/>
      <c r="K37" s="612"/>
      <c r="L37" s="612"/>
      <c r="M37" s="612"/>
      <c r="N37" s="612"/>
      <c r="O37" s="612"/>
      <c r="P37" s="612"/>
      <c r="Q37" s="612"/>
      <c r="R37" s="612"/>
      <c r="S37" s="612"/>
      <c r="T37" s="612"/>
      <c r="U37" s="612"/>
      <c r="V37" s="612"/>
      <c r="W37" s="612"/>
      <c r="X37" s="612"/>
      <c r="Y37" s="612"/>
      <c r="Z37" s="612"/>
      <c r="AA37" s="612"/>
      <c r="AB37" s="612"/>
      <c r="AC37" s="612"/>
      <c r="AD37" s="612"/>
      <c r="AE37" s="612"/>
      <c r="AF37" s="612"/>
      <c r="AG37" s="612"/>
      <c r="AH37" s="612"/>
      <c r="AI37" s="612"/>
      <c r="AJ37" s="612"/>
      <c r="AK37" s="612"/>
      <c r="AL37" s="612"/>
      <c r="AM37" s="613"/>
      <c r="AN37" s="613"/>
      <c r="AO37" s="613"/>
      <c r="AP37" s="612"/>
      <c r="AQ37" s="612" t="s">
        <v>11</v>
      </c>
      <c r="AR37" s="615" t="s">
        <v>629</v>
      </c>
      <c r="AS37" s="615" t="s">
        <v>629</v>
      </c>
      <c r="AT37" s="615" t="s">
        <v>629</v>
      </c>
      <c r="AU37" s="615" t="s">
        <v>629</v>
      </c>
      <c r="AV37" s="615" t="s">
        <v>629</v>
      </c>
      <c r="AW37" s="615" t="s">
        <v>629</v>
      </c>
      <c r="AX37" s="615" t="s">
        <v>629</v>
      </c>
      <c r="AY37" s="615" t="s">
        <v>629</v>
      </c>
      <c r="AZ37" s="615" t="s">
        <v>629</v>
      </c>
      <c r="BA37" s="615" t="s">
        <v>629</v>
      </c>
      <c r="BB37" s="615" t="s">
        <v>629</v>
      </c>
      <c r="BC37" s="615" t="s">
        <v>629</v>
      </c>
      <c r="BD37" s="615" t="s">
        <v>629</v>
      </c>
      <c r="BE37" s="615" t="s">
        <v>629</v>
      </c>
      <c r="BF37" s="615" t="s">
        <v>629</v>
      </c>
      <c r="BG37" s="615" t="s">
        <v>629</v>
      </c>
      <c r="BH37" s="615" t="s">
        <v>629</v>
      </c>
      <c r="BI37" s="615" t="s">
        <v>629</v>
      </c>
      <c r="BJ37" s="615" t="s">
        <v>629</v>
      </c>
      <c r="BK37" s="615" t="s">
        <v>629</v>
      </c>
      <c r="BL37" s="615" t="s">
        <v>629</v>
      </c>
      <c r="BM37" s="615" t="s">
        <v>629</v>
      </c>
      <c r="BN37" s="615" t="s">
        <v>629</v>
      </c>
      <c r="BO37" s="615" t="s">
        <v>629</v>
      </c>
      <c r="BP37" s="615">
        <v>0</v>
      </c>
      <c r="BQ37" s="615">
        <v>0</v>
      </c>
      <c r="BR37" s="615">
        <v>0</v>
      </c>
      <c r="BS37" s="615">
        <v>0</v>
      </c>
      <c r="BT37" s="615">
        <v>0</v>
      </c>
      <c r="BU37" s="615">
        <v>0</v>
      </c>
      <c r="BV37" s="615">
        <v>0</v>
      </c>
      <c r="BW37" s="615">
        <v>0</v>
      </c>
      <c r="BX37" s="615">
        <v>0</v>
      </c>
      <c r="BY37" s="615">
        <v>0</v>
      </c>
      <c r="BZ37" s="615">
        <v>0</v>
      </c>
      <c r="CA37" s="615">
        <v>0</v>
      </c>
      <c r="CB37" s="615">
        <v>0</v>
      </c>
      <c r="CC37" s="615">
        <v>0</v>
      </c>
      <c r="CD37" s="615">
        <v>0</v>
      </c>
      <c r="CE37" s="615">
        <v>0</v>
      </c>
      <c r="CF37" s="615">
        <v>0</v>
      </c>
      <c r="CG37" s="615">
        <v>0</v>
      </c>
      <c r="CH37" s="615">
        <v>0</v>
      </c>
      <c r="CI37" s="615">
        <v>0</v>
      </c>
      <c r="CJ37" s="615">
        <v>0</v>
      </c>
      <c r="CK37" s="615">
        <v>0</v>
      </c>
      <c r="CL37" s="615">
        <v>0</v>
      </c>
      <c r="CM37" s="615">
        <v>0</v>
      </c>
      <c r="CN37" s="615">
        <v>0</v>
      </c>
      <c r="CO37" s="615">
        <v>0</v>
      </c>
      <c r="CP37" s="615">
        <v>0</v>
      </c>
      <c r="CQ37" s="615">
        <v>0</v>
      </c>
      <c r="CR37" s="615">
        <v>0</v>
      </c>
      <c r="CS37" s="615">
        <v>0</v>
      </c>
      <c r="CT37" s="615">
        <v>0</v>
      </c>
      <c r="CU37" s="615">
        <v>0</v>
      </c>
      <c r="CV37" s="615">
        <v>0</v>
      </c>
      <c r="CW37" s="615">
        <v>0</v>
      </c>
      <c r="CX37" s="615">
        <v>0</v>
      </c>
      <c r="CY37" s="615">
        <v>0</v>
      </c>
      <c r="CZ37" s="615" t="s">
        <v>1049</v>
      </c>
      <c r="DA37" s="615">
        <v>0</v>
      </c>
      <c r="DB37" s="617"/>
      <c r="DC37" s="617"/>
      <c r="DD37" s="617"/>
      <c r="DE37" s="617"/>
      <c r="DF37" s="617"/>
      <c r="DG37" s="617"/>
      <c r="DH37" s="617"/>
      <c r="DI37" s="617"/>
      <c r="DJ37" s="617"/>
      <c r="DK37" s="617"/>
      <c r="DL37" s="617"/>
      <c r="DM37" s="617"/>
      <c r="DN37" s="617"/>
      <c r="DO37" s="617"/>
      <c r="DP37" s="617"/>
      <c r="DQ37" s="617"/>
      <c r="DR37" s="617"/>
      <c r="DS37" s="617"/>
      <c r="DT37" s="617"/>
      <c r="DU37" s="617"/>
      <c r="DV37" s="617"/>
      <c r="DW37" s="617"/>
      <c r="DX37" s="617"/>
      <c r="DY37" s="617"/>
      <c r="DZ37" s="617"/>
      <c r="EA37" s="617"/>
      <c r="EB37" s="617"/>
      <c r="EC37" s="617"/>
      <c r="ED37" s="617"/>
      <c r="EE37" s="617"/>
      <c r="EF37" s="617"/>
      <c r="EG37" s="617"/>
      <c r="EH37" s="617"/>
      <c r="EI37" s="617"/>
      <c r="EJ37" s="617"/>
      <c r="EK37" s="617"/>
      <c r="EL37" s="615" t="s">
        <v>833</v>
      </c>
      <c r="EM37" s="615" t="s">
        <v>833</v>
      </c>
      <c r="EN37" s="615" t="s">
        <v>833</v>
      </c>
      <c r="EO37" s="615" t="s">
        <v>833</v>
      </c>
      <c r="EP37" s="615" t="s">
        <v>833</v>
      </c>
      <c r="EQ37" s="615" t="s">
        <v>833</v>
      </c>
      <c r="ER37" s="615" t="s">
        <v>833</v>
      </c>
      <c r="ES37" s="615" t="s">
        <v>833</v>
      </c>
      <c r="ET37" s="615" t="s">
        <v>833</v>
      </c>
      <c r="EU37" s="615" t="s">
        <v>833</v>
      </c>
      <c r="EV37" s="615" t="s">
        <v>833</v>
      </c>
      <c r="EW37" s="615" t="s">
        <v>833</v>
      </c>
      <c r="EX37" s="615">
        <v>3670</v>
      </c>
      <c r="EY37" s="615">
        <v>3820</v>
      </c>
      <c r="EZ37" s="615" t="s">
        <v>1206</v>
      </c>
      <c r="FA37" s="615" t="s">
        <v>1206</v>
      </c>
      <c r="FB37" s="615" t="s">
        <v>1206</v>
      </c>
      <c r="FC37" s="615" t="s">
        <v>1206</v>
      </c>
      <c r="FD37" s="615" t="s">
        <v>1206</v>
      </c>
      <c r="FE37" s="615" t="s">
        <v>1206</v>
      </c>
      <c r="FF37" s="615" t="s">
        <v>1206</v>
      </c>
      <c r="FG37" s="615" t="s">
        <v>1206</v>
      </c>
      <c r="FH37" s="615" t="s">
        <v>1206</v>
      </c>
      <c r="FI37" s="615" t="s">
        <v>1206</v>
      </c>
      <c r="FJ37" s="615" t="s">
        <v>1206</v>
      </c>
      <c r="FK37" s="615" t="s">
        <v>1206</v>
      </c>
      <c r="FL37" s="615">
        <v>41</v>
      </c>
      <c r="FM37" s="615">
        <v>41</v>
      </c>
      <c r="FN37" s="615">
        <v>41</v>
      </c>
      <c r="FO37" s="615">
        <v>40</v>
      </c>
      <c r="FP37" s="615">
        <v>40</v>
      </c>
      <c r="FQ37" s="615">
        <v>42</v>
      </c>
      <c r="FR37" s="615">
        <v>44</v>
      </c>
      <c r="FS37" s="615">
        <v>44</v>
      </c>
      <c r="FT37" s="615">
        <v>44</v>
      </c>
      <c r="FU37" s="615">
        <v>44</v>
      </c>
      <c r="FV37" s="615">
        <v>51</v>
      </c>
      <c r="FW37" s="615">
        <v>50</v>
      </c>
      <c r="FX37" s="615">
        <v>50</v>
      </c>
      <c r="FY37" s="615">
        <v>51</v>
      </c>
      <c r="FZ37" s="615">
        <v>51</v>
      </c>
      <c r="GA37" s="615">
        <v>53</v>
      </c>
      <c r="GB37" s="615">
        <v>53</v>
      </c>
      <c r="GC37" s="615">
        <v>53</v>
      </c>
      <c r="GD37" s="615">
        <v>53</v>
      </c>
      <c r="GE37" s="615">
        <v>53</v>
      </c>
      <c r="GF37" s="615">
        <v>18350</v>
      </c>
      <c r="GG37" s="615" t="s">
        <v>1206</v>
      </c>
      <c r="GH37" s="615" t="s">
        <v>1206</v>
      </c>
      <c r="GI37" s="615" t="s">
        <v>1206</v>
      </c>
      <c r="GJ37" s="615" t="s">
        <v>1206</v>
      </c>
      <c r="GK37" s="615" t="s">
        <v>1206</v>
      </c>
      <c r="GL37" s="615" t="s">
        <v>1206</v>
      </c>
      <c r="GM37" s="615" t="s">
        <v>1206</v>
      </c>
      <c r="GN37" s="615" t="s">
        <v>1206</v>
      </c>
      <c r="GO37" s="615" t="s">
        <v>1206</v>
      </c>
      <c r="GP37" s="615" t="s">
        <v>1206</v>
      </c>
      <c r="GQ37" s="615" t="s">
        <v>1206</v>
      </c>
      <c r="GR37" s="615" t="s">
        <v>1206</v>
      </c>
      <c r="GS37" s="615">
        <v>0</v>
      </c>
      <c r="GT37" s="615">
        <v>0</v>
      </c>
      <c r="GU37" s="615">
        <v>0</v>
      </c>
      <c r="GV37" s="615">
        <v>0</v>
      </c>
      <c r="GW37" s="615">
        <v>0</v>
      </c>
      <c r="GX37" s="615">
        <v>0</v>
      </c>
      <c r="GY37" s="615">
        <v>0</v>
      </c>
      <c r="GZ37" s="615">
        <v>0</v>
      </c>
      <c r="HA37" s="615">
        <v>0</v>
      </c>
      <c r="HB37" s="615">
        <v>0</v>
      </c>
      <c r="HC37" s="615" t="s">
        <v>629</v>
      </c>
      <c r="HD37" s="615" t="s">
        <v>629</v>
      </c>
      <c r="HE37" s="615" t="s">
        <v>629</v>
      </c>
      <c r="HF37" s="615" t="s">
        <v>629</v>
      </c>
      <c r="HG37" s="615" t="s">
        <v>629</v>
      </c>
      <c r="HH37" s="615" t="s">
        <v>629</v>
      </c>
      <c r="HI37" s="615" t="s">
        <v>629</v>
      </c>
      <c r="HJ37" s="615" t="s">
        <v>629</v>
      </c>
      <c r="HK37" s="615" t="s">
        <v>629</v>
      </c>
      <c r="HL37" s="615" t="s">
        <v>629</v>
      </c>
      <c r="HM37" s="615" t="s">
        <v>629</v>
      </c>
      <c r="HN37" s="615" t="s">
        <v>629</v>
      </c>
      <c r="HO37" s="611" t="str">
        <f t="shared" si="13"/>
        <v/>
      </c>
      <c r="HP37" s="611" t="str">
        <f t="shared" si="14"/>
        <v/>
      </c>
      <c r="HQ37" s="611" t="str">
        <f t="shared" si="15"/>
        <v/>
      </c>
      <c r="HR37" s="611" t="str">
        <f t="shared" si="16"/>
        <v/>
      </c>
      <c r="HS37" s="611" t="str">
        <f t="shared" si="17"/>
        <v/>
      </c>
      <c r="HT37" s="611" t="str">
        <f t="shared" si="18"/>
        <v/>
      </c>
      <c r="HU37" s="611" t="str">
        <f t="shared" si="19"/>
        <v/>
      </c>
      <c r="HV37" s="611" t="str">
        <f t="shared" si="20"/>
        <v/>
      </c>
      <c r="HW37" s="611" t="str">
        <f t="shared" si="21"/>
        <v/>
      </c>
      <c r="HX37" s="611" t="str">
        <f t="shared" si="22"/>
        <v/>
      </c>
      <c r="HY37" s="611" t="str">
        <f t="shared" si="23"/>
        <v/>
      </c>
      <c r="HZ37" s="611" t="str">
        <f t="shared" si="24"/>
        <v/>
      </c>
      <c r="IA37" s="619" t="s">
        <v>1295</v>
      </c>
    </row>
    <row r="38" spans="2:235">
      <c r="B38" s="594">
        <v>34</v>
      </c>
      <c r="C38" s="594">
        <v>234</v>
      </c>
      <c r="D38" s="611" t="s">
        <v>773</v>
      </c>
      <c r="E38" s="612" t="s">
        <v>13</v>
      </c>
      <c r="F38" s="612">
        <v>90</v>
      </c>
      <c r="G38" s="612">
        <v>60</v>
      </c>
      <c r="H38" s="612">
        <v>18</v>
      </c>
      <c r="I38" s="612">
        <v>12</v>
      </c>
      <c r="J38" s="612"/>
      <c r="K38" s="612"/>
      <c r="L38" s="612"/>
      <c r="M38" s="612"/>
      <c r="N38" s="612"/>
      <c r="O38" s="612"/>
      <c r="P38" s="612"/>
      <c r="Q38" s="612"/>
      <c r="R38" s="612"/>
      <c r="S38" s="612"/>
      <c r="T38" s="612"/>
      <c r="U38" s="612"/>
      <c r="V38" s="612"/>
      <c r="W38" s="612"/>
      <c r="X38" s="612"/>
      <c r="Y38" s="612"/>
      <c r="Z38" s="612"/>
      <c r="AA38" s="612"/>
      <c r="AB38" s="612"/>
      <c r="AC38" s="612"/>
      <c r="AD38" s="612"/>
      <c r="AE38" s="612"/>
      <c r="AF38" s="612"/>
      <c r="AG38" s="612"/>
      <c r="AH38" s="612"/>
      <c r="AI38" s="612"/>
      <c r="AJ38" s="612"/>
      <c r="AK38" s="612"/>
      <c r="AL38" s="612"/>
      <c r="AM38" s="613"/>
      <c r="AN38" s="613"/>
      <c r="AO38" s="613"/>
      <c r="AP38" s="612"/>
      <c r="AQ38" s="612" t="s">
        <v>11</v>
      </c>
      <c r="AR38" s="615" t="s">
        <v>629</v>
      </c>
      <c r="AS38" s="615" t="s">
        <v>629</v>
      </c>
      <c r="AT38" s="615" t="s">
        <v>629</v>
      </c>
      <c r="AU38" s="615" t="s">
        <v>629</v>
      </c>
      <c r="AV38" s="615" t="s">
        <v>629</v>
      </c>
      <c r="AW38" s="615" t="s">
        <v>629</v>
      </c>
      <c r="AX38" s="615" t="s">
        <v>629</v>
      </c>
      <c r="AY38" s="615" t="s">
        <v>629</v>
      </c>
      <c r="AZ38" s="615" t="s">
        <v>629</v>
      </c>
      <c r="BA38" s="615" t="s">
        <v>629</v>
      </c>
      <c r="BB38" s="615" t="s">
        <v>629</v>
      </c>
      <c r="BC38" s="615" t="s">
        <v>629</v>
      </c>
      <c r="BD38" s="615" t="s">
        <v>629</v>
      </c>
      <c r="BE38" s="615" t="s">
        <v>629</v>
      </c>
      <c r="BF38" s="615" t="s">
        <v>629</v>
      </c>
      <c r="BG38" s="615" t="s">
        <v>629</v>
      </c>
      <c r="BH38" s="615" t="s">
        <v>629</v>
      </c>
      <c r="BI38" s="615" t="s">
        <v>629</v>
      </c>
      <c r="BJ38" s="615" t="s">
        <v>629</v>
      </c>
      <c r="BK38" s="615" t="s">
        <v>629</v>
      </c>
      <c r="BL38" s="615" t="s">
        <v>629</v>
      </c>
      <c r="BM38" s="615" t="s">
        <v>629</v>
      </c>
      <c r="BN38" s="615" t="s">
        <v>629</v>
      </c>
      <c r="BO38" s="615" t="s">
        <v>629</v>
      </c>
      <c r="BP38" s="615">
        <v>0</v>
      </c>
      <c r="BQ38" s="615">
        <v>0</v>
      </c>
      <c r="BR38" s="615">
        <v>0</v>
      </c>
      <c r="BS38" s="615">
        <v>0</v>
      </c>
      <c r="BT38" s="615">
        <v>0</v>
      </c>
      <c r="BU38" s="615">
        <v>0</v>
      </c>
      <c r="BV38" s="615">
        <v>0</v>
      </c>
      <c r="BW38" s="615">
        <v>0</v>
      </c>
      <c r="BX38" s="615">
        <v>0</v>
      </c>
      <c r="BY38" s="615">
        <v>0</v>
      </c>
      <c r="BZ38" s="615">
        <v>0</v>
      </c>
      <c r="CA38" s="615">
        <v>0</v>
      </c>
      <c r="CB38" s="615">
        <v>0</v>
      </c>
      <c r="CC38" s="615">
        <v>0</v>
      </c>
      <c r="CD38" s="615">
        <v>0</v>
      </c>
      <c r="CE38" s="615">
        <v>0</v>
      </c>
      <c r="CF38" s="615">
        <v>0</v>
      </c>
      <c r="CG38" s="615">
        <v>0</v>
      </c>
      <c r="CH38" s="615">
        <v>0</v>
      </c>
      <c r="CI38" s="615">
        <v>0</v>
      </c>
      <c r="CJ38" s="615">
        <v>0</v>
      </c>
      <c r="CK38" s="615">
        <v>0</v>
      </c>
      <c r="CL38" s="615">
        <v>0</v>
      </c>
      <c r="CM38" s="615">
        <v>0</v>
      </c>
      <c r="CN38" s="615">
        <v>0</v>
      </c>
      <c r="CO38" s="615">
        <v>0</v>
      </c>
      <c r="CP38" s="615">
        <v>0</v>
      </c>
      <c r="CQ38" s="615">
        <v>0</v>
      </c>
      <c r="CR38" s="615">
        <v>0</v>
      </c>
      <c r="CS38" s="615">
        <v>0</v>
      </c>
      <c r="CT38" s="615">
        <v>0</v>
      </c>
      <c r="CU38" s="615">
        <v>0</v>
      </c>
      <c r="CV38" s="615">
        <v>0</v>
      </c>
      <c r="CW38" s="615">
        <v>0</v>
      </c>
      <c r="CX38" s="615">
        <v>0</v>
      </c>
      <c r="CY38" s="615">
        <v>0</v>
      </c>
      <c r="CZ38" s="615" t="s">
        <v>1049</v>
      </c>
      <c r="DA38" s="615">
        <v>0</v>
      </c>
      <c r="DB38" s="617"/>
      <c r="DC38" s="617"/>
      <c r="DD38" s="617"/>
      <c r="DE38" s="617"/>
      <c r="DF38" s="617"/>
      <c r="DG38" s="617"/>
      <c r="DH38" s="617"/>
      <c r="DI38" s="617"/>
      <c r="DJ38" s="617"/>
      <c r="DK38" s="617"/>
      <c r="DL38" s="617"/>
      <c r="DM38" s="617"/>
      <c r="DN38" s="617"/>
      <c r="DO38" s="617"/>
      <c r="DP38" s="617"/>
      <c r="DQ38" s="617"/>
      <c r="DR38" s="617"/>
      <c r="DS38" s="617"/>
      <c r="DT38" s="617"/>
      <c r="DU38" s="617"/>
      <c r="DV38" s="617"/>
      <c r="DW38" s="617"/>
      <c r="DX38" s="617"/>
      <c r="DY38" s="617"/>
      <c r="DZ38" s="617"/>
      <c r="EA38" s="617"/>
      <c r="EB38" s="617"/>
      <c r="EC38" s="617"/>
      <c r="ED38" s="617"/>
      <c r="EE38" s="617"/>
      <c r="EF38" s="617"/>
      <c r="EG38" s="617"/>
      <c r="EH38" s="617"/>
      <c r="EI38" s="617"/>
      <c r="EJ38" s="617"/>
      <c r="EK38" s="617"/>
      <c r="EL38" s="615" t="s">
        <v>833</v>
      </c>
      <c r="EM38" s="615" t="s">
        <v>833</v>
      </c>
      <c r="EN38" s="615" t="s">
        <v>833</v>
      </c>
      <c r="EO38" s="615" t="s">
        <v>833</v>
      </c>
      <c r="EP38" s="615" t="s">
        <v>833</v>
      </c>
      <c r="EQ38" s="615" t="s">
        <v>833</v>
      </c>
      <c r="ER38" s="615" t="s">
        <v>833</v>
      </c>
      <c r="ES38" s="615" t="s">
        <v>833</v>
      </c>
      <c r="ET38" s="615" t="s">
        <v>833</v>
      </c>
      <c r="EU38" s="615" t="s">
        <v>833</v>
      </c>
      <c r="EV38" s="615" t="s">
        <v>833</v>
      </c>
      <c r="EW38" s="615" t="s">
        <v>833</v>
      </c>
      <c r="EX38" s="615">
        <v>3670</v>
      </c>
      <c r="EY38" s="615">
        <v>3820</v>
      </c>
      <c r="EZ38" s="615" t="s">
        <v>833</v>
      </c>
      <c r="FA38" s="615" t="s">
        <v>833</v>
      </c>
      <c r="FB38" s="615" t="s">
        <v>833</v>
      </c>
      <c r="FC38" s="615" t="s">
        <v>833</v>
      </c>
      <c r="FD38" s="615" t="s">
        <v>833</v>
      </c>
      <c r="FE38" s="615" t="s">
        <v>833</v>
      </c>
      <c r="FF38" s="615" t="s">
        <v>833</v>
      </c>
      <c r="FG38" s="615" t="s">
        <v>833</v>
      </c>
      <c r="FH38" s="615" t="s">
        <v>833</v>
      </c>
      <c r="FI38" s="615" t="s">
        <v>833</v>
      </c>
      <c r="FJ38" s="615" t="s">
        <v>833</v>
      </c>
      <c r="FK38" s="615" t="s">
        <v>833</v>
      </c>
      <c r="FL38" s="615">
        <v>10</v>
      </c>
      <c r="FM38" s="615">
        <v>10</v>
      </c>
      <c r="FN38" s="615">
        <v>11</v>
      </c>
      <c r="FO38" s="615">
        <v>11</v>
      </c>
      <c r="FP38" s="615">
        <v>11</v>
      </c>
      <c r="FQ38" s="615">
        <v>11</v>
      </c>
      <c r="FR38" s="615">
        <v>12</v>
      </c>
      <c r="FS38" s="615">
        <v>11</v>
      </c>
      <c r="FT38" s="615">
        <v>11</v>
      </c>
      <c r="FU38" s="615">
        <v>11</v>
      </c>
      <c r="FV38" s="615">
        <v>16</v>
      </c>
      <c r="FW38" s="615">
        <v>16</v>
      </c>
      <c r="FX38" s="615">
        <v>16</v>
      </c>
      <c r="FY38" s="615">
        <v>16</v>
      </c>
      <c r="FZ38" s="615">
        <v>16</v>
      </c>
      <c r="GA38" s="615">
        <v>16</v>
      </c>
      <c r="GB38" s="615">
        <v>16</v>
      </c>
      <c r="GC38" s="615">
        <v>17</v>
      </c>
      <c r="GD38" s="615">
        <v>17</v>
      </c>
      <c r="GE38" s="615">
        <v>17</v>
      </c>
      <c r="GF38" s="615">
        <v>18350</v>
      </c>
      <c r="GG38" s="615" t="s">
        <v>833</v>
      </c>
      <c r="GH38" s="615" t="s">
        <v>833</v>
      </c>
      <c r="GI38" s="615" t="s">
        <v>833</v>
      </c>
      <c r="GJ38" s="615" t="s">
        <v>833</v>
      </c>
      <c r="GK38" s="615" t="s">
        <v>833</v>
      </c>
      <c r="GL38" s="615" t="s">
        <v>833</v>
      </c>
      <c r="GM38" s="615" t="s">
        <v>833</v>
      </c>
      <c r="GN38" s="615" t="s">
        <v>833</v>
      </c>
      <c r="GO38" s="615" t="s">
        <v>833</v>
      </c>
      <c r="GP38" s="615" t="s">
        <v>833</v>
      </c>
      <c r="GQ38" s="615" t="s">
        <v>833</v>
      </c>
      <c r="GR38" s="615" t="s">
        <v>833</v>
      </c>
      <c r="GS38" s="615">
        <v>5</v>
      </c>
      <c r="GT38" s="615">
        <v>5</v>
      </c>
      <c r="GU38" s="615">
        <v>5</v>
      </c>
      <c r="GV38" s="615">
        <v>5</v>
      </c>
      <c r="GW38" s="615">
        <v>5</v>
      </c>
      <c r="GX38" s="615">
        <v>5</v>
      </c>
      <c r="GY38" s="615">
        <v>5</v>
      </c>
      <c r="GZ38" s="615">
        <v>5</v>
      </c>
      <c r="HA38" s="615">
        <v>5</v>
      </c>
      <c r="HB38" s="615">
        <v>5</v>
      </c>
      <c r="HC38" s="615" t="s">
        <v>1209</v>
      </c>
      <c r="HD38" s="615" t="s">
        <v>1209</v>
      </c>
      <c r="HE38" s="615" t="s">
        <v>1209</v>
      </c>
      <c r="HF38" s="615" t="s">
        <v>1209</v>
      </c>
      <c r="HG38" s="615" t="s">
        <v>1209</v>
      </c>
      <c r="HH38" s="615" t="s">
        <v>1209</v>
      </c>
      <c r="HI38" s="615" t="s">
        <v>1209</v>
      </c>
      <c r="HJ38" s="615" t="s">
        <v>1209</v>
      </c>
      <c r="HK38" s="615" t="s">
        <v>1209</v>
      </c>
      <c r="HL38" s="615" t="s">
        <v>1209</v>
      </c>
      <c r="HM38" s="615" t="s">
        <v>1209</v>
      </c>
      <c r="HN38" s="615" t="s">
        <v>1209</v>
      </c>
      <c r="HO38" s="611" t="str">
        <f t="shared" si="13"/>
        <v/>
      </c>
      <c r="HP38" s="611" t="str">
        <f t="shared" si="14"/>
        <v/>
      </c>
      <c r="HQ38" s="611" t="str">
        <f t="shared" si="15"/>
        <v/>
      </c>
      <c r="HR38" s="611" t="str">
        <f t="shared" si="16"/>
        <v/>
      </c>
      <c r="HS38" s="611" t="str">
        <f t="shared" si="17"/>
        <v/>
      </c>
      <c r="HT38" s="611" t="str">
        <f t="shared" si="18"/>
        <v/>
      </c>
      <c r="HU38" s="611" t="str">
        <f t="shared" si="19"/>
        <v/>
      </c>
      <c r="HV38" s="611" t="str">
        <f t="shared" si="20"/>
        <v/>
      </c>
      <c r="HW38" s="611" t="str">
        <f t="shared" si="21"/>
        <v/>
      </c>
      <c r="HX38" s="611" t="str">
        <f t="shared" si="22"/>
        <v/>
      </c>
      <c r="HY38" s="611" t="str">
        <f t="shared" si="23"/>
        <v/>
      </c>
      <c r="HZ38" s="611" t="str">
        <f t="shared" si="24"/>
        <v/>
      </c>
      <c r="IA38" s="619" t="s">
        <v>1295</v>
      </c>
    </row>
    <row r="39" spans="2:235">
      <c r="B39" s="594">
        <v>35</v>
      </c>
      <c r="C39" s="594">
        <v>235</v>
      </c>
      <c r="D39" s="611" t="s">
        <v>774</v>
      </c>
      <c r="E39" s="612" t="s">
        <v>13</v>
      </c>
      <c r="F39" s="612">
        <v>146</v>
      </c>
      <c r="G39" s="612">
        <v>6</v>
      </c>
      <c r="H39" s="612">
        <v>79</v>
      </c>
      <c r="I39" s="612">
        <v>61</v>
      </c>
      <c r="J39" s="612"/>
      <c r="K39" s="612"/>
      <c r="L39" s="612"/>
      <c r="M39" s="612"/>
      <c r="N39" s="612"/>
      <c r="O39" s="612"/>
      <c r="P39" s="612"/>
      <c r="Q39" s="612"/>
      <c r="R39" s="612"/>
      <c r="S39" s="612"/>
      <c r="T39" s="612"/>
      <c r="U39" s="612"/>
      <c r="V39" s="612"/>
      <c r="W39" s="612"/>
      <c r="X39" s="612"/>
      <c r="Y39" s="612"/>
      <c r="Z39" s="612"/>
      <c r="AA39" s="612"/>
      <c r="AB39" s="612"/>
      <c r="AC39" s="612"/>
      <c r="AD39" s="612"/>
      <c r="AE39" s="612"/>
      <c r="AF39" s="612"/>
      <c r="AG39" s="612"/>
      <c r="AH39" s="612"/>
      <c r="AI39" s="612"/>
      <c r="AJ39" s="612"/>
      <c r="AK39" s="612"/>
      <c r="AL39" s="612"/>
      <c r="AM39" s="613"/>
      <c r="AN39" s="613"/>
      <c r="AO39" s="613"/>
      <c r="AP39" s="612"/>
      <c r="AQ39" s="612" t="s">
        <v>11</v>
      </c>
      <c r="AR39" s="615" t="s">
        <v>1047</v>
      </c>
      <c r="AS39" s="615" t="s">
        <v>1047</v>
      </c>
      <c r="AT39" s="615" t="s">
        <v>1047</v>
      </c>
      <c r="AU39" s="615" t="s">
        <v>1047</v>
      </c>
      <c r="AV39" s="615" t="s">
        <v>1047</v>
      </c>
      <c r="AW39" s="615" t="s">
        <v>1047</v>
      </c>
      <c r="AX39" s="615" t="s">
        <v>1047</v>
      </c>
      <c r="AY39" s="615" t="s">
        <v>1047</v>
      </c>
      <c r="AZ39" s="615" t="s">
        <v>1047</v>
      </c>
      <c r="BA39" s="615" t="s">
        <v>1047</v>
      </c>
      <c r="BB39" s="615" t="s">
        <v>1047</v>
      </c>
      <c r="BC39" s="615" t="s">
        <v>1047</v>
      </c>
      <c r="BD39" s="615" t="s">
        <v>1049</v>
      </c>
      <c r="BE39" s="615" t="s">
        <v>1049</v>
      </c>
      <c r="BF39" s="615" t="s">
        <v>1049</v>
      </c>
      <c r="BG39" s="615" t="s">
        <v>1049</v>
      </c>
      <c r="BH39" s="615" t="s">
        <v>1049</v>
      </c>
      <c r="BI39" s="615" t="s">
        <v>1049</v>
      </c>
      <c r="BJ39" s="615" t="s">
        <v>1049</v>
      </c>
      <c r="BK39" s="615" t="s">
        <v>1049</v>
      </c>
      <c r="BL39" s="615" t="s">
        <v>1049</v>
      </c>
      <c r="BM39" s="615" t="s">
        <v>1049</v>
      </c>
      <c r="BN39" s="615" t="s">
        <v>1049</v>
      </c>
      <c r="BO39" s="615" t="s">
        <v>1049</v>
      </c>
      <c r="BP39" s="616">
        <v>3</v>
      </c>
      <c r="BQ39" s="616">
        <v>3</v>
      </c>
      <c r="BR39" s="616">
        <v>3</v>
      </c>
      <c r="BS39" s="616">
        <v>3</v>
      </c>
      <c r="BT39" s="616">
        <v>3</v>
      </c>
      <c r="BU39" s="616">
        <v>3</v>
      </c>
      <c r="BV39" s="616">
        <v>3</v>
      </c>
      <c r="BW39" s="616">
        <v>3</v>
      </c>
      <c r="BX39" s="616">
        <v>3</v>
      </c>
      <c r="BY39" s="616">
        <v>3</v>
      </c>
      <c r="BZ39" s="616">
        <v>3</v>
      </c>
      <c r="CA39" s="616">
        <v>3</v>
      </c>
      <c r="CB39" s="615">
        <v>0</v>
      </c>
      <c r="CC39" s="615">
        <v>0</v>
      </c>
      <c r="CD39" s="615">
        <v>0</v>
      </c>
      <c r="CE39" s="615">
        <v>0</v>
      </c>
      <c r="CF39" s="615">
        <v>0</v>
      </c>
      <c r="CG39" s="615">
        <v>0</v>
      </c>
      <c r="CH39" s="615">
        <v>0</v>
      </c>
      <c r="CI39" s="615">
        <v>0</v>
      </c>
      <c r="CJ39" s="615">
        <v>0</v>
      </c>
      <c r="CK39" s="615">
        <v>0</v>
      </c>
      <c r="CL39" s="615">
        <v>0</v>
      </c>
      <c r="CM39" s="615">
        <v>0</v>
      </c>
      <c r="CN39" s="615">
        <v>0</v>
      </c>
      <c r="CO39" s="615">
        <v>0</v>
      </c>
      <c r="CP39" s="615">
        <v>0</v>
      </c>
      <c r="CQ39" s="615">
        <v>0</v>
      </c>
      <c r="CR39" s="615">
        <v>0</v>
      </c>
      <c r="CS39" s="615">
        <v>0</v>
      </c>
      <c r="CT39" s="615">
        <v>0</v>
      </c>
      <c r="CU39" s="615">
        <v>0</v>
      </c>
      <c r="CV39" s="615">
        <v>0</v>
      </c>
      <c r="CW39" s="615">
        <v>0</v>
      </c>
      <c r="CX39" s="615">
        <v>0</v>
      </c>
      <c r="CY39" s="615">
        <v>0</v>
      </c>
      <c r="CZ39" s="615" t="s">
        <v>1048</v>
      </c>
      <c r="DA39" s="615">
        <v>1</v>
      </c>
      <c r="DB39" s="617"/>
      <c r="DC39" s="617"/>
      <c r="DD39" s="617"/>
      <c r="DE39" s="617"/>
      <c r="DF39" s="617"/>
      <c r="DG39" s="617"/>
      <c r="DH39" s="617"/>
      <c r="DI39" s="617"/>
      <c r="DJ39" s="617"/>
      <c r="DK39" s="617"/>
      <c r="DL39" s="617"/>
      <c r="DM39" s="617"/>
      <c r="DN39" s="617"/>
      <c r="DO39" s="617"/>
      <c r="DP39" s="617"/>
      <c r="DQ39" s="617"/>
      <c r="DR39" s="617"/>
      <c r="DS39" s="617"/>
      <c r="DT39" s="617"/>
      <c r="DU39" s="617"/>
      <c r="DV39" s="617"/>
      <c r="DW39" s="617"/>
      <c r="DX39" s="617"/>
      <c r="DY39" s="617"/>
      <c r="DZ39" s="617"/>
      <c r="EA39" s="617"/>
      <c r="EB39" s="617"/>
      <c r="EC39" s="617"/>
      <c r="ED39" s="617"/>
      <c r="EE39" s="617"/>
      <c r="EF39" s="617"/>
      <c r="EG39" s="617"/>
      <c r="EH39" s="617"/>
      <c r="EI39" s="617"/>
      <c r="EJ39" s="617"/>
      <c r="EK39" s="617"/>
      <c r="EL39" s="615" t="s">
        <v>833</v>
      </c>
      <c r="EM39" s="615" t="s">
        <v>833</v>
      </c>
      <c r="EN39" s="615" t="s">
        <v>833</v>
      </c>
      <c r="EO39" s="615" t="s">
        <v>833</v>
      </c>
      <c r="EP39" s="615" t="s">
        <v>833</v>
      </c>
      <c r="EQ39" s="615" t="s">
        <v>833</v>
      </c>
      <c r="ER39" s="615" t="s">
        <v>833</v>
      </c>
      <c r="ES39" s="615" t="s">
        <v>833</v>
      </c>
      <c r="ET39" s="615" t="s">
        <v>833</v>
      </c>
      <c r="EU39" s="615" t="s">
        <v>833</v>
      </c>
      <c r="EV39" s="615" t="s">
        <v>833</v>
      </c>
      <c r="EW39" s="615" t="s">
        <v>833</v>
      </c>
      <c r="EX39" s="615">
        <v>3670</v>
      </c>
      <c r="EY39" s="615">
        <v>3820</v>
      </c>
      <c r="EZ39" s="615" t="s">
        <v>1206</v>
      </c>
      <c r="FA39" s="615" t="s">
        <v>1206</v>
      </c>
      <c r="FB39" s="615" t="s">
        <v>1206</v>
      </c>
      <c r="FC39" s="615" t="s">
        <v>1206</v>
      </c>
      <c r="FD39" s="615" t="s">
        <v>1206</v>
      </c>
      <c r="FE39" s="615" t="s">
        <v>1206</v>
      </c>
      <c r="FF39" s="615" t="s">
        <v>1206</v>
      </c>
      <c r="FG39" s="615" t="s">
        <v>1206</v>
      </c>
      <c r="FH39" s="615" t="s">
        <v>1206</v>
      </c>
      <c r="FI39" s="615" t="s">
        <v>1206</v>
      </c>
      <c r="FJ39" s="615" t="s">
        <v>1206</v>
      </c>
      <c r="FK39" s="615" t="s">
        <v>1206</v>
      </c>
      <c r="FL39" s="615">
        <v>7</v>
      </c>
      <c r="FM39" s="615">
        <v>7</v>
      </c>
      <c r="FN39" s="615">
        <v>7</v>
      </c>
      <c r="FO39" s="615">
        <v>7</v>
      </c>
      <c r="FP39" s="615">
        <v>7</v>
      </c>
      <c r="FQ39" s="615">
        <v>7</v>
      </c>
      <c r="FR39" s="615">
        <v>7</v>
      </c>
      <c r="FS39" s="615">
        <v>7</v>
      </c>
      <c r="FT39" s="615">
        <v>7</v>
      </c>
      <c r="FU39" s="615">
        <v>7</v>
      </c>
      <c r="FV39" s="615">
        <v>52</v>
      </c>
      <c r="FW39" s="615">
        <v>52</v>
      </c>
      <c r="FX39" s="615">
        <v>52</v>
      </c>
      <c r="FY39" s="615">
        <v>52</v>
      </c>
      <c r="FZ39" s="615">
        <v>52</v>
      </c>
      <c r="GA39" s="615">
        <v>52</v>
      </c>
      <c r="GB39" s="615">
        <v>52</v>
      </c>
      <c r="GC39" s="615">
        <v>52</v>
      </c>
      <c r="GD39" s="615">
        <v>52</v>
      </c>
      <c r="GE39" s="615">
        <v>52</v>
      </c>
      <c r="GF39" s="615">
        <v>18350</v>
      </c>
      <c r="GG39" s="615" t="s">
        <v>1206</v>
      </c>
      <c r="GH39" s="615" t="s">
        <v>1206</v>
      </c>
      <c r="GI39" s="615" t="s">
        <v>1206</v>
      </c>
      <c r="GJ39" s="615" t="s">
        <v>1206</v>
      </c>
      <c r="GK39" s="615" t="s">
        <v>1206</v>
      </c>
      <c r="GL39" s="615" t="s">
        <v>1206</v>
      </c>
      <c r="GM39" s="615" t="s">
        <v>1206</v>
      </c>
      <c r="GN39" s="615" t="s">
        <v>1206</v>
      </c>
      <c r="GO39" s="615" t="s">
        <v>1206</v>
      </c>
      <c r="GP39" s="615" t="s">
        <v>1206</v>
      </c>
      <c r="GQ39" s="615" t="s">
        <v>1206</v>
      </c>
      <c r="GR39" s="615" t="s">
        <v>1206</v>
      </c>
      <c r="GS39" s="615">
        <v>25</v>
      </c>
      <c r="GT39" s="615">
        <v>25</v>
      </c>
      <c r="GU39" s="615">
        <v>25</v>
      </c>
      <c r="GV39" s="615">
        <v>25</v>
      </c>
      <c r="GW39" s="615">
        <v>25</v>
      </c>
      <c r="GX39" s="615">
        <v>25</v>
      </c>
      <c r="GY39" s="615">
        <v>25</v>
      </c>
      <c r="GZ39" s="615">
        <v>25</v>
      </c>
      <c r="HA39" s="615">
        <v>25</v>
      </c>
      <c r="HB39" s="615">
        <v>25</v>
      </c>
      <c r="HC39" s="615" t="s">
        <v>1207</v>
      </c>
      <c r="HD39" s="615" t="s">
        <v>1207</v>
      </c>
      <c r="HE39" s="615" t="s">
        <v>1207</v>
      </c>
      <c r="HF39" s="615" t="s">
        <v>1207</v>
      </c>
      <c r="HG39" s="615" t="s">
        <v>1207</v>
      </c>
      <c r="HH39" s="615" t="s">
        <v>1207</v>
      </c>
      <c r="HI39" s="615" t="s">
        <v>1207</v>
      </c>
      <c r="HJ39" s="615" t="s">
        <v>1207</v>
      </c>
      <c r="HK39" s="615" t="s">
        <v>1207</v>
      </c>
      <c r="HL39" s="615" t="s">
        <v>1207</v>
      </c>
      <c r="HM39" s="615" t="s">
        <v>1207</v>
      </c>
      <c r="HN39" s="615" t="s">
        <v>1207</v>
      </c>
      <c r="HO39" s="611">
        <f t="shared" si="13"/>
        <v>79950</v>
      </c>
      <c r="HP39" s="611">
        <f t="shared" si="14"/>
        <v>79950</v>
      </c>
      <c r="HQ39" s="611">
        <f t="shared" si="15"/>
        <v>79950</v>
      </c>
      <c r="HR39" s="611">
        <f t="shared" si="16"/>
        <v>79950</v>
      </c>
      <c r="HS39" s="611">
        <f t="shared" si="17"/>
        <v>79950</v>
      </c>
      <c r="HT39" s="611">
        <f t="shared" si="18"/>
        <v>79950</v>
      </c>
      <c r="HU39" s="611">
        <f t="shared" si="19"/>
        <v>79950</v>
      </c>
      <c r="HV39" s="611">
        <f t="shared" si="20"/>
        <v>79950</v>
      </c>
      <c r="HW39" s="611">
        <f t="shared" si="21"/>
        <v>79950</v>
      </c>
      <c r="HX39" s="611">
        <f t="shared" si="22"/>
        <v>79950</v>
      </c>
      <c r="HY39" s="611">
        <f t="shared" si="23"/>
        <v>79950</v>
      </c>
      <c r="HZ39" s="611">
        <f t="shared" si="24"/>
        <v>79950</v>
      </c>
      <c r="IA39" s="624" t="s">
        <v>1663</v>
      </c>
    </row>
    <row r="40" spans="2:235">
      <c r="B40" s="594">
        <v>36</v>
      </c>
      <c r="C40" s="594">
        <v>236</v>
      </c>
      <c r="D40" s="611" t="s">
        <v>813</v>
      </c>
      <c r="E40" s="612" t="s">
        <v>13</v>
      </c>
      <c r="F40" s="612">
        <v>65</v>
      </c>
      <c r="G40" s="612">
        <v>55</v>
      </c>
      <c r="H40" s="612">
        <v>10</v>
      </c>
      <c r="I40" s="612">
        <v>0</v>
      </c>
      <c r="J40" s="612"/>
      <c r="K40" s="612"/>
      <c r="L40" s="612"/>
      <c r="M40" s="612"/>
      <c r="N40" s="612"/>
      <c r="O40" s="612"/>
      <c r="P40" s="612"/>
      <c r="Q40" s="612"/>
      <c r="R40" s="612"/>
      <c r="S40" s="612"/>
      <c r="T40" s="612"/>
      <c r="U40" s="612"/>
      <c r="V40" s="612"/>
      <c r="W40" s="612"/>
      <c r="X40" s="612"/>
      <c r="Y40" s="612"/>
      <c r="Z40" s="612"/>
      <c r="AA40" s="612"/>
      <c r="AB40" s="612"/>
      <c r="AC40" s="612"/>
      <c r="AD40" s="612"/>
      <c r="AE40" s="612"/>
      <c r="AF40" s="612"/>
      <c r="AG40" s="612"/>
      <c r="AH40" s="612"/>
      <c r="AI40" s="612"/>
      <c r="AJ40" s="612"/>
      <c r="AK40" s="612"/>
      <c r="AL40" s="612"/>
      <c r="AM40" s="613"/>
      <c r="AN40" s="613"/>
      <c r="AO40" s="613"/>
      <c r="AP40" s="612"/>
      <c r="AQ40" s="612" t="s">
        <v>11</v>
      </c>
      <c r="AR40" s="615" t="s">
        <v>629</v>
      </c>
      <c r="AS40" s="615" t="s">
        <v>629</v>
      </c>
      <c r="AT40" s="615" t="s">
        <v>629</v>
      </c>
      <c r="AU40" s="615" t="s">
        <v>629</v>
      </c>
      <c r="AV40" s="615" t="s">
        <v>629</v>
      </c>
      <c r="AW40" s="615" t="s">
        <v>629</v>
      </c>
      <c r="AX40" s="615" t="s">
        <v>629</v>
      </c>
      <c r="AY40" s="615" t="s">
        <v>629</v>
      </c>
      <c r="AZ40" s="615" t="s">
        <v>629</v>
      </c>
      <c r="BA40" s="615" t="s">
        <v>629</v>
      </c>
      <c r="BB40" s="615" t="s">
        <v>629</v>
      </c>
      <c r="BC40" s="615" t="s">
        <v>629</v>
      </c>
      <c r="BD40" s="615" t="s">
        <v>629</v>
      </c>
      <c r="BE40" s="615" t="s">
        <v>629</v>
      </c>
      <c r="BF40" s="615" t="s">
        <v>629</v>
      </c>
      <c r="BG40" s="615" t="s">
        <v>629</v>
      </c>
      <c r="BH40" s="615" t="s">
        <v>629</v>
      </c>
      <c r="BI40" s="615" t="s">
        <v>629</v>
      </c>
      <c r="BJ40" s="615" t="s">
        <v>629</v>
      </c>
      <c r="BK40" s="615" t="s">
        <v>629</v>
      </c>
      <c r="BL40" s="615" t="s">
        <v>629</v>
      </c>
      <c r="BM40" s="615" t="s">
        <v>629</v>
      </c>
      <c r="BN40" s="615" t="s">
        <v>629</v>
      </c>
      <c r="BO40" s="615" t="s">
        <v>629</v>
      </c>
      <c r="BP40" s="615">
        <v>0</v>
      </c>
      <c r="BQ40" s="615">
        <v>0</v>
      </c>
      <c r="BR40" s="615">
        <v>0</v>
      </c>
      <c r="BS40" s="615">
        <v>0</v>
      </c>
      <c r="BT40" s="615">
        <v>0</v>
      </c>
      <c r="BU40" s="615">
        <v>0</v>
      </c>
      <c r="BV40" s="615">
        <v>0</v>
      </c>
      <c r="BW40" s="615">
        <v>0</v>
      </c>
      <c r="BX40" s="615">
        <v>0</v>
      </c>
      <c r="BY40" s="615">
        <v>0</v>
      </c>
      <c r="BZ40" s="615">
        <v>0</v>
      </c>
      <c r="CA40" s="615">
        <v>0</v>
      </c>
      <c r="CB40" s="615">
        <v>0</v>
      </c>
      <c r="CC40" s="615">
        <v>0</v>
      </c>
      <c r="CD40" s="615">
        <v>0</v>
      </c>
      <c r="CE40" s="615">
        <v>0</v>
      </c>
      <c r="CF40" s="615">
        <v>0</v>
      </c>
      <c r="CG40" s="615">
        <v>0</v>
      </c>
      <c r="CH40" s="615">
        <v>0</v>
      </c>
      <c r="CI40" s="615">
        <v>0</v>
      </c>
      <c r="CJ40" s="615">
        <v>0</v>
      </c>
      <c r="CK40" s="615">
        <v>0</v>
      </c>
      <c r="CL40" s="615">
        <v>0</v>
      </c>
      <c r="CM40" s="615">
        <v>0</v>
      </c>
      <c r="CN40" s="615">
        <v>0</v>
      </c>
      <c r="CO40" s="615">
        <v>0</v>
      </c>
      <c r="CP40" s="615">
        <v>0</v>
      </c>
      <c r="CQ40" s="615">
        <v>0</v>
      </c>
      <c r="CR40" s="615">
        <v>0</v>
      </c>
      <c r="CS40" s="615">
        <v>0</v>
      </c>
      <c r="CT40" s="615">
        <v>0</v>
      </c>
      <c r="CU40" s="615">
        <v>0</v>
      </c>
      <c r="CV40" s="615">
        <v>0</v>
      </c>
      <c r="CW40" s="615">
        <v>0</v>
      </c>
      <c r="CX40" s="615">
        <v>0</v>
      </c>
      <c r="CY40" s="615">
        <v>0</v>
      </c>
      <c r="CZ40" s="615" t="s">
        <v>1049</v>
      </c>
      <c r="DA40" s="615">
        <v>2</v>
      </c>
      <c r="DB40" s="617"/>
      <c r="DC40" s="617"/>
      <c r="DD40" s="617"/>
      <c r="DE40" s="617"/>
      <c r="DF40" s="617"/>
      <c r="DG40" s="617"/>
      <c r="DH40" s="617"/>
      <c r="DI40" s="617"/>
      <c r="DJ40" s="617"/>
      <c r="DK40" s="617"/>
      <c r="DL40" s="617"/>
      <c r="DM40" s="617"/>
      <c r="DN40" s="617"/>
      <c r="DO40" s="617"/>
      <c r="DP40" s="617"/>
      <c r="DQ40" s="617"/>
      <c r="DR40" s="617"/>
      <c r="DS40" s="617"/>
      <c r="DT40" s="617"/>
      <c r="DU40" s="617"/>
      <c r="DV40" s="617"/>
      <c r="DW40" s="617"/>
      <c r="DX40" s="617"/>
      <c r="DY40" s="617"/>
      <c r="DZ40" s="617"/>
      <c r="EA40" s="617"/>
      <c r="EB40" s="617"/>
      <c r="EC40" s="617"/>
      <c r="ED40" s="617"/>
      <c r="EE40" s="617"/>
      <c r="EF40" s="617"/>
      <c r="EG40" s="617"/>
      <c r="EH40" s="617"/>
      <c r="EI40" s="617"/>
      <c r="EJ40" s="617"/>
      <c r="EK40" s="617"/>
      <c r="EL40" s="615" t="s">
        <v>833</v>
      </c>
      <c r="EM40" s="615" t="s">
        <v>833</v>
      </c>
      <c r="EN40" s="615" t="s">
        <v>833</v>
      </c>
      <c r="EO40" s="615" t="s">
        <v>833</v>
      </c>
      <c r="EP40" s="615" t="s">
        <v>833</v>
      </c>
      <c r="EQ40" s="615" t="s">
        <v>833</v>
      </c>
      <c r="ER40" s="615" t="s">
        <v>833</v>
      </c>
      <c r="ES40" s="615" t="s">
        <v>833</v>
      </c>
      <c r="ET40" s="615" t="s">
        <v>833</v>
      </c>
      <c r="EU40" s="615" t="s">
        <v>833</v>
      </c>
      <c r="EV40" s="615" t="s">
        <v>833</v>
      </c>
      <c r="EW40" s="615" t="s">
        <v>833</v>
      </c>
      <c r="EX40" s="615">
        <v>3670</v>
      </c>
      <c r="EY40" s="615">
        <v>3820</v>
      </c>
      <c r="EZ40" s="615" t="s">
        <v>1206</v>
      </c>
      <c r="FA40" s="615" t="s">
        <v>1206</v>
      </c>
      <c r="FB40" s="615" t="s">
        <v>1206</v>
      </c>
      <c r="FC40" s="615" t="s">
        <v>1206</v>
      </c>
      <c r="FD40" s="615" t="s">
        <v>1206</v>
      </c>
      <c r="FE40" s="615" t="s">
        <v>1206</v>
      </c>
      <c r="FF40" s="615" t="s">
        <v>1206</v>
      </c>
      <c r="FG40" s="615" t="s">
        <v>1206</v>
      </c>
      <c r="FH40" s="615" t="s">
        <v>1206</v>
      </c>
      <c r="FI40" s="615" t="s">
        <v>1206</v>
      </c>
      <c r="FJ40" s="615" t="s">
        <v>1206</v>
      </c>
      <c r="FK40" s="615" t="s">
        <v>1206</v>
      </c>
      <c r="FL40" s="615">
        <v>16</v>
      </c>
      <c r="FM40" s="615">
        <v>14</v>
      </c>
      <c r="FN40" s="615">
        <v>14</v>
      </c>
      <c r="FO40" s="615">
        <v>14</v>
      </c>
      <c r="FP40" s="615">
        <v>14</v>
      </c>
      <c r="FQ40" s="615">
        <v>15</v>
      </c>
      <c r="FR40" s="615">
        <v>15</v>
      </c>
      <c r="FS40" s="615">
        <v>15</v>
      </c>
      <c r="FT40" s="615">
        <v>15</v>
      </c>
      <c r="FU40" s="615">
        <v>15</v>
      </c>
      <c r="FV40" s="615">
        <v>12</v>
      </c>
      <c r="FW40" s="615">
        <v>12</v>
      </c>
      <c r="FX40" s="615">
        <v>12</v>
      </c>
      <c r="FY40" s="615">
        <v>11</v>
      </c>
      <c r="FZ40" s="615">
        <v>11</v>
      </c>
      <c r="GA40" s="615">
        <v>12</v>
      </c>
      <c r="GB40" s="615">
        <v>12</v>
      </c>
      <c r="GC40" s="615">
        <v>12</v>
      </c>
      <c r="GD40" s="615">
        <v>12</v>
      </c>
      <c r="GE40" s="615">
        <v>12</v>
      </c>
      <c r="GF40" s="615">
        <v>18350</v>
      </c>
      <c r="GG40" s="615" t="s">
        <v>1206</v>
      </c>
      <c r="GH40" s="615" t="s">
        <v>1206</v>
      </c>
      <c r="GI40" s="615" t="s">
        <v>1206</v>
      </c>
      <c r="GJ40" s="615" t="s">
        <v>1206</v>
      </c>
      <c r="GK40" s="615" t="s">
        <v>1206</v>
      </c>
      <c r="GL40" s="615" t="s">
        <v>1206</v>
      </c>
      <c r="GM40" s="615" t="s">
        <v>1206</v>
      </c>
      <c r="GN40" s="615" t="s">
        <v>1206</v>
      </c>
      <c r="GO40" s="615" t="s">
        <v>1206</v>
      </c>
      <c r="GP40" s="615" t="s">
        <v>1206</v>
      </c>
      <c r="GQ40" s="615" t="s">
        <v>1206</v>
      </c>
      <c r="GR40" s="615" t="s">
        <v>1206</v>
      </c>
      <c r="GS40" s="615">
        <v>0</v>
      </c>
      <c r="GT40" s="615">
        <v>0</v>
      </c>
      <c r="GU40" s="615">
        <v>0</v>
      </c>
      <c r="GV40" s="615">
        <v>0</v>
      </c>
      <c r="GW40" s="615">
        <v>0</v>
      </c>
      <c r="GX40" s="615">
        <v>0</v>
      </c>
      <c r="GY40" s="615">
        <v>0</v>
      </c>
      <c r="GZ40" s="615">
        <v>0</v>
      </c>
      <c r="HA40" s="615">
        <v>0</v>
      </c>
      <c r="HB40" s="615">
        <v>0</v>
      </c>
      <c r="HC40" s="615" t="s">
        <v>1208</v>
      </c>
      <c r="HD40" s="615" t="s">
        <v>1208</v>
      </c>
      <c r="HE40" s="615" t="s">
        <v>1208</v>
      </c>
      <c r="HF40" s="615" t="s">
        <v>1208</v>
      </c>
      <c r="HG40" s="615" t="s">
        <v>1208</v>
      </c>
      <c r="HH40" s="615" t="s">
        <v>1208</v>
      </c>
      <c r="HI40" s="615" t="s">
        <v>1208</v>
      </c>
      <c r="HJ40" s="615" t="s">
        <v>1208</v>
      </c>
      <c r="HK40" s="615" t="s">
        <v>1208</v>
      </c>
      <c r="HL40" s="615" t="s">
        <v>1208</v>
      </c>
      <c r="HM40" s="615" t="s">
        <v>1208</v>
      </c>
      <c r="HN40" s="615" t="s">
        <v>1208</v>
      </c>
      <c r="HO40" s="611" t="str">
        <f t="shared" si="13"/>
        <v/>
      </c>
      <c r="HP40" s="611" t="str">
        <f t="shared" si="14"/>
        <v/>
      </c>
      <c r="HQ40" s="611" t="str">
        <f t="shared" si="15"/>
        <v/>
      </c>
      <c r="HR40" s="611" t="str">
        <f t="shared" si="16"/>
        <v/>
      </c>
      <c r="HS40" s="611" t="str">
        <f t="shared" si="17"/>
        <v/>
      </c>
      <c r="HT40" s="611" t="str">
        <f t="shared" si="18"/>
        <v/>
      </c>
      <c r="HU40" s="611" t="str">
        <f t="shared" si="19"/>
        <v/>
      </c>
      <c r="HV40" s="611" t="str">
        <f t="shared" si="20"/>
        <v/>
      </c>
      <c r="HW40" s="611" t="str">
        <f t="shared" si="21"/>
        <v/>
      </c>
      <c r="HX40" s="611" t="str">
        <f t="shared" si="22"/>
        <v/>
      </c>
      <c r="HY40" s="611" t="str">
        <f t="shared" si="23"/>
        <v/>
      </c>
      <c r="HZ40" s="611" t="str">
        <f t="shared" si="24"/>
        <v/>
      </c>
      <c r="IA40" s="619" t="s">
        <v>1295</v>
      </c>
    </row>
    <row r="41" spans="2:235">
      <c r="B41" s="594">
        <v>37</v>
      </c>
      <c r="C41" s="594">
        <v>237</v>
      </c>
      <c r="D41" s="611" t="s">
        <v>814</v>
      </c>
      <c r="E41" s="612" t="s">
        <v>13</v>
      </c>
      <c r="F41" s="612">
        <v>70</v>
      </c>
      <c r="G41" s="612">
        <v>60</v>
      </c>
      <c r="H41" s="612">
        <v>10</v>
      </c>
      <c r="I41" s="612">
        <v>0</v>
      </c>
      <c r="J41" s="612"/>
      <c r="K41" s="612"/>
      <c r="L41" s="612"/>
      <c r="M41" s="612"/>
      <c r="N41" s="612"/>
      <c r="O41" s="612"/>
      <c r="P41" s="612"/>
      <c r="Q41" s="612"/>
      <c r="R41" s="612"/>
      <c r="S41" s="612"/>
      <c r="T41" s="612"/>
      <c r="U41" s="612"/>
      <c r="V41" s="612"/>
      <c r="W41" s="612"/>
      <c r="X41" s="612"/>
      <c r="Y41" s="612"/>
      <c r="Z41" s="612"/>
      <c r="AA41" s="612"/>
      <c r="AB41" s="612"/>
      <c r="AC41" s="612"/>
      <c r="AD41" s="612"/>
      <c r="AE41" s="612"/>
      <c r="AF41" s="612"/>
      <c r="AG41" s="612"/>
      <c r="AH41" s="612"/>
      <c r="AI41" s="612"/>
      <c r="AJ41" s="612"/>
      <c r="AK41" s="612"/>
      <c r="AL41" s="612"/>
      <c r="AM41" s="613"/>
      <c r="AN41" s="613"/>
      <c r="AO41" s="613"/>
      <c r="AP41" s="612"/>
      <c r="AQ41" s="612" t="s">
        <v>11</v>
      </c>
      <c r="AR41" s="615" t="s">
        <v>629</v>
      </c>
      <c r="AS41" s="615" t="s">
        <v>629</v>
      </c>
      <c r="AT41" s="615" t="s">
        <v>629</v>
      </c>
      <c r="AU41" s="615" t="s">
        <v>629</v>
      </c>
      <c r="AV41" s="615" t="s">
        <v>629</v>
      </c>
      <c r="AW41" s="615" t="s">
        <v>629</v>
      </c>
      <c r="AX41" s="615" t="s">
        <v>629</v>
      </c>
      <c r="AY41" s="615" t="s">
        <v>629</v>
      </c>
      <c r="AZ41" s="615" t="s">
        <v>629</v>
      </c>
      <c r="BA41" s="615" t="s">
        <v>629</v>
      </c>
      <c r="BB41" s="615" t="s">
        <v>629</v>
      </c>
      <c r="BC41" s="615" t="s">
        <v>629</v>
      </c>
      <c r="BD41" s="615" t="s">
        <v>629</v>
      </c>
      <c r="BE41" s="615" t="s">
        <v>629</v>
      </c>
      <c r="BF41" s="615" t="s">
        <v>629</v>
      </c>
      <c r="BG41" s="615" t="s">
        <v>629</v>
      </c>
      <c r="BH41" s="615" t="s">
        <v>629</v>
      </c>
      <c r="BI41" s="615" t="s">
        <v>629</v>
      </c>
      <c r="BJ41" s="615" t="s">
        <v>629</v>
      </c>
      <c r="BK41" s="615" t="s">
        <v>629</v>
      </c>
      <c r="BL41" s="615" t="s">
        <v>629</v>
      </c>
      <c r="BM41" s="615" t="s">
        <v>629</v>
      </c>
      <c r="BN41" s="615" t="s">
        <v>629</v>
      </c>
      <c r="BO41" s="615" t="s">
        <v>629</v>
      </c>
      <c r="BP41" s="615">
        <v>0</v>
      </c>
      <c r="BQ41" s="615">
        <v>0</v>
      </c>
      <c r="BR41" s="615">
        <v>0</v>
      </c>
      <c r="BS41" s="615">
        <v>0</v>
      </c>
      <c r="BT41" s="615">
        <v>0</v>
      </c>
      <c r="BU41" s="615">
        <v>0</v>
      </c>
      <c r="BV41" s="615">
        <v>0</v>
      </c>
      <c r="BW41" s="615">
        <v>0</v>
      </c>
      <c r="BX41" s="615">
        <v>0</v>
      </c>
      <c r="BY41" s="615">
        <v>0</v>
      </c>
      <c r="BZ41" s="615">
        <v>0</v>
      </c>
      <c r="CA41" s="615">
        <v>0</v>
      </c>
      <c r="CB41" s="615">
        <v>0</v>
      </c>
      <c r="CC41" s="615">
        <v>0</v>
      </c>
      <c r="CD41" s="615">
        <v>0</v>
      </c>
      <c r="CE41" s="615">
        <v>0</v>
      </c>
      <c r="CF41" s="615">
        <v>0</v>
      </c>
      <c r="CG41" s="615">
        <v>0</v>
      </c>
      <c r="CH41" s="615">
        <v>0</v>
      </c>
      <c r="CI41" s="615">
        <v>0</v>
      </c>
      <c r="CJ41" s="615">
        <v>0</v>
      </c>
      <c r="CK41" s="615">
        <v>0</v>
      </c>
      <c r="CL41" s="615">
        <v>0</v>
      </c>
      <c r="CM41" s="615">
        <v>0</v>
      </c>
      <c r="CN41" s="615">
        <v>0</v>
      </c>
      <c r="CO41" s="615">
        <v>0</v>
      </c>
      <c r="CP41" s="615">
        <v>0</v>
      </c>
      <c r="CQ41" s="615">
        <v>0</v>
      </c>
      <c r="CR41" s="615">
        <v>0</v>
      </c>
      <c r="CS41" s="615">
        <v>0</v>
      </c>
      <c r="CT41" s="615">
        <v>0</v>
      </c>
      <c r="CU41" s="615">
        <v>0</v>
      </c>
      <c r="CV41" s="615">
        <v>0</v>
      </c>
      <c r="CW41" s="615">
        <v>0</v>
      </c>
      <c r="CX41" s="615">
        <v>0</v>
      </c>
      <c r="CY41" s="615">
        <v>0</v>
      </c>
      <c r="CZ41" s="615" t="s">
        <v>1049</v>
      </c>
      <c r="DA41" s="615">
        <v>1</v>
      </c>
      <c r="DB41" s="617"/>
      <c r="DC41" s="617"/>
      <c r="DD41" s="617"/>
      <c r="DE41" s="617"/>
      <c r="DF41" s="617"/>
      <c r="DG41" s="617"/>
      <c r="DH41" s="617"/>
      <c r="DI41" s="617"/>
      <c r="DJ41" s="617"/>
      <c r="DK41" s="617"/>
      <c r="DL41" s="617"/>
      <c r="DM41" s="617"/>
      <c r="DN41" s="617"/>
      <c r="DO41" s="617"/>
      <c r="DP41" s="617"/>
      <c r="DQ41" s="617"/>
      <c r="DR41" s="617"/>
      <c r="DS41" s="617"/>
      <c r="DT41" s="617"/>
      <c r="DU41" s="617"/>
      <c r="DV41" s="617"/>
      <c r="DW41" s="617"/>
      <c r="DX41" s="617"/>
      <c r="DY41" s="617"/>
      <c r="DZ41" s="617"/>
      <c r="EA41" s="617"/>
      <c r="EB41" s="617"/>
      <c r="EC41" s="617"/>
      <c r="ED41" s="617"/>
      <c r="EE41" s="617"/>
      <c r="EF41" s="617"/>
      <c r="EG41" s="617"/>
      <c r="EH41" s="617"/>
      <c r="EI41" s="617"/>
      <c r="EJ41" s="617"/>
      <c r="EK41" s="617"/>
      <c r="EL41" s="615" t="s">
        <v>833</v>
      </c>
      <c r="EM41" s="615" t="s">
        <v>833</v>
      </c>
      <c r="EN41" s="615" t="s">
        <v>833</v>
      </c>
      <c r="EO41" s="615" t="s">
        <v>833</v>
      </c>
      <c r="EP41" s="615" t="s">
        <v>833</v>
      </c>
      <c r="EQ41" s="615" t="s">
        <v>833</v>
      </c>
      <c r="ER41" s="615" t="s">
        <v>833</v>
      </c>
      <c r="ES41" s="615" t="s">
        <v>833</v>
      </c>
      <c r="ET41" s="615" t="s">
        <v>833</v>
      </c>
      <c r="EU41" s="615" t="s">
        <v>833</v>
      </c>
      <c r="EV41" s="615" t="s">
        <v>833</v>
      </c>
      <c r="EW41" s="615" t="s">
        <v>833</v>
      </c>
      <c r="EX41" s="615">
        <v>3670</v>
      </c>
      <c r="EY41" s="615">
        <v>3820</v>
      </c>
      <c r="EZ41" s="615" t="s">
        <v>1206</v>
      </c>
      <c r="FA41" s="615" t="s">
        <v>1206</v>
      </c>
      <c r="FB41" s="615" t="s">
        <v>1206</v>
      </c>
      <c r="FC41" s="615" t="s">
        <v>1206</v>
      </c>
      <c r="FD41" s="615" t="s">
        <v>1206</v>
      </c>
      <c r="FE41" s="615" t="s">
        <v>1206</v>
      </c>
      <c r="FF41" s="615" t="s">
        <v>1206</v>
      </c>
      <c r="FG41" s="615" t="s">
        <v>1206</v>
      </c>
      <c r="FH41" s="615" t="s">
        <v>1206</v>
      </c>
      <c r="FI41" s="615" t="s">
        <v>1206</v>
      </c>
      <c r="FJ41" s="615" t="s">
        <v>1206</v>
      </c>
      <c r="FK41" s="615" t="s">
        <v>1206</v>
      </c>
      <c r="FL41" s="615">
        <v>21</v>
      </c>
      <c r="FM41" s="615">
        <v>21</v>
      </c>
      <c r="FN41" s="615">
        <v>23</v>
      </c>
      <c r="FO41" s="615">
        <v>22</v>
      </c>
      <c r="FP41" s="615">
        <v>22</v>
      </c>
      <c r="FQ41" s="615">
        <v>22</v>
      </c>
      <c r="FR41" s="615">
        <v>22</v>
      </c>
      <c r="FS41" s="615">
        <v>22</v>
      </c>
      <c r="FT41" s="615">
        <v>22</v>
      </c>
      <c r="FU41" s="615">
        <v>24</v>
      </c>
      <c r="FV41" s="615">
        <v>19</v>
      </c>
      <c r="FW41" s="615">
        <v>19</v>
      </c>
      <c r="FX41" s="615">
        <v>19</v>
      </c>
      <c r="FY41" s="615">
        <v>19</v>
      </c>
      <c r="FZ41" s="615">
        <v>19</v>
      </c>
      <c r="GA41" s="615">
        <v>19</v>
      </c>
      <c r="GB41" s="615">
        <v>19</v>
      </c>
      <c r="GC41" s="615">
        <v>19</v>
      </c>
      <c r="GD41" s="615">
        <v>19</v>
      </c>
      <c r="GE41" s="615">
        <v>19</v>
      </c>
      <c r="GF41" s="615">
        <v>18350</v>
      </c>
      <c r="GG41" s="615" t="s">
        <v>1206</v>
      </c>
      <c r="GH41" s="615" t="s">
        <v>1206</v>
      </c>
      <c r="GI41" s="615" t="s">
        <v>1206</v>
      </c>
      <c r="GJ41" s="615" t="s">
        <v>1206</v>
      </c>
      <c r="GK41" s="615" t="s">
        <v>1206</v>
      </c>
      <c r="GL41" s="615" t="s">
        <v>1206</v>
      </c>
      <c r="GM41" s="615" t="s">
        <v>1206</v>
      </c>
      <c r="GN41" s="615" t="s">
        <v>1206</v>
      </c>
      <c r="GO41" s="615" t="s">
        <v>1206</v>
      </c>
      <c r="GP41" s="615" t="s">
        <v>1206</v>
      </c>
      <c r="GQ41" s="615" t="s">
        <v>1206</v>
      </c>
      <c r="GR41" s="615" t="s">
        <v>1206</v>
      </c>
      <c r="GS41" s="615">
        <v>0</v>
      </c>
      <c r="GT41" s="615">
        <v>0</v>
      </c>
      <c r="GU41" s="615">
        <v>0</v>
      </c>
      <c r="GV41" s="615">
        <v>0</v>
      </c>
      <c r="GW41" s="615">
        <v>0</v>
      </c>
      <c r="GX41" s="615">
        <v>0</v>
      </c>
      <c r="GY41" s="615">
        <v>0</v>
      </c>
      <c r="GZ41" s="615">
        <v>0</v>
      </c>
      <c r="HA41" s="615">
        <v>0</v>
      </c>
      <c r="HB41" s="615">
        <v>0</v>
      </c>
      <c r="HC41" s="615" t="s">
        <v>1208</v>
      </c>
      <c r="HD41" s="615" t="s">
        <v>1208</v>
      </c>
      <c r="HE41" s="615" t="s">
        <v>1208</v>
      </c>
      <c r="HF41" s="615" t="s">
        <v>1208</v>
      </c>
      <c r="HG41" s="615" t="s">
        <v>1208</v>
      </c>
      <c r="HH41" s="615" t="s">
        <v>1208</v>
      </c>
      <c r="HI41" s="615" t="s">
        <v>1208</v>
      </c>
      <c r="HJ41" s="615" t="s">
        <v>1208</v>
      </c>
      <c r="HK41" s="615" t="s">
        <v>1208</v>
      </c>
      <c r="HL41" s="615" t="s">
        <v>1208</v>
      </c>
      <c r="HM41" s="615" t="s">
        <v>1208</v>
      </c>
      <c r="HN41" s="615" t="s">
        <v>1208</v>
      </c>
      <c r="HO41" s="611" t="str">
        <f t="shared" si="13"/>
        <v/>
      </c>
      <c r="HP41" s="611" t="str">
        <f t="shared" si="14"/>
        <v/>
      </c>
      <c r="HQ41" s="611" t="str">
        <f t="shared" si="15"/>
        <v/>
      </c>
      <c r="HR41" s="611" t="str">
        <f t="shared" si="16"/>
        <v/>
      </c>
      <c r="HS41" s="611" t="str">
        <f t="shared" si="17"/>
        <v/>
      </c>
      <c r="HT41" s="611" t="str">
        <f t="shared" si="18"/>
        <v/>
      </c>
      <c r="HU41" s="611" t="str">
        <f t="shared" si="19"/>
        <v/>
      </c>
      <c r="HV41" s="611" t="str">
        <f t="shared" si="20"/>
        <v/>
      </c>
      <c r="HW41" s="611" t="str">
        <f t="shared" si="21"/>
        <v/>
      </c>
      <c r="HX41" s="611" t="str">
        <f t="shared" si="22"/>
        <v/>
      </c>
      <c r="HY41" s="611" t="str">
        <f t="shared" si="23"/>
        <v/>
      </c>
      <c r="HZ41" s="611" t="str">
        <f t="shared" si="24"/>
        <v/>
      </c>
      <c r="IA41" s="619" t="s">
        <v>1295</v>
      </c>
    </row>
    <row r="42" spans="2:235">
      <c r="B42" s="594">
        <v>38</v>
      </c>
      <c r="C42" s="594">
        <v>238</v>
      </c>
      <c r="D42" s="611" t="s">
        <v>1187</v>
      </c>
      <c r="E42" s="612" t="s">
        <v>13</v>
      </c>
      <c r="F42" s="612">
        <v>50</v>
      </c>
      <c r="G42" s="612">
        <v>35</v>
      </c>
      <c r="H42" s="612">
        <v>15</v>
      </c>
      <c r="I42" s="612">
        <v>0</v>
      </c>
      <c r="J42" s="612"/>
      <c r="K42" s="612"/>
      <c r="L42" s="612"/>
      <c r="M42" s="612"/>
      <c r="N42" s="612"/>
      <c r="O42" s="612"/>
      <c r="P42" s="612"/>
      <c r="Q42" s="612"/>
      <c r="R42" s="612"/>
      <c r="S42" s="612"/>
      <c r="T42" s="612"/>
      <c r="U42" s="612"/>
      <c r="V42" s="612"/>
      <c r="W42" s="612"/>
      <c r="X42" s="612"/>
      <c r="Y42" s="612"/>
      <c r="Z42" s="612"/>
      <c r="AA42" s="612"/>
      <c r="AB42" s="612"/>
      <c r="AC42" s="612"/>
      <c r="AD42" s="612"/>
      <c r="AE42" s="612"/>
      <c r="AF42" s="612"/>
      <c r="AG42" s="612"/>
      <c r="AH42" s="612"/>
      <c r="AI42" s="612"/>
      <c r="AJ42" s="612"/>
      <c r="AK42" s="612"/>
      <c r="AL42" s="612"/>
      <c r="AM42" s="613"/>
      <c r="AN42" s="613"/>
      <c r="AO42" s="613"/>
      <c r="AP42" s="612"/>
      <c r="AQ42" s="612" t="s">
        <v>11</v>
      </c>
      <c r="AR42" s="615" t="s">
        <v>629</v>
      </c>
      <c r="AS42" s="615" t="s">
        <v>629</v>
      </c>
      <c r="AT42" s="615" t="s">
        <v>629</v>
      </c>
      <c r="AU42" s="615" t="s">
        <v>629</v>
      </c>
      <c r="AV42" s="615" t="s">
        <v>629</v>
      </c>
      <c r="AW42" s="615" t="s">
        <v>629</v>
      </c>
      <c r="AX42" s="615" t="s">
        <v>629</v>
      </c>
      <c r="AY42" s="615" t="s">
        <v>629</v>
      </c>
      <c r="AZ42" s="615" t="s">
        <v>629</v>
      </c>
      <c r="BA42" s="615" t="s">
        <v>629</v>
      </c>
      <c r="BB42" s="615" t="s">
        <v>629</v>
      </c>
      <c r="BC42" s="615" t="s">
        <v>629</v>
      </c>
      <c r="BD42" s="615" t="s">
        <v>629</v>
      </c>
      <c r="BE42" s="615" t="s">
        <v>629</v>
      </c>
      <c r="BF42" s="615" t="s">
        <v>629</v>
      </c>
      <c r="BG42" s="615" t="s">
        <v>629</v>
      </c>
      <c r="BH42" s="615" t="s">
        <v>629</v>
      </c>
      <c r="BI42" s="615" t="s">
        <v>629</v>
      </c>
      <c r="BJ42" s="615" t="s">
        <v>629</v>
      </c>
      <c r="BK42" s="615" t="s">
        <v>629</v>
      </c>
      <c r="BL42" s="615" t="s">
        <v>629</v>
      </c>
      <c r="BM42" s="615" t="s">
        <v>629</v>
      </c>
      <c r="BN42" s="615" t="s">
        <v>629</v>
      </c>
      <c r="BO42" s="615" t="s">
        <v>629</v>
      </c>
      <c r="BP42" s="615">
        <v>0</v>
      </c>
      <c r="BQ42" s="615">
        <v>0</v>
      </c>
      <c r="BR42" s="615">
        <v>0</v>
      </c>
      <c r="BS42" s="615">
        <v>0</v>
      </c>
      <c r="BT42" s="615">
        <v>0</v>
      </c>
      <c r="BU42" s="615">
        <v>0</v>
      </c>
      <c r="BV42" s="615">
        <v>0</v>
      </c>
      <c r="BW42" s="615">
        <v>0</v>
      </c>
      <c r="BX42" s="615">
        <v>0</v>
      </c>
      <c r="BY42" s="615">
        <v>0</v>
      </c>
      <c r="BZ42" s="615">
        <v>0</v>
      </c>
      <c r="CA42" s="615">
        <v>0</v>
      </c>
      <c r="CB42" s="615">
        <v>0</v>
      </c>
      <c r="CC42" s="615">
        <v>0</v>
      </c>
      <c r="CD42" s="615">
        <v>0</v>
      </c>
      <c r="CE42" s="615">
        <v>0</v>
      </c>
      <c r="CF42" s="615">
        <v>0</v>
      </c>
      <c r="CG42" s="615">
        <v>0</v>
      </c>
      <c r="CH42" s="615">
        <v>0</v>
      </c>
      <c r="CI42" s="615">
        <v>0</v>
      </c>
      <c r="CJ42" s="615">
        <v>0</v>
      </c>
      <c r="CK42" s="615">
        <v>0</v>
      </c>
      <c r="CL42" s="615">
        <v>0</v>
      </c>
      <c r="CM42" s="615">
        <v>0</v>
      </c>
      <c r="CN42" s="615">
        <v>0</v>
      </c>
      <c r="CO42" s="615">
        <v>0</v>
      </c>
      <c r="CP42" s="615">
        <v>0</v>
      </c>
      <c r="CQ42" s="615">
        <v>0</v>
      </c>
      <c r="CR42" s="615">
        <v>0</v>
      </c>
      <c r="CS42" s="615">
        <v>0</v>
      </c>
      <c r="CT42" s="615">
        <v>0</v>
      </c>
      <c r="CU42" s="615">
        <v>0</v>
      </c>
      <c r="CV42" s="615">
        <v>0</v>
      </c>
      <c r="CW42" s="615">
        <v>0</v>
      </c>
      <c r="CX42" s="615">
        <v>0</v>
      </c>
      <c r="CY42" s="615">
        <v>0</v>
      </c>
      <c r="CZ42" s="615" t="s">
        <v>1049</v>
      </c>
      <c r="DA42" s="615">
        <v>0</v>
      </c>
      <c r="DB42" s="617"/>
      <c r="DC42" s="617"/>
      <c r="DD42" s="617"/>
      <c r="DE42" s="617"/>
      <c r="DF42" s="617"/>
      <c r="DG42" s="617"/>
      <c r="DH42" s="617"/>
      <c r="DI42" s="617"/>
      <c r="DJ42" s="617"/>
      <c r="DK42" s="617"/>
      <c r="DL42" s="617"/>
      <c r="DM42" s="617"/>
      <c r="DN42" s="617"/>
      <c r="DO42" s="617"/>
      <c r="DP42" s="617"/>
      <c r="DQ42" s="617"/>
      <c r="DR42" s="617"/>
      <c r="DS42" s="617"/>
      <c r="DT42" s="617"/>
      <c r="DU42" s="617"/>
      <c r="DV42" s="617"/>
      <c r="DW42" s="617"/>
      <c r="DX42" s="617"/>
      <c r="DY42" s="617"/>
      <c r="DZ42" s="617"/>
      <c r="EA42" s="617"/>
      <c r="EB42" s="617"/>
      <c r="EC42" s="617"/>
      <c r="ED42" s="617"/>
      <c r="EE42" s="617"/>
      <c r="EF42" s="617"/>
      <c r="EG42" s="617"/>
      <c r="EH42" s="617"/>
      <c r="EI42" s="617"/>
      <c r="EJ42" s="617"/>
      <c r="EK42" s="617"/>
      <c r="EL42" s="615" t="s">
        <v>833</v>
      </c>
      <c r="EM42" s="615" t="s">
        <v>833</v>
      </c>
      <c r="EN42" s="615" t="s">
        <v>833</v>
      </c>
      <c r="EO42" s="615" t="s">
        <v>833</v>
      </c>
      <c r="EP42" s="615" t="s">
        <v>1552</v>
      </c>
      <c r="EQ42" s="615" t="s">
        <v>1206</v>
      </c>
      <c r="ER42" s="615" t="s">
        <v>1206</v>
      </c>
      <c r="ES42" s="615" t="s">
        <v>1206</v>
      </c>
      <c r="ET42" s="615" t="s">
        <v>1206</v>
      </c>
      <c r="EU42" s="615" t="s">
        <v>1206</v>
      </c>
      <c r="EV42" s="615" t="s">
        <v>1206</v>
      </c>
      <c r="EW42" s="615" t="s">
        <v>1206</v>
      </c>
      <c r="EX42" s="615">
        <v>3670</v>
      </c>
      <c r="EY42" s="615">
        <v>3820</v>
      </c>
      <c r="EZ42" s="615" t="s">
        <v>1206</v>
      </c>
      <c r="FA42" s="615" t="s">
        <v>1206</v>
      </c>
      <c r="FB42" s="615" t="s">
        <v>1206</v>
      </c>
      <c r="FC42" s="615" t="s">
        <v>1206</v>
      </c>
      <c r="FD42" s="615" t="s">
        <v>1206</v>
      </c>
      <c r="FE42" s="615" t="s">
        <v>1206</v>
      </c>
      <c r="FF42" s="615" t="s">
        <v>1206</v>
      </c>
      <c r="FG42" s="615" t="s">
        <v>1206</v>
      </c>
      <c r="FH42" s="615" t="s">
        <v>1206</v>
      </c>
      <c r="FI42" s="615" t="s">
        <v>1206</v>
      </c>
      <c r="FJ42" s="615" t="s">
        <v>1206</v>
      </c>
      <c r="FK42" s="615" t="s">
        <v>1206</v>
      </c>
      <c r="FL42" s="615">
        <v>21</v>
      </c>
      <c r="FM42" s="615">
        <v>21</v>
      </c>
      <c r="FN42" s="615">
        <v>22</v>
      </c>
      <c r="FO42" s="615">
        <v>22</v>
      </c>
      <c r="FP42" s="615">
        <v>21</v>
      </c>
      <c r="FQ42" s="615">
        <v>21</v>
      </c>
      <c r="FR42" s="615">
        <v>21</v>
      </c>
      <c r="FS42" s="615">
        <v>21</v>
      </c>
      <c r="FT42" s="615">
        <v>21</v>
      </c>
      <c r="FU42" s="615">
        <v>21</v>
      </c>
      <c r="FV42" s="615">
        <v>9</v>
      </c>
      <c r="FW42" s="615">
        <v>9</v>
      </c>
      <c r="FX42" s="615">
        <v>9</v>
      </c>
      <c r="FY42" s="615">
        <v>9</v>
      </c>
      <c r="FZ42" s="615">
        <v>9</v>
      </c>
      <c r="GA42" s="615">
        <v>9</v>
      </c>
      <c r="GB42" s="615">
        <v>9</v>
      </c>
      <c r="GC42" s="615">
        <v>9</v>
      </c>
      <c r="GD42" s="615">
        <v>9</v>
      </c>
      <c r="GE42" s="615">
        <v>9</v>
      </c>
      <c r="GF42" s="615">
        <v>18350</v>
      </c>
      <c r="GG42" s="615" t="s">
        <v>1206</v>
      </c>
      <c r="GH42" s="615" t="s">
        <v>1206</v>
      </c>
      <c r="GI42" s="615" t="s">
        <v>1206</v>
      </c>
      <c r="GJ42" s="615" t="s">
        <v>1206</v>
      </c>
      <c r="GK42" s="615" t="s">
        <v>1206</v>
      </c>
      <c r="GL42" s="615" t="s">
        <v>1206</v>
      </c>
      <c r="GM42" s="615" t="s">
        <v>1206</v>
      </c>
      <c r="GN42" s="615" t="s">
        <v>1206</v>
      </c>
      <c r="GO42" s="615" t="s">
        <v>1206</v>
      </c>
      <c r="GP42" s="615" t="s">
        <v>1206</v>
      </c>
      <c r="GQ42" s="615" t="s">
        <v>1206</v>
      </c>
      <c r="GR42" s="615" t="s">
        <v>1206</v>
      </c>
      <c r="GS42" s="615">
        <v>0</v>
      </c>
      <c r="GT42" s="615">
        <v>0</v>
      </c>
      <c r="GU42" s="615">
        <v>0</v>
      </c>
      <c r="GV42" s="615">
        <v>0</v>
      </c>
      <c r="GW42" s="615">
        <v>0</v>
      </c>
      <c r="GX42" s="615">
        <v>0</v>
      </c>
      <c r="GY42" s="615">
        <v>0</v>
      </c>
      <c r="GZ42" s="615">
        <v>0</v>
      </c>
      <c r="HA42" s="615">
        <v>0</v>
      </c>
      <c r="HB42" s="615">
        <v>0</v>
      </c>
      <c r="HC42" s="615" t="s">
        <v>1208</v>
      </c>
      <c r="HD42" s="615" t="s">
        <v>1208</v>
      </c>
      <c r="HE42" s="615" t="s">
        <v>1208</v>
      </c>
      <c r="HF42" s="615" t="s">
        <v>1208</v>
      </c>
      <c r="HG42" s="615" t="s">
        <v>1208</v>
      </c>
      <c r="HH42" s="615" t="s">
        <v>1208</v>
      </c>
      <c r="HI42" s="615" t="s">
        <v>1208</v>
      </c>
      <c r="HJ42" s="615" t="s">
        <v>1208</v>
      </c>
      <c r="HK42" s="615" t="s">
        <v>1208</v>
      </c>
      <c r="HL42" s="615" t="s">
        <v>1208</v>
      </c>
      <c r="HM42" s="615" t="s">
        <v>1208</v>
      </c>
      <c r="HN42" s="615" t="s">
        <v>1208</v>
      </c>
      <c r="HO42" s="611" t="str">
        <f t="shared" si="13"/>
        <v/>
      </c>
      <c r="HP42" s="611" t="str">
        <f t="shared" si="14"/>
        <v/>
      </c>
      <c r="HQ42" s="611" t="str">
        <f t="shared" si="15"/>
        <v/>
      </c>
      <c r="HR42" s="611" t="str">
        <f t="shared" si="16"/>
        <v/>
      </c>
      <c r="HS42" s="611" t="str">
        <f t="shared" si="17"/>
        <v/>
      </c>
      <c r="HT42" s="611" t="str">
        <f t="shared" si="18"/>
        <v/>
      </c>
      <c r="HU42" s="611" t="str">
        <f t="shared" si="19"/>
        <v/>
      </c>
      <c r="HV42" s="611" t="str">
        <f t="shared" si="20"/>
        <v/>
      </c>
      <c r="HW42" s="611" t="str">
        <f t="shared" si="21"/>
        <v/>
      </c>
      <c r="HX42" s="611" t="str">
        <f t="shared" si="22"/>
        <v/>
      </c>
      <c r="HY42" s="611" t="str">
        <f t="shared" si="23"/>
        <v/>
      </c>
      <c r="HZ42" s="611" t="str">
        <f t="shared" si="24"/>
        <v/>
      </c>
      <c r="IA42" s="619" t="s">
        <v>1295</v>
      </c>
    </row>
    <row r="43" spans="2:235">
      <c r="B43" s="594">
        <v>39</v>
      </c>
      <c r="C43" s="594">
        <v>239</v>
      </c>
      <c r="D43" s="611" t="s">
        <v>1188</v>
      </c>
      <c r="E43" s="612" t="s">
        <v>13</v>
      </c>
      <c r="F43" s="612">
        <v>45</v>
      </c>
      <c r="G43" s="612">
        <v>35</v>
      </c>
      <c r="H43" s="612">
        <v>10</v>
      </c>
      <c r="I43" s="612">
        <v>0</v>
      </c>
      <c r="J43" s="612"/>
      <c r="K43" s="612"/>
      <c r="L43" s="612"/>
      <c r="M43" s="612"/>
      <c r="N43" s="612"/>
      <c r="O43" s="612"/>
      <c r="P43" s="612"/>
      <c r="Q43" s="612"/>
      <c r="R43" s="612"/>
      <c r="S43" s="612"/>
      <c r="T43" s="612"/>
      <c r="U43" s="612"/>
      <c r="V43" s="612"/>
      <c r="W43" s="612"/>
      <c r="X43" s="612"/>
      <c r="Y43" s="612"/>
      <c r="Z43" s="612"/>
      <c r="AA43" s="612"/>
      <c r="AB43" s="612"/>
      <c r="AC43" s="612"/>
      <c r="AD43" s="612"/>
      <c r="AE43" s="612"/>
      <c r="AF43" s="612"/>
      <c r="AG43" s="612"/>
      <c r="AH43" s="612"/>
      <c r="AI43" s="612"/>
      <c r="AJ43" s="612"/>
      <c r="AK43" s="612"/>
      <c r="AL43" s="612"/>
      <c r="AM43" s="613"/>
      <c r="AN43" s="613"/>
      <c r="AO43" s="613"/>
      <c r="AP43" s="612"/>
      <c r="AQ43" s="612" t="s">
        <v>11</v>
      </c>
      <c r="AR43" s="615" t="s">
        <v>629</v>
      </c>
      <c r="AS43" s="615" t="s">
        <v>629</v>
      </c>
      <c r="AT43" s="615" t="s">
        <v>629</v>
      </c>
      <c r="AU43" s="615" t="s">
        <v>629</v>
      </c>
      <c r="AV43" s="615" t="s">
        <v>629</v>
      </c>
      <c r="AW43" s="615" t="s">
        <v>629</v>
      </c>
      <c r="AX43" s="615" t="s">
        <v>629</v>
      </c>
      <c r="AY43" s="615" t="s">
        <v>629</v>
      </c>
      <c r="AZ43" s="615" t="s">
        <v>629</v>
      </c>
      <c r="BA43" s="615" t="s">
        <v>629</v>
      </c>
      <c r="BB43" s="615" t="s">
        <v>629</v>
      </c>
      <c r="BC43" s="615" t="s">
        <v>629</v>
      </c>
      <c r="BD43" s="615" t="s">
        <v>629</v>
      </c>
      <c r="BE43" s="615" t="s">
        <v>629</v>
      </c>
      <c r="BF43" s="615" t="s">
        <v>629</v>
      </c>
      <c r="BG43" s="615" t="s">
        <v>629</v>
      </c>
      <c r="BH43" s="615" t="s">
        <v>629</v>
      </c>
      <c r="BI43" s="615" t="s">
        <v>629</v>
      </c>
      <c r="BJ43" s="615" t="s">
        <v>629</v>
      </c>
      <c r="BK43" s="615" t="s">
        <v>629</v>
      </c>
      <c r="BL43" s="615" t="s">
        <v>629</v>
      </c>
      <c r="BM43" s="615" t="s">
        <v>629</v>
      </c>
      <c r="BN43" s="615" t="s">
        <v>629</v>
      </c>
      <c r="BO43" s="615" t="s">
        <v>629</v>
      </c>
      <c r="BP43" s="615">
        <v>0</v>
      </c>
      <c r="BQ43" s="615">
        <v>0</v>
      </c>
      <c r="BR43" s="615">
        <v>0</v>
      </c>
      <c r="BS43" s="615">
        <v>0</v>
      </c>
      <c r="BT43" s="615">
        <v>0</v>
      </c>
      <c r="BU43" s="615">
        <v>0</v>
      </c>
      <c r="BV43" s="615">
        <v>0</v>
      </c>
      <c r="BW43" s="615">
        <v>0</v>
      </c>
      <c r="BX43" s="615">
        <v>0</v>
      </c>
      <c r="BY43" s="615">
        <v>0</v>
      </c>
      <c r="BZ43" s="615">
        <v>0</v>
      </c>
      <c r="CA43" s="615">
        <v>0</v>
      </c>
      <c r="CB43" s="615">
        <v>0</v>
      </c>
      <c r="CC43" s="615">
        <v>0</v>
      </c>
      <c r="CD43" s="615">
        <v>0</v>
      </c>
      <c r="CE43" s="615">
        <v>0</v>
      </c>
      <c r="CF43" s="615">
        <v>0</v>
      </c>
      <c r="CG43" s="615">
        <v>0</v>
      </c>
      <c r="CH43" s="615">
        <v>0</v>
      </c>
      <c r="CI43" s="615">
        <v>0</v>
      </c>
      <c r="CJ43" s="615">
        <v>0</v>
      </c>
      <c r="CK43" s="615">
        <v>0</v>
      </c>
      <c r="CL43" s="615">
        <v>0</v>
      </c>
      <c r="CM43" s="615">
        <v>0</v>
      </c>
      <c r="CN43" s="615">
        <v>0</v>
      </c>
      <c r="CO43" s="615">
        <v>0</v>
      </c>
      <c r="CP43" s="615">
        <v>0</v>
      </c>
      <c r="CQ43" s="615">
        <v>0</v>
      </c>
      <c r="CR43" s="615">
        <v>0</v>
      </c>
      <c r="CS43" s="615">
        <v>0</v>
      </c>
      <c r="CT43" s="615">
        <v>0</v>
      </c>
      <c r="CU43" s="615">
        <v>0</v>
      </c>
      <c r="CV43" s="615">
        <v>0</v>
      </c>
      <c r="CW43" s="615">
        <v>0</v>
      </c>
      <c r="CX43" s="615">
        <v>0</v>
      </c>
      <c r="CY43" s="615">
        <v>0</v>
      </c>
      <c r="CZ43" s="615" t="s">
        <v>1049</v>
      </c>
      <c r="DA43" s="615">
        <v>0</v>
      </c>
      <c r="DB43" s="617"/>
      <c r="DC43" s="617"/>
      <c r="DD43" s="617"/>
      <c r="DE43" s="617"/>
      <c r="DF43" s="617"/>
      <c r="DG43" s="617"/>
      <c r="DH43" s="617"/>
      <c r="DI43" s="617"/>
      <c r="DJ43" s="617"/>
      <c r="DK43" s="617"/>
      <c r="DL43" s="617"/>
      <c r="DM43" s="617"/>
      <c r="DN43" s="617"/>
      <c r="DO43" s="617"/>
      <c r="DP43" s="617"/>
      <c r="DQ43" s="617"/>
      <c r="DR43" s="617"/>
      <c r="DS43" s="617"/>
      <c r="DT43" s="617"/>
      <c r="DU43" s="617"/>
      <c r="DV43" s="617"/>
      <c r="DW43" s="617"/>
      <c r="DX43" s="617"/>
      <c r="DY43" s="617"/>
      <c r="DZ43" s="617"/>
      <c r="EA43" s="617"/>
      <c r="EB43" s="617"/>
      <c r="EC43" s="617"/>
      <c r="ED43" s="617"/>
      <c r="EE43" s="617"/>
      <c r="EF43" s="617"/>
      <c r="EG43" s="617"/>
      <c r="EH43" s="617"/>
      <c r="EI43" s="617"/>
      <c r="EJ43" s="617"/>
      <c r="EK43" s="617"/>
      <c r="EL43" s="615" t="s">
        <v>833</v>
      </c>
      <c r="EM43" s="615" t="s">
        <v>833</v>
      </c>
      <c r="EN43" s="615" t="s">
        <v>833</v>
      </c>
      <c r="EO43" s="615" t="s">
        <v>833</v>
      </c>
      <c r="EP43" s="615" t="s">
        <v>833</v>
      </c>
      <c r="EQ43" s="615" t="s">
        <v>833</v>
      </c>
      <c r="ER43" s="615" t="s">
        <v>833</v>
      </c>
      <c r="ES43" s="615" t="s">
        <v>833</v>
      </c>
      <c r="ET43" s="615" t="s">
        <v>833</v>
      </c>
      <c r="EU43" s="615" t="s">
        <v>833</v>
      </c>
      <c r="EV43" s="615" t="s">
        <v>833</v>
      </c>
      <c r="EW43" s="615" t="s">
        <v>833</v>
      </c>
      <c r="EX43" s="615">
        <v>3670</v>
      </c>
      <c r="EY43" s="615">
        <v>3820</v>
      </c>
      <c r="EZ43" s="615" t="s">
        <v>1206</v>
      </c>
      <c r="FA43" s="615" t="s">
        <v>1206</v>
      </c>
      <c r="FB43" s="615" t="s">
        <v>1206</v>
      </c>
      <c r="FC43" s="615" t="s">
        <v>1206</v>
      </c>
      <c r="FD43" s="615" t="s">
        <v>1206</v>
      </c>
      <c r="FE43" s="615" t="s">
        <v>1206</v>
      </c>
      <c r="FF43" s="615" t="s">
        <v>1206</v>
      </c>
      <c r="FG43" s="615" t="s">
        <v>1206</v>
      </c>
      <c r="FH43" s="615" t="s">
        <v>1206</v>
      </c>
      <c r="FI43" s="615" t="s">
        <v>1206</v>
      </c>
      <c r="FJ43" s="615" t="s">
        <v>1206</v>
      </c>
      <c r="FK43" s="615" t="s">
        <v>1206</v>
      </c>
      <c r="FL43" s="615">
        <v>13</v>
      </c>
      <c r="FM43" s="615">
        <v>14</v>
      </c>
      <c r="FN43" s="615">
        <v>14</v>
      </c>
      <c r="FO43" s="615">
        <v>14</v>
      </c>
      <c r="FP43" s="615">
        <v>14</v>
      </c>
      <c r="FQ43" s="615">
        <v>13</v>
      </c>
      <c r="FR43" s="615">
        <v>13</v>
      </c>
      <c r="FS43" s="615">
        <v>15</v>
      </c>
      <c r="FT43" s="615">
        <v>15</v>
      </c>
      <c r="FU43" s="615">
        <v>15</v>
      </c>
      <c r="FV43" s="615">
        <v>8</v>
      </c>
      <c r="FW43" s="615">
        <v>8</v>
      </c>
      <c r="FX43" s="615">
        <v>7</v>
      </c>
      <c r="FY43" s="615">
        <v>7</v>
      </c>
      <c r="FZ43" s="615">
        <v>7</v>
      </c>
      <c r="GA43" s="615">
        <v>8</v>
      </c>
      <c r="GB43" s="615">
        <v>8</v>
      </c>
      <c r="GC43" s="615">
        <v>6</v>
      </c>
      <c r="GD43" s="615">
        <v>6</v>
      </c>
      <c r="GE43" s="615">
        <v>6</v>
      </c>
      <c r="GF43" s="615">
        <v>18350</v>
      </c>
      <c r="GG43" s="615" t="s">
        <v>1206</v>
      </c>
      <c r="GH43" s="615" t="s">
        <v>1206</v>
      </c>
      <c r="GI43" s="615" t="s">
        <v>1206</v>
      </c>
      <c r="GJ43" s="615" t="s">
        <v>1206</v>
      </c>
      <c r="GK43" s="615" t="s">
        <v>1206</v>
      </c>
      <c r="GL43" s="615" t="s">
        <v>1206</v>
      </c>
      <c r="GM43" s="615" t="s">
        <v>1206</v>
      </c>
      <c r="GN43" s="615" t="s">
        <v>1206</v>
      </c>
      <c r="GO43" s="615" t="s">
        <v>1206</v>
      </c>
      <c r="GP43" s="615" t="s">
        <v>1206</v>
      </c>
      <c r="GQ43" s="615" t="s">
        <v>1206</v>
      </c>
      <c r="GR43" s="615" t="s">
        <v>1206</v>
      </c>
      <c r="GS43" s="615">
        <v>0</v>
      </c>
      <c r="GT43" s="615">
        <v>0</v>
      </c>
      <c r="GU43" s="615">
        <v>0</v>
      </c>
      <c r="GV43" s="615">
        <v>0</v>
      </c>
      <c r="GW43" s="615">
        <v>0</v>
      </c>
      <c r="GX43" s="615">
        <v>0</v>
      </c>
      <c r="GY43" s="615">
        <v>0</v>
      </c>
      <c r="GZ43" s="615">
        <v>0</v>
      </c>
      <c r="HA43" s="615">
        <v>0</v>
      </c>
      <c r="HB43" s="615">
        <v>0</v>
      </c>
      <c r="HC43" s="615" t="s">
        <v>1208</v>
      </c>
      <c r="HD43" s="615" t="s">
        <v>1208</v>
      </c>
      <c r="HE43" s="615" t="s">
        <v>1208</v>
      </c>
      <c r="HF43" s="615" t="s">
        <v>1208</v>
      </c>
      <c r="HG43" s="615" t="s">
        <v>1208</v>
      </c>
      <c r="HH43" s="615" t="s">
        <v>1208</v>
      </c>
      <c r="HI43" s="615" t="s">
        <v>1208</v>
      </c>
      <c r="HJ43" s="615" t="s">
        <v>1208</v>
      </c>
      <c r="HK43" s="615" t="s">
        <v>1208</v>
      </c>
      <c r="HL43" s="615" t="s">
        <v>1208</v>
      </c>
      <c r="HM43" s="615" t="s">
        <v>1208</v>
      </c>
      <c r="HN43" s="615" t="s">
        <v>1208</v>
      </c>
      <c r="HO43" s="611" t="str">
        <f t="shared" si="13"/>
        <v/>
      </c>
      <c r="HP43" s="611" t="str">
        <f t="shared" si="14"/>
        <v/>
      </c>
      <c r="HQ43" s="611" t="str">
        <f t="shared" si="15"/>
        <v/>
      </c>
      <c r="HR43" s="611" t="str">
        <f t="shared" si="16"/>
        <v/>
      </c>
      <c r="HS43" s="611" t="str">
        <f t="shared" si="17"/>
        <v/>
      </c>
      <c r="HT43" s="611" t="str">
        <f t="shared" si="18"/>
        <v/>
      </c>
      <c r="HU43" s="611" t="str">
        <f t="shared" si="19"/>
        <v/>
      </c>
      <c r="HV43" s="611" t="str">
        <f t="shared" si="20"/>
        <v/>
      </c>
      <c r="HW43" s="611" t="str">
        <f t="shared" si="21"/>
        <v/>
      </c>
      <c r="HX43" s="611" t="str">
        <f t="shared" si="22"/>
        <v/>
      </c>
      <c r="HY43" s="611" t="str">
        <f t="shared" si="23"/>
        <v/>
      </c>
      <c r="HZ43" s="611" t="str">
        <f t="shared" si="24"/>
        <v/>
      </c>
      <c r="IA43" s="619" t="s">
        <v>1295</v>
      </c>
    </row>
    <row r="44" spans="2:235">
      <c r="B44" s="594">
        <v>40</v>
      </c>
      <c r="C44" s="594">
        <v>240</v>
      </c>
      <c r="D44" s="611" t="s">
        <v>976</v>
      </c>
      <c r="E44" s="612" t="s">
        <v>13</v>
      </c>
      <c r="F44" s="612">
        <v>123</v>
      </c>
      <c r="G44" s="612">
        <v>3</v>
      </c>
      <c r="H44" s="612">
        <v>78</v>
      </c>
      <c r="I44" s="612">
        <v>42</v>
      </c>
      <c r="J44" s="612"/>
      <c r="K44" s="612"/>
      <c r="L44" s="612"/>
      <c r="M44" s="612"/>
      <c r="N44" s="612"/>
      <c r="O44" s="612"/>
      <c r="P44" s="612"/>
      <c r="Q44" s="612"/>
      <c r="R44" s="612"/>
      <c r="S44" s="612"/>
      <c r="T44" s="612"/>
      <c r="U44" s="612"/>
      <c r="V44" s="612"/>
      <c r="W44" s="612"/>
      <c r="X44" s="612"/>
      <c r="Y44" s="612"/>
      <c r="Z44" s="612"/>
      <c r="AA44" s="612"/>
      <c r="AB44" s="612"/>
      <c r="AC44" s="612"/>
      <c r="AD44" s="612"/>
      <c r="AE44" s="612"/>
      <c r="AF44" s="612"/>
      <c r="AG44" s="612"/>
      <c r="AH44" s="612"/>
      <c r="AI44" s="612"/>
      <c r="AJ44" s="612"/>
      <c r="AK44" s="612"/>
      <c r="AL44" s="612"/>
      <c r="AM44" s="613"/>
      <c r="AN44" s="613"/>
      <c r="AO44" s="613"/>
      <c r="AP44" s="612"/>
      <c r="AQ44" s="612" t="s">
        <v>11</v>
      </c>
      <c r="AR44" s="615" t="s">
        <v>629</v>
      </c>
      <c r="AS44" s="615" t="s">
        <v>629</v>
      </c>
      <c r="AT44" s="615" t="s">
        <v>629</v>
      </c>
      <c r="AU44" s="615" t="s">
        <v>629</v>
      </c>
      <c r="AV44" s="615" t="s">
        <v>629</v>
      </c>
      <c r="AW44" s="615" t="s">
        <v>629</v>
      </c>
      <c r="AX44" s="615" t="s">
        <v>629</v>
      </c>
      <c r="AY44" s="615" t="s">
        <v>629</v>
      </c>
      <c r="AZ44" s="615" t="s">
        <v>629</v>
      </c>
      <c r="BA44" s="615" t="s">
        <v>629</v>
      </c>
      <c r="BB44" s="615" t="s">
        <v>629</v>
      </c>
      <c r="BC44" s="615" t="s">
        <v>629</v>
      </c>
      <c r="BD44" s="615" t="s">
        <v>629</v>
      </c>
      <c r="BE44" s="615" t="s">
        <v>629</v>
      </c>
      <c r="BF44" s="615" t="s">
        <v>629</v>
      </c>
      <c r="BG44" s="615" t="s">
        <v>629</v>
      </c>
      <c r="BH44" s="615" t="s">
        <v>629</v>
      </c>
      <c r="BI44" s="615" t="s">
        <v>629</v>
      </c>
      <c r="BJ44" s="615" t="s">
        <v>629</v>
      </c>
      <c r="BK44" s="615" t="s">
        <v>629</v>
      </c>
      <c r="BL44" s="615" t="s">
        <v>629</v>
      </c>
      <c r="BM44" s="615" t="s">
        <v>629</v>
      </c>
      <c r="BN44" s="615" t="s">
        <v>629</v>
      </c>
      <c r="BO44" s="615" t="s">
        <v>629</v>
      </c>
      <c r="BP44" s="615">
        <v>2</v>
      </c>
      <c r="BQ44" s="615">
        <v>2</v>
      </c>
      <c r="BR44" s="615">
        <v>2</v>
      </c>
      <c r="BS44" s="615">
        <v>2</v>
      </c>
      <c r="BT44" s="615">
        <v>2</v>
      </c>
      <c r="BU44" s="615">
        <v>2</v>
      </c>
      <c r="BV44" s="615">
        <v>2</v>
      </c>
      <c r="BW44" s="615">
        <v>2</v>
      </c>
      <c r="BX44" s="615">
        <v>2</v>
      </c>
      <c r="BY44" s="615">
        <v>2</v>
      </c>
      <c r="BZ44" s="615">
        <v>2</v>
      </c>
      <c r="CA44" s="615">
        <v>2</v>
      </c>
      <c r="CB44" s="615">
        <v>0</v>
      </c>
      <c r="CC44" s="615">
        <v>0</v>
      </c>
      <c r="CD44" s="615">
        <v>0</v>
      </c>
      <c r="CE44" s="615">
        <v>0</v>
      </c>
      <c r="CF44" s="615">
        <v>0</v>
      </c>
      <c r="CG44" s="615">
        <v>0</v>
      </c>
      <c r="CH44" s="615">
        <v>0</v>
      </c>
      <c r="CI44" s="615">
        <v>0</v>
      </c>
      <c r="CJ44" s="615">
        <v>0</v>
      </c>
      <c r="CK44" s="615">
        <v>0</v>
      </c>
      <c r="CL44" s="615">
        <v>0</v>
      </c>
      <c r="CM44" s="615">
        <v>0</v>
      </c>
      <c r="CN44" s="615">
        <v>0</v>
      </c>
      <c r="CO44" s="615">
        <v>0</v>
      </c>
      <c r="CP44" s="615">
        <v>0</v>
      </c>
      <c r="CQ44" s="615">
        <v>0</v>
      </c>
      <c r="CR44" s="615">
        <v>0</v>
      </c>
      <c r="CS44" s="615">
        <v>0</v>
      </c>
      <c r="CT44" s="615">
        <v>0</v>
      </c>
      <c r="CU44" s="615">
        <v>0</v>
      </c>
      <c r="CV44" s="615">
        <v>0</v>
      </c>
      <c r="CW44" s="615">
        <v>0</v>
      </c>
      <c r="CX44" s="615">
        <v>0</v>
      </c>
      <c r="CY44" s="615">
        <v>0</v>
      </c>
      <c r="CZ44" s="615" t="s">
        <v>1049</v>
      </c>
      <c r="DA44" s="615">
        <v>4</v>
      </c>
      <c r="DB44" s="617"/>
      <c r="DC44" s="617"/>
      <c r="DD44" s="617"/>
      <c r="DE44" s="617"/>
      <c r="DF44" s="617"/>
      <c r="DG44" s="617"/>
      <c r="DH44" s="617"/>
      <c r="DI44" s="617"/>
      <c r="DJ44" s="617"/>
      <c r="DK44" s="617"/>
      <c r="DL44" s="617"/>
      <c r="DM44" s="617"/>
      <c r="DN44" s="617"/>
      <c r="DO44" s="617"/>
      <c r="DP44" s="617"/>
      <c r="DQ44" s="617"/>
      <c r="DR44" s="617"/>
      <c r="DS44" s="617"/>
      <c r="DT44" s="617"/>
      <c r="DU44" s="617"/>
      <c r="DV44" s="617"/>
      <c r="DW44" s="617"/>
      <c r="DX44" s="617"/>
      <c r="DY44" s="617"/>
      <c r="DZ44" s="617"/>
      <c r="EA44" s="617"/>
      <c r="EB44" s="617"/>
      <c r="EC44" s="617"/>
      <c r="ED44" s="617"/>
      <c r="EE44" s="617"/>
      <c r="EF44" s="617"/>
      <c r="EG44" s="617"/>
      <c r="EH44" s="617"/>
      <c r="EI44" s="617"/>
      <c r="EJ44" s="617"/>
      <c r="EK44" s="617"/>
      <c r="EL44" s="615" t="s">
        <v>833</v>
      </c>
      <c r="EM44" s="615" t="s">
        <v>833</v>
      </c>
      <c r="EN44" s="615" t="s">
        <v>833</v>
      </c>
      <c r="EO44" s="615" t="s">
        <v>833</v>
      </c>
      <c r="EP44" s="615" t="s">
        <v>833</v>
      </c>
      <c r="EQ44" s="615" t="s">
        <v>833</v>
      </c>
      <c r="ER44" s="615" t="s">
        <v>833</v>
      </c>
      <c r="ES44" s="615" t="s">
        <v>833</v>
      </c>
      <c r="ET44" s="615" t="s">
        <v>833</v>
      </c>
      <c r="EU44" s="615" t="s">
        <v>833</v>
      </c>
      <c r="EV44" s="615" t="s">
        <v>833</v>
      </c>
      <c r="EW44" s="615" t="s">
        <v>833</v>
      </c>
      <c r="EX44" s="615">
        <v>3670</v>
      </c>
      <c r="EY44" s="615">
        <v>3820</v>
      </c>
      <c r="EZ44" s="615" t="s">
        <v>1206</v>
      </c>
      <c r="FA44" s="615" t="s">
        <v>1206</v>
      </c>
      <c r="FB44" s="615" t="s">
        <v>1206</v>
      </c>
      <c r="FC44" s="615" t="s">
        <v>1206</v>
      </c>
      <c r="FD44" s="615" t="s">
        <v>1206</v>
      </c>
      <c r="FE44" s="615" t="s">
        <v>1206</v>
      </c>
      <c r="FF44" s="615" t="s">
        <v>1206</v>
      </c>
      <c r="FG44" s="615" t="s">
        <v>1206</v>
      </c>
      <c r="FH44" s="615" t="s">
        <v>1206</v>
      </c>
      <c r="FI44" s="615" t="s">
        <v>1206</v>
      </c>
      <c r="FJ44" s="615" t="s">
        <v>1206</v>
      </c>
      <c r="FK44" s="615" t="s">
        <v>1206</v>
      </c>
      <c r="FL44" s="615">
        <v>3</v>
      </c>
      <c r="FM44" s="615">
        <v>3</v>
      </c>
      <c r="FN44" s="615">
        <v>3</v>
      </c>
      <c r="FO44" s="615">
        <v>3</v>
      </c>
      <c r="FP44" s="615">
        <v>3</v>
      </c>
      <c r="FQ44" s="615">
        <v>3</v>
      </c>
      <c r="FR44" s="615">
        <v>3</v>
      </c>
      <c r="FS44" s="615">
        <v>3</v>
      </c>
      <c r="FT44" s="615">
        <v>3</v>
      </c>
      <c r="FU44" s="615">
        <v>3</v>
      </c>
      <c r="FV44" s="615">
        <v>43</v>
      </c>
      <c r="FW44" s="615">
        <v>43</v>
      </c>
      <c r="FX44" s="615">
        <v>43</v>
      </c>
      <c r="FY44" s="615">
        <v>43</v>
      </c>
      <c r="FZ44" s="615">
        <v>43</v>
      </c>
      <c r="GA44" s="615">
        <v>43</v>
      </c>
      <c r="GB44" s="615">
        <v>43</v>
      </c>
      <c r="GC44" s="615">
        <v>43</v>
      </c>
      <c r="GD44" s="615">
        <v>43</v>
      </c>
      <c r="GE44" s="615">
        <v>43</v>
      </c>
      <c r="GF44" s="615">
        <v>18350</v>
      </c>
      <c r="GG44" s="615" t="s">
        <v>833</v>
      </c>
      <c r="GH44" s="615" t="s">
        <v>833</v>
      </c>
      <c r="GI44" s="615" t="s">
        <v>833</v>
      </c>
      <c r="GJ44" s="615" t="s">
        <v>833</v>
      </c>
      <c r="GK44" s="615" t="s">
        <v>833</v>
      </c>
      <c r="GL44" s="615" t="s">
        <v>833</v>
      </c>
      <c r="GM44" s="615" t="s">
        <v>833</v>
      </c>
      <c r="GN44" s="615" t="s">
        <v>833</v>
      </c>
      <c r="GO44" s="615" t="s">
        <v>833</v>
      </c>
      <c r="GP44" s="615" t="s">
        <v>833</v>
      </c>
      <c r="GQ44" s="615" t="s">
        <v>833</v>
      </c>
      <c r="GR44" s="615" t="s">
        <v>833</v>
      </c>
      <c r="GS44" s="615">
        <v>19</v>
      </c>
      <c r="GT44" s="615">
        <v>19</v>
      </c>
      <c r="GU44" s="615">
        <v>19</v>
      </c>
      <c r="GV44" s="615">
        <v>18</v>
      </c>
      <c r="GW44" s="615">
        <v>18</v>
      </c>
      <c r="GX44" s="615">
        <v>18</v>
      </c>
      <c r="GY44" s="615">
        <v>18</v>
      </c>
      <c r="GZ44" s="615">
        <v>18</v>
      </c>
      <c r="HA44" s="615">
        <v>18</v>
      </c>
      <c r="HB44" s="615">
        <v>18</v>
      </c>
      <c r="HC44" s="615" t="s">
        <v>1207</v>
      </c>
      <c r="HD44" s="615" t="s">
        <v>1207</v>
      </c>
      <c r="HE44" s="615" t="s">
        <v>1207</v>
      </c>
      <c r="HF44" s="615" t="s">
        <v>1207</v>
      </c>
      <c r="HG44" s="615" t="s">
        <v>1207</v>
      </c>
      <c r="HH44" s="615" t="s">
        <v>1207</v>
      </c>
      <c r="HI44" s="615" t="s">
        <v>1207</v>
      </c>
      <c r="HJ44" s="615" t="s">
        <v>1207</v>
      </c>
      <c r="HK44" s="615" t="s">
        <v>1207</v>
      </c>
      <c r="HL44" s="615" t="s">
        <v>1207</v>
      </c>
      <c r="HM44" s="615" t="s">
        <v>1207</v>
      </c>
      <c r="HN44" s="615" t="s">
        <v>1207</v>
      </c>
      <c r="HO44" s="611">
        <f t="shared" si="13"/>
        <v>79950</v>
      </c>
      <c r="HP44" s="611">
        <f t="shared" si="14"/>
        <v>79950</v>
      </c>
      <c r="HQ44" s="611">
        <f t="shared" si="15"/>
        <v>79950</v>
      </c>
      <c r="HR44" s="611">
        <f t="shared" si="16"/>
        <v>79950</v>
      </c>
      <c r="HS44" s="611">
        <f t="shared" si="17"/>
        <v>79950</v>
      </c>
      <c r="HT44" s="611">
        <f t="shared" si="18"/>
        <v>79950</v>
      </c>
      <c r="HU44" s="611">
        <f t="shared" si="19"/>
        <v>79950</v>
      </c>
      <c r="HV44" s="611">
        <f t="shared" si="20"/>
        <v>79950</v>
      </c>
      <c r="HW44" s="611">
        <f t="shared" si="21"/>
        <v>79950</v>
      </c>
      <c r="HX44" s="611">
        <f t="shared" si="22"/>
        <v>79950</v>
      </c>
      <c r="HY44" s="611">
        <f t="shared" si="23"/>
        <v>79950</v>
      </c>
      <c r="HZ44" s="611">
        <f t="shared" si="24"/>
        <v>79950</v>
      </c>
      <c r="IA44" s="624" t="s">
        <v>1296</v>
      </c>
    </row>
    <row r="45" spans="2:235">
      <c r="B45" s="594">
        <v>41</v>
      </c>
      <c r="C45" s="594">
        <v>241</v>
      </c>
      <c r="D45" s="611" t="s">
        <v>977</v>
      </c>
      <c r="E45" s="612" t="s">
        <v>13</v>
      </c>
      <c r="F45" s="612">
        <v>308</v>
      </c>
      <c r="G45" s="612">
        <v>180</v>
      </c>
      <c r="H45" s="612">
        <v>81</v>
      </c>
      <c r="I45" s="612">
        <v>47</v>
      </c>
      <c r="J45" s="612"/>
      <c r="K45" s="612"/>
      <c r="L45" s="612"/>
      <c r="M45" s="612"/>
      <c r="N45" s="612"/>
      <c r="O45" s="612"/>
      <c r="P45" s="612"/>
      <c r="Q45" s="612"/>
      <c r="R45" s="612"/>
      <c r="S45" s="612"/>
      <c r="T45" s="612"/>
      <c r="U45" s="612"/>
      <c r="V45" s="612"/>
      <c r="W45" s="612"/>
      <c r="X45" s="612"/>
      <c r="Y45" s="612"/>
      <c r="Z45" s="612"/>
      <c r="AA45" s="612"/>
      <c r="AB45" s="612"/>
      <c r="AC45" s="612"/>
      <c r="AD45" s="612"/>
      <c r="AE45" s="612"/>
      <c r="AF45" s="612"/>
      <c r="AG45" s="612"/>
      <c r="AH45" s="612"/>
      <c r="AI45" s="612"/>
      <c r="AJ45" s="612"/>
      <c r="AK45" s="612"/>
      <c r="AL45" s="612"/>
      <c r="AM45" s="613"/>
      <c r="AN45" s="613"/>
      <c r="AO45" s="613"/>
      <c r="AP45" s="612"/>
      <c r="AQ45" s="612" t="s">
        <v>11</v>
      </c>
      <c r="AR45" s="615" t="s">
        <v>629</v>
      </c>
      <c r="AS45" s="615" t="s">
        <v>629</v>
      </c>
      <c r="AT45" s="615" t="s">
        <v>629</v>
      </c>
      <c r="AU45" s="615" t="s">
        <v>629</v>
      </c>
      <c r="AV45" s="615" t="s">
        <v>629</v>
      </c>
      <c r="AW45" s="615" t="s">
        <v>629</v>
      </c>
      <c r="AX45" s="615" t="s">
        <v>629</v>
      </c>
      <c r="AY45" s="615" t="s">
        <v>629</v>
      </c>
      <c r="AZ45" s="615" t="s">
        <v>629</v>
      </c>
      <c r="BA45" s="615" t="s">
        <v>629</v>
      </c>
      <c r="BB45" s="615" t="s">
        <v>629</v>
      </c>
      <c r="BC45" s="615" t="s">
        <v>629</v>
      </c>
      <c r="BD45" s="615" t="s">
        <v>629</v>
      </c>
      <c r="BE45" s="615" t="s">
        <v>629</v>
      </c>
      <c r="BF45" s="615" t="s">
        <v>629</v>
      </c>
      <c r="BG45" s="615" t="s">
        <v>629</v>
      </c>
      <c r="BH45" s="615" t="s">
        <v>629</v>
      </c>
      <c r="BI45" s="615" t="s">
        <v>629</v>
      </c>
      <c r="BJ45" s="615" t="s">
        <v>629</v>
      </c>
      <c r="BK45" s="615" t="s">
        <v>629</v>
      </c>
      <c r="BL45" s="615" t="s">
        <v>629</v>
      </c>
      <c r="BM45" s="615" t="s">
        <v>629</v>
      </c>
      <c r="BN45" s="615" t="s">
        <v>629</v>
      </c>
      <c r="BO45" s="615" t="s">
        <v>629</v>
      </c>
      <c r="BP45" s="615">
        <v>1</v>
      </c>
      <c r="BQ45" s="615">
        <v>1</v>
      </c>
      <c r="BR45" s="615">
        <v>1</v>
      </c>
      <c r="BS45" s="615">
        <v>1</v>
      </c>
      <c r="BT45" s="615">
        <v>1</v>
      </c>
      <c r="BU45" s="615">
        <v>1</v>
      </c>
      <c r="BV45" s="615">
        <v>1</v>
      </c>
      <c r="BW45" s="615">
        <v>1</v>
      </c>
      <c r="BX45" s="615">
        <v>1</v>
      </c>
      <c r="BY45" s="615">
        <v>1</v>
      </c>
      <c r="BZ45" s="615">
        <v>1</v>
      </c>
      <c r="CA45" s="615">
        <v>1</v>
      </c>
      <c r="CB45" s="615">
        <v>0</v>
      </c>
      <c r="CC45" s="615">
        <v>0</v>
      </c>
      <c r="CD45" s="615">
        <v>0</v>
      </c>
      <c r="CE45" s="615">
        <v>0</v>
      </c>
      <c r="CF45" s="615">
        <v>0</v>
      </c>
      <c r="CG45" s="615">
        <v>0</v>
      </c>
      <c r="CH45" s="615">
        <v>0</v>
      </c>
      <c r="CI45" s="615">
        <v>0</v>
      </c>
      <c r="CJ45" s="615">
        <v>0</v>
      </c>
      <c r="CK45" s="615">
        <v>0</v>
      </c>
      <c r="CL45" s="615">
        <v>0</v>
      </c>
      <c r="CM45" s="615">
        <v>0</v>
      </c>
      <c r="CN45" s="615">
        <v>0</v>
      </c>
      <c r="CO45" s="615">
        <v>0</v>
      </c>
      <c r="CP45" s="615">
        <v>0</v>
      </c>
      <c r="CQ45" s="615">
        <v>0</v>
      </c>
      <c r="CR45" s="615">
        <v>0</v>
      </c>
      <c r="CS45" s="615">
        <v>0</v>
      </c>
      <c r="CT45" s="615">
        <v>0</v>
      </c>
      <c r="CU45" s="615">
        <v>0</v>
      </c>
      <c r="CV45" s="615">
        <v>0</v>
      </c>
      <c r="CW45" s="615">
        <v>0</v>
      </c>
      <c r="CX45" s="615">
        <v>0</v>
      </c>
      <c r="CY45" s="615">
        <v>0</v>
      </c>
      <c r="CZ45" s="615" t="s">
        <v>1049</v>
      </c>
      <c r="DA45" s="615">
        <v>2</v>
      </c>
      <c r="DB45" s="617"/>
      <c r="DC45" s="617"/>
      <c r="DD45" s="617"/>
      <c r="DE45" s="617"/>
      <c r="DF45" s="617"/>
      <c r="DG45" s="617"/>
      <c r="DH45" s="617"/>
      <c r="DI45" s="617"/>
      <c r="DJ45" s="617"/>
      <c r="DK45" s="617"/>
      <c r="DL45" s="617"/>
      <c r="DM45" s="617"/>
      <c r="DN45" s="617"/>
      <c r="DO45" s="617"/>
      <c r="DP45" s="617"/>
      <c r="DQ45" s="617"/>
      <c r="DR45" s="617"/>
      <c r="DS45" s="617"/>
      <c r="DT45" s="617"/>
      <c r="DU45" s="617"/>
      <c r="DV45" s="617"/>
      <c r="DW45" s="617"/>
      <c r="DX45" s="617"/>
      <c r="DY45" s="617"/>
      <c r="DZ45" s="617"/>
      <c r="EA45" s="617"/>
      <c r="EB45" s="617"/>
      <c r="EC45" s="617"/>
      <c r="ED45" s="617"/>
      <c r="EE45" s="617"/>
      <c r="EF45" s="617"/>
      <c r="EG45" s="617"/>
      <c r="EH45" s="617"/>
      <c r="EI45" s="617"/>
      <c r="EJ45" s="617"/>
      <c r="EK45" s="617"/>
      <c r="EL45" s="615" t="s">
        <v>833</v>
      </c>
      <c r="EM45" s="615" t="s">
        <v>833</v>
      </c>
      <c r="EN45" s="615" t="s">
        <v>833</v>
      </c>
      <c r="EO45" s="615" t="s">
        <v>833</v>
      </c>
      <c r="EP45" s="615" t="s">
        <v>833</v>
      </c>
      <c r="EQ45" s="615" t="s">
        <v>833</v>
      </c>
      <c r="ER45" s="615" t="s">
        <v>833</v>
      </c>
      <c r="ES45" s="615" t="s">
        <v>833</v>
      </c>
      <c r="ET45" s="615" t="s">
        <v>833</v>
      </c>
      <c r="EU45" s="615" t="s">
        <v>833</v>
      </c>
      <c r="EV45" s="615" t="s">
        <v>833</v>
      </c>
      <c r="EW45" s="615" t="s">
        <v>833</v>
      </c>
      <c r="EX45" s="615">
        <v>3670</v>
      </c>
      <c r="EY45" s="615">
        <v>3820</v>
      </c>
      <c r="EZ45" s="615" t="s">
        <v>1206</v>
      </c>
      <c r="FA45" s="615" t="s">
        <v>1206</v>
      </c>
      <c r="FB45" s="615" t="s">
        <v>1206</v>
      </c>
      <c r="FC45" s="615" t="s">
        <v>1206</v>
      </c>
      <c r="FD45" s="615" t="s">
        <v>1206</v>
      </c>
      <c r="FE45" s="615" t="s">
        <v>1206</v>
      </c>
      <c r="FF45" s="615" t="s">
        <v>1206</v>
      </c>
      <c r="FG45" s="615" t="s">
        <v>1206</v>
      </c>
      <c r="FH45" s="615" t="s">
        <v>1206</v>
      </c>
      <c r="FI45" s="615" t="s">
        <v>1206</v>
      </c>
      <c r="FJ45" s="615" t="s">
        <v>1206</v>
      </c>
      <c r="FK45" s="615" t="s">
        <v>1206</v>
      </c>
      <c r="FL45" s="615">
        <v>129</v>
      </c>
      <c r="FM45" s="615">
        <v>126</v>
      </c>
      <c r="FN45" s="615">
        <v>127</v>
      </c>
      <c r="FO45" s="615">
        <v>126</v>
      </c>
      <c r="FP45" s="615">
        <v>126</v>
      </c>
      <c r="FQ45" s="615">
        <v>125</v>
      </c>
      <c r="FR45" s="615">
        <v>126</v>
      </c>
      <c r="FS45" s="615">
        <v>126</v>
      </c>
      <c r="FT45" s="615">
        <v>126</v>
      </c>
      <c r="FU45" s="615">
        <v>126</v>
      </c>
      <c r="FV45" s="615">
        <v>70</v>
      </c>
      <c r="FW45" s="615">
        <v>73</v>
      </c>
      <c r="FX45" s="615">
        <v>72</v>
      </c>
      <c r="FY45" s="615">
        <v>73</v>
      </c>
      <c r="FZ45" s="615">
        <v>73</v>
      </c>
      <c r="GA45" s="615">
        <v>73</v>
      </c>
      <c r="GB45" s="615">
        <v>72</v>
      </c>
      <c r="GC45" s="615">
        <v>72</v>
      </c>
      <c r="GD45" s="615">
        <v>72</v>
      </c>
      <c r="GE45" s="615">
        <v>72</v>
      </c>
      <c r="GF45" s="615">
        <v>18350</v>
      </c>
      <c r="GG45" s="615" t="s">
        <v>833</v>
      </c>
      <c r="GH45" s="615" t="s">
        <v>833</v>
      </c>
      <c r="GI45" s="615" t="s">
        <v>833</v>
      </c>
      <c r="GJ45" s="615" t="s">
        <v>833</v>
      </c>
      <c r="GK45" s="615" t="s">
        <v>833</v>
      </c>
      <c r="GL45" s="615" t="s">
        <v>833</v>
      </c>
      <c r="GM45" s="615" t="s">
        <v>833</v>
      </c>
      <c r="GN45" s="615" t="s">
        <v>833</v>
      </c>
      <c r="GO45" s="615" t="s">
        <v>833</v>
      </c>
      <c r="GP45" s="615" t="s">
        <v>833</v>
      </c>
      <c r="GQ45" s="615" t="s">
        <v>833</v>
      </c>
      <c r="GR45" s="615" t="s">
        <v>833</v>
      </c>
      <c r="GS45" s="615">
        <v>18</v>
      </c>
      <c r="GT45" s="615">
        <v>18</v>
      </c>
      <c r="GU45" s="615">
        <v>18</v>
      </c>
      <c r="GV45" s="615">
        <v>18</v>
      </c>
      <c r="GW45" s="615">
        <v>18</v>
      </c>
      <c r="GX45" s="615">
        <v>18</v>
      </c>
      <c r="GY45" s="615">
        <v>18</v>
      </c>
      <c r="GZ45" s="615">
        <v>18</v>
      </c>
      <c r="HA45" s="615">
        <v>18</v>
      </c>
      <c r="HB45" s="615">
        <v>18</v>
      </c>
      <c r="HC45" s="615" t="s">
        <v>1208</v>
      </c>
      <c r="HD45" s="615" t="s">
        <v>1208</v>
      </c>
      <c r="HE45" s="615" t="s">
        <v>1208</v>
      </c>
      <c r="HF45" s="615" t="s">
        <v>1208</v>
      </c>
      <c r="HG45" s="615" t="s">
        <v>1208</v>
      </c>
      <c r="HH45" s="615" t="s">
        <v>1208</v>
      </c>
      <c r="HI45" s="615" t="s">
        <v>1208</v>
      </c>
      <c r="HJ45" s="615" t="s">
        <v>1208</v>
      </c>
      <c r="HK45" s="615" t="s">
        <v>1208</v>
      </c>
      <c r="HL45" s="615" t="s">
        <v>1208</v>
      </c>
      <c r="HM45" s="615" t="s">
        <v>1208</v>
      </c>
      <c r="HN45" s="615" t="s">
        <v>1208</v>
      </c>
      <c r="HO45" s="611" t="str">
        <f t="shared" si="13"/>
        <v/>
      </c>
      <c r="HP45" s="611" t="str">
        <f t="shared" si="14"/>
        <v/>
      </c>
      <c r="HQ45" s="611" t="str">
        <f t="shared" si="15"/>
        <v/>
      </c>
      <c r="HR45" s="611" t="str">
        <f t="shared" si="16"/>
        <v/>
      </c>
      <c r="HS45" s="611" t="str">
        <f t="shared" si="17"/>
        <v/>
      </c>
      <c r="HT45" s="611" t="str">
        <f t="shared" si="18"/>
        <v/>
      </c>
      <c r="HU45" s="611" t="str">
        <f t="shared" si="19"/>
        <v/>
      </c>
      <c r="HV45" s="611" t="str">
        <f t="shared" si="20"/>
        <v/>
      </c>
      <c r="HW45" s="611" t="str">
        <f t="shared" si="21"/>
        <v/>
      </c>
      <c r="HX45" s="611" t="str">
        <f t="shared" si="22"/>
        <v/>
      </c>
      <c r="HY45" s="611" t="str">
        <f t="shared" si="23"/>
        <v/>
      </c>
      <c r="HZ45" s="611" t="str">
        <f t="shared" si="24"/>
        <v/>
      </c>
      <c r="IA45" s="619" t="s">
        <v>1295</v>
      </c>
    </row>
    <row r="46" spans="2:235">
      <c r="B46" s="594">
        <v>42</v>
      </c>
      <c r="C46" s="594">
        <v>242</v>
      </c>
      <c r="D46" s="611" t="s">
        <v>1162</v>
      </c>
      <c r="E46" s="612" t="s">
        <v>13</v>
      </c>
      <c r="F46" s="612">
        <v>210</v>
      </c>
      <c r="G46" s="612">
        <v>150</v>
      </c>
      <c r="H46" s="612">
        <v>50</v>
      </c>
      <c r="I46" s="612">
        <v>10</v>
      </c>
      <c r="J46" s="612"/>
      <c r="K46" s="612"/>
      <c r="L46" s="612"/>
      <c r="M46" s="612"/>
      <c r="N46" s="612"/>
      <c r="O46" s="612"/>
      <c r="P46" s="612"/>
      <c r="Q46" s="612"/>
      <c r="R46" s="612"/>
      <c r="S46" s="612"/>
      <c r="T46" s="612"/>
      <c r="U46" s="612"/>
      <c r="V46" s="612"/>
      <c r="W46" s="612"/>
      <c r="X46" s="612"/>
      <c r="Y46" s="612"/>
      <c r="Z46" s="612"/>
      <c r="AA46" s="612"/>
      <c r="AB46" s="612"/>
      <c r="AC46" s="612"/>
      <c r="AD46" s="612"/>
      <c r="AE46" s="612"/>
      <c r="AF46" s="612"/>
      <c r="AG46" s="612"/>
      <c r="AH46" s="612"/>
      <c r="AI46" s="612"/>
      <c r="AJ46" s="612"/>
      <c r="AK46" s="612"/>
      <c r="AL46" s="612"/>
      <c r="AM46" s="613"/>
      <c r="AN46" s="613"/>
      <c r="AO46" s="613"/>
      <c r="AP46" s="612"/>
      <c r="AQ46" s="612" t="s">
        <v>11</v>
      </c>
      <c r="AR46" s="615" t="s">
        <v>629</v>
      </c>
      <c r="AS46" s="615" t="s">
        <v>629</v>
      </c>
      <c r="AT46" s="615" t="s">
        <v>629</v>
      </c>
      <c r="AU46" s="615" t="s">
        <v>629</v>
      </c>
      <c r="AV46" s="615" t="s">
        <v>629</v>
      </c>
      <c r="AW46" s="615" t="s">
        <v>629</v>
      </c>
      <c r="AX46" s="615" t="s">
        <v>629</v>
      </c>
      <c r="AY46" s="615" t="s">
        <v>629</v>
      </c>
      <c r="AZ46" s="615" t="s">
        <v>629</v>
      </c>
      <c r="BA46" s="615" t="s">
        <v>629</v>
      </c>
      <c r="BB46" s="615" t="s">
        <v>629</v>
      </c>
      <c r="BC46" s="615" t="s">
        <v>629</v>
      </c>
      <c r="BD46" s="615" t="s">
        <v>629</v>
      </c>
      <c r="BE46" s="615" t="s">
        <v>629</v>
      </c>
      <c r="BF46" s="615" t="s">
        <v>629</v>
      </c>
      <c r="BG46" s="615" t="s">
        <v>629</v>
      </c>
      <c r="BH46" s="615" t="s">
        <v>629</v>
      </c>
      <c r="BI46" s="615" t="s">
        <v>629</v>
      </c>
      <c r="BJ46" s="615" t="s">
        <v>629</v>
      </c>
      <c r="BK46" s="615" t="s">
        <v>629</v>
      </c>
      <c r="BL46" s="615" t="s">
        <v>629</v>
      </c>
      <c r="BM46" s="615" t="s">
        <v>629</v>
      </c>
      <c r="BN46" s="615" t="s">
        <v>629</v>
      </c>
      <c r="BO46" s="615" t="s">
        <v>629</v>
      </c>
      <c r="BP46" s="615">
        <v>0</v>
      </c>
      <c r="BQ46" s="615">
        <v>0</v>
      </c>
      <c r="BR46" s="615">
        <v>0</v>
      </c>
      <c r="BS46" s="615">
        <v>0</v>
      </c>
      <c r="BT46" s="615">
        <v>0</v>
      </c>
      <c r="BU46" s="615">
        <v>0</v>
      </c>
      <c r="BV46" s="615">
        <v>0</v>
      </c>
      <c r="BW46" s="615">
        <v>0</v>
      </c>
      <c r="BX46" s="615">
        <v>0</v>
      </c>
      <c r="BY46" s="615">
        <v>0</v>
      </c>
      <c r="BZ46" s="615">
        <v>0</v>
      </c>
      <c r="CA46" s="615">
        <v>0</v>
      </c>
      <c r="CB46" s="615">
        <v>0</v>
      </c>
      <c r="CC46" s="615">
        <v>0</v>
      </c>
      <c r="CD46" s="615">
        <v>0</v>
      </c>
      <c r="CE46" s="615">
        <v>0</v>
      </c>
      <c r="CF46" s="615">
        <v>0</v>
      </c>
      <c r="CG46" s="615">
        <v>0</v>
      </c>
      <c r="CH46" s="615">
        <v>0</v>
      </c>
      <c r="CI46" s="615">
        <v>0</v>
      </c>
      <c r="CJ46" s="615">
        <v>0</v>
      </c>
      <c r="CK46" s="615">
        <v>0</v>
      </c>
      <c r="CL46" s="615">
        <v>0</v>
      </c>
      <c r="CM46" s="615">
        <v>0</v>
      </c>
      <c r="CN46" s="615">
        <v>0</v>
      </c>
      <c r="CO46" s="615">
        <v>0</v>
      </c>
      <c r="CP46" s="615">
        <v>0</v>
      </c>
      <c r="CQ46" s="615">
        <v>0</v>
      </c>
      <c r="CR46" s="615">
        <v>0</v>
      </c>
      <c r="CS46" s="615">
        <v>0</v>
      </c>
      <c r="CT46" s="615">
        <v>0</v>
      </c>
      <c r="CU46" s="615">
        <v>0</v>
      </c>
      <c r="CV46" s="615">
        <v>0</v>
      </c>
      <c r="CW46" s="615">
        <v>0</v>
      </c>
      <c r="CX46" s="615">
        <v>0</v>
      </c>
      <c r="CY46" s="615">
        <v>0</v>
      </c>
      <c r="CZ46" s="615" t="s">
        <v>1049</v>
      </c>
      <c r="DA46" s="615">
        <v>2</v>
      </c>
      <c r="DB46" s="617"/>
      <c r="DC46" s="617"/>
      <c r="DD46" s="617"/>
      <c r="DE46" s="617"/>
      <c r="DF46" s="617"/>
      <c r="DG46" s="617"/>
      <c r="DH46" s="617"/>
      <c r="DI46" s="617"/>
      <c r="DJ46" s="617"/>
      <c r="DK46" s="617"/>
      <c r="DL46" s="617"/>
      <c r="DM46" s="617"/>
      <c r="DN46" s="617"/>
      <c r="DO46" s="617"/>
      <c r="DP46" s="617"/>
      <c r="DQ46" s="617"/>
      <c r="DR46" s="617"/>
      <c r="DS46" s="617"/>
      <c r="DT46" s="617"/>
      <c r="DU46" s="617"/>
      <c r="DV46" s="617"/>
      <c r="DW46" s="617"/>
      <c r="DX46" s="617"/>
      <c r="DY46" s="617"/>
      <c r="DZ46" s="617"/>
      <c r="EA46" s="617"/>
      <c r="EB46" s="617"/>
      <c r="EC46" s="617"/>
      <c r="ED46" s="617"/>
      <c r="EE46" s="617"/>
      <c r="EF46" s="617"/>
      <c r="EG46" s="617"/>
      <c r="EH46" s="617"/>
      <c r="EI46" s="617"/>
      <c r="EJ46" s="617"/>
      <c r="EK46" s="617"/>
      <c r="EL46" s="615" t="s">
        <v>833</v>
      </c>
      <c r="EM46" s="615" t="s">
        <v>833</v>
      </c>
      <c r="EN46" s="615" t="s">
        <v>833</v>
      </c>
      <c r="EO46" s="615" t="s">
        <v>833</v>
      </c>
      <c r="EP46" s="615" t="s">
        <v>833</v>
      </c>
      <c r="EQ46" s="615" t="s">
        <v>833</v>
      </c>
      <c r="ER46" s="615" t="s">
        <v>833</v>
      </c>
      <c r="ES46" s="615" t="s">
        <v>833</v>
      </c>
      <c r="ET46" s="615" t="s">
        <v>833</v>
      </c>
      <c r="EU46" s="615" t="s">
        <v>833</v>
      </c>
      <c r="EV46" s="615" t="s">
        <v>833</v>
      </c>
      <c r="EW46" s="615" t="s">
        <v>833</v>
      </c>
      <c r="EX46" s="615">
        <v>3670</v>
      </c>
      <c r="EY46" s="615">
        <v>3820</v>
      </c>
      <c r="EZ46" s="615" t="s">
        <v>1206</v>
      </c>
      <c r="FA46" s="615" t="s">
        <v>1206</v>
      </c>
      <c r="FB46" s="615" t="s">
        <v>1206</v>
      </c>
      <c r="FC46" s="615" t="s">
        <v>1206</v>
      </c>
      <c r="FD46" s="615" t="s">
        <v>1206</v>
      </c>
      <c r="FE46" s="615" t="s">
        <v>1206</v>
      </c>
      <c r="FF46" s="615" t="s">
        <v>1206</v>
      </c>
      <c r="FG46" s="615" t="s">
        <v>1206</v>
      </c>
      <c r="FH46" s="615" t="s">
        <v>1206</v>
      </c>
      <c r="FI46" s="615" t="s">
        <v>1206</v>
      </c>
      <c r="FJ46" s="615" t="s">
        <v>1206</v>
      </c>
      <c r="FK46" s="615" t="s">
        <v>1206</v>
      </c>
      <c r="FL46" s="615">
        <v>72</v>
      </c>
      <c r="FM46" s="615">
        <v>71</v>
      </c>
      <c r="FN46" s="615">
        <v>71</v>
      </c>
      <c r="FO46" s="615">
        <v>72</v>
      </c>
      <c r="FP46" s="615">
        <v>72</v>
      </c>
      <c r="FQ46" s="615">
        <v>74</v>
      </c>
      <c r="FR46" s="615">
        <v>74</v>
      </c>
      <c r="FS46" s="615">
        <v>73</v>
      </c>
      <c r="FT46" s="615">
        <v>73</v>
      </c>
      <c r="FU46" s="615">
        <v>73</v>
      </c>
      <c r="FV46" s="615">
        <v>48</v>
      </c>
      <c r="FW46" s="615">
        <v>49</v>
      </c>
      <c r="FX46" s="615">
        <v>49</v>
      </c>
      <c r="FY46" s="615">
        <v>48</v>
      </c>
      <c r="FZ46" s="615">
        <v>48</v>
      </c>
      <c r="GA46" s="615">
        <v>48</v>
      </c>
      <c r="GB46" s="615">
        <v>48</v>
      </c>
      <c r="GC46" s="615">
        <v>50</v>
      </c>
      <c r="GD46" s="615">
        <v>50</v>
      </c>
      <c r="GE46" s="615">
        <v>50</v>
      </c>
      <c r="GF46" s="615">
        <v>18350</v>
      </c>
      <c r="GG46" s="615" t="s">
        <v>1206</v>
      </c>
      <c r="GH46" s="615" t="s">
        <v>1206</v>
      </c>
      <c r="GI46" s="615" t="s">
        <v>1206</v>
      </c>
      <c r="GJ46" s="615" t="s">
        <v>1206</v>
      </c>
      <c r="GK46" s="615" t="s">
        <v>1206</v>
      </c>
      <c r="GL46" s="615" t="s">
        <v>1206</v>
      </c>
      <c r="GM46" s="615" t="s">
        <v>1206</v>
      </c>
      <c r="GN46" s="615" t="s">
        <v>1206</v>
      </c>
      <c r="GO46" s="615" t="s">
        <v>1206</v>
      </c>
      <c r="GP46" s="615" t="s">
        <v>1206</v>
      </c>
      <c r="GQ46" s="615" t="s">
        <v>1206</v>
      </c>
      <c r="GR46" s="615" t="s">
        <v>1206</v>
      </c>
      <c r="GS46" s="615">
        <v>0</v>
      </c>
      <c r="GT46" s="615">
        <v>0</v>
      </c>
      <c r="GU46" s="615">
        <v>0</v>
      </c>
      <c r="GV46" s="615">
        <v>0</v>
      </c>
      <c r="GW46" s="615">
        <v>0</v>
      </c>
      <c r="GX46" s="615">
        <v>0</v>
      </c>
      <c r="GY46" s="615">
        <v>0</v>
      </c>
      <c r="GZ46" s="615">
        <v>0</v>
      </c>
      <c r="HA46" s="615">
        <v>0</v>
      </c>
      <c r="HB46" s="615">
        <v>0</v>
      </c>
      <c r="HC46" s="615" t="s">
        <v>629</v>
      </c>
      <c r="HD46" s="615" t="s">
        <v>629</v>
      </c>
      <c r="HE46" s="615" t="s">
        <v>629</v>
      </c>
      <c r="HF46" s="615" t="s">
        <v>629</v>
      </c>
      <c r="HG46" s="615" t="s">
        <v>629</v>
      </c>
      <c r="HH46" s="615" t="s">
        <v>629</v>
      </c>
      <c r="HI46" s="615" t="s">
        <v>629</v>
      </c>
      <c r="HJ46" s="615" t="s">
        <v>629</v>
      </c>
      <c r="HK46" s="615" t="s">
        <v>629</v>
      </c>
      <c r="HL46" s="615" t="s">
        <v>629</v>
      </c>
      <c r="HM46" s="615" t="s">
        <v>629</v>
      </c>
      <c r="HN46" s="615" t="s">
        <v>629</v>
      </c>
      <c r="HO46" s="611" t="str">
        <f t="shared" si="13"/>
        <v/>
      </c>
      <c r="HP46" s="611" t="str">
        <f t="shared" si="14"/>
        <v/>
      </c>
      <c r="HQ46" s="611" t="str">
        <f t="shared" si="15"/>
        <v/>
      </c>
      <c r="HR46" s="611" t="str">
        <f t="shared" si="16"/>
        <v/>
      </c>
      <c r="HS46" s="611" t="str">
        <f t="shared" si="17"/>
        <v/>
      </c>
      <c r="HT46" s="611" t="str">
        <f t="shared" si="18"/>
        <v/>
      </c>
      <c r="HU46" s="611" t="str">
        <f t="shared" si="19"/>
        <v/>
      </c>
      <c r="HV46" s="611" t="str">
        <f t="shared" si="20"/>
        <v/>
      </c>
      <c r="HW46" s="611" t="str">
        <f t="shared" si="21"/>
        <v/>
      </c>
      <c r="HX46" s="611" t="str">
        <f t="shared" si="22"/>
        <v/>
      </c>
      <c r="HY46" s="611" t="str">
        <f t="shared" si="23"/>
        <v/>
      </c>
      <c r="HZ46" s="611" t="str">
        <f t="shared" si="24"/>
        <v/>
      </c>
      <c r="IA46" s="619" t="s">
        <v>1295</v>
      </c>
    </row>
    <row r="47" spans="2:235">
      <c r="B47" s="625">
        <v>43</v>
      </c>
      <c r="C47" s="626">
        <v>243</v>
      </c>
      <c r="D47" s="627" t="s">
        <v>1163</v>
      </c>
      <c r="E47" s="612" t="s">
        <v>13</v>
      </c>
      <c r="F47" s="612">
        <v>100</v>
      </c>
      <c r="G47" s="612">
        <v>80</v>
      </c>
      <c r="H47" s="612">
        <v>20</v>
      </c>
      <c r="I47" s="612">
        <v>0</v>
      </c>
      <c r="J47" s="612"/>
      <c r="K47" s="612"/>
      <c r="L47" s="612"/>
      <c r="M47" s="612"/>
      <c r="N47" s="612"/>
      <c r="O47" s="612"/>
      <c r="P47" s="612"/>
      <c r="Q47" s="612"/>
      <c r="R47" s="612"/>
      <c r="S47" s="612"/>
      <c r="T47" s="612"/>
      <c r="U47" s="612"/>
      <c r="V47" s="612"/>
      <c r="W47" s="612"/>
      <c r="X47" s="612"/>
      <c r="Y47" s="612"/>
      <c r="Z47" s="612"/>
      <c r="AA47" s="612"/>
      <c r="AB47" s="612"/>
      <c r="AC47" s="612"/>
      <c r="AD47" s="612"/>
      <c r="AE47" s="612"/>
      <c r="AF47" s="612"/>
      <c r="AG47" s="612"/>
      <c r="AH47" s="612"/>
      <c r="AI47" s="612"/>
      <c r="AJ47" s="612"/>
      <c r="AK47" s="612"/>
      <c r="AL47" s="612"/>
      <c r="AM47" s="613"/>
      <c r="AN47" s="613"/>
      <c r="AO47" s="613"/>
      <c r="AP47" s="612"/>
      <c r="AQ47" s="612" t="s">
        <v>11</v>
      </c>
      <c r="AR47" s="615" t="s">
        <v>629</v>
      </c>
      <c r="AS47" s="615" t="s">
        <v>629</v>
      </c>
      <c r="AT47" s="615" t="s">
        <v>629</v>
      </c>
      <c r="AU47" s="615" t="s">
        <v>629</v>
      </c>
      <c r="AV47" s="615" t="s">
        <v>629</v>
      </c>
      <c r="AW47" s="615" t="s">
        <v>629</v>
      </c>
      <c r="AX47" s="615" t="s">
        <v>629</v>
      </c>
      <c r="AY47" s="615" t="s">
        <v>629</v>
      </c>
      <c r="AZ47" s="615" t="s">
        <v>629</v>
      </c>
      <c r="BA47" s="615" t="s">
        <v>629</v>
      </c>
      <c r="BB47" s="615" t="s">
        <v>629</v>
      </c>
      <c r="BC47" s="615" t="s">
        <v>629</v>
      </c>
      <c r="BD47" s="615" t="s">
        <v>629</v>
      </c>
      <c r="BE47" s="615" t="s">
        <v>629</v>
      </c>
      <c r="BF47" s="615" t="s">
        <v>629</v>
      </c>
      <c r="BG47" s="615" t="s">
        <v>629</v>
      </c>
      <c r="BH47" s="615" t="s">
        <v>629</v>
      </c>
      <c r="BI47" s="615" t="s">
        <v>629</v>
      </c>
      <c r="BJ47" s="615" t="s">
        <v>629</v>
      </c>
      <c r="BK47" s="615" t="s">
        <v>629</v>
      </c>
      <c r="BL47" s="615" t="s">
        <v>629</v>
      </c>
      <c r="BM47" s="615" t="s">
        <v>629</v>
      </c>
      <c r="BN47" s="615" t="s">
        <v>629</v>
      </c>
      <c r="BO47" s="615" t="s">
        <v>629</v>
      </c>
      <c r="BP47" s="615">
        <v>0</v>
      </c>
      <c r="BQ47" s="615">
        <v>0</v>
      </c>
      <c r="BR47" s="615">
        <v>0</v>
      </c>
      <c r="BS47" s="615">
        <v>0</v>
      </c>
      <c r="BT47" s="615">
        <v>0</v>
      </c>
      <c r="BU47" s="615">
        <v>0</v>
      </c>
      <c r="BV47" s="615">
        <v>0</v>
      </c>
      <c r="BW47" s="615">
        <v>0</v>
      </c>
      <c r="BX47" s="615">
        <v>0</v>
      </c>
      <c r="BY47" s="615">
        <v>0</v>
      </c>
      <c r="BZ47" s="615">
        <v>0</v>
      </c>
      <c r="CA47" s="615">
        <v>0</v>
      </c>
      <c r="CB47" s="615">
        <v>0</v>
      </c>
      <c r="CC47" s="615">
        <v>0</v>
      </c>
      <c r="CD47" s="615">
        <v>0</v>
      </c>
      <c r="CE47" s="615">
        <v>0</v>
      </c>
      <c r="CF47" s="615">
        <v>0</v>
      </c>
      <c r="CG47" s="615">
        <v>0</v>
      </c>
      <c r="CH47" s="615">
        <v>0</v>
      </c>
      <c r="CI47" s="615">
        <v>0</v>
      </c>
      <c r="CJ47" s="615">
        <v>0</v>
      </c>
      <c r="CK47" s="615">
        <v>0</v>
      </c>
      <c r="CL47" s="615">
        <v>0</v>
      </c>
      <c r="CM47" s="615">
        <v>0</v>
      </c>
      <c r="CN47" s="615">
        <v>0</v>
      </c>
      <c r="CO47" s="615">
        <v>0</v>
      </c>
      <c r="CP47" s="615">
        <v>0</v>
      </c>
      <c r="CQ47" s="615">
        <v>0</v>
      </c>
      <c r="CR47" s="615">
        <v>0</v>
      </c>
      <c r="CS47" s="615">
        <v>0</v>
      </c>
      <c r="CT47" s="615">
        <v>0</v>
      </c>
      <c r="CU47" s="615">
        <v>0</v>
      </c>
      <c r="CV47" s="615">
        <v>0</v>
      </c>
      <c r="CW47" s="615">
        <v>0</v>
      </c>
      <c r="CX47" s="615">
        <v>0</v>
      </c>
      <c r="CY47" s="615">
        <v>0</v>
      </c>
      <c r="CZ47" s="615" t="s">
        <v>1049</v>
      </c>
      <c r="DA47" s="615">
        <v>1</v>
      </c>
      <c r="DB47" s="617"/>
      <c r="DC47" s="617"/>
      <c r="DD47" s="617"/>
      <c r="DE47" s="617"/>
      <c r="DF47" s="617"/>
      <c r="DG47" s="617"/>
      <c r="DH47" s="617"/>
      <c r="DI47" s="617"/>
      <c r="DJ47" s="617"/>
      <c r="DK47" s="617"/>
      <c r="DL47" s="617"/>
      <c r="DM47" s="617"/>
      <c r="DN47" s="617"/>
      <c r="DO47" s="617"/>
      <c r="DP47" s="617"/>
      <c r="DQ47" s="617"/>
      <c r="DR47" s="617"/>
      <c r="DS47" s="617"/>
      <c r="DT47" s="617"/>
      <c r="DU47" s="617"/>
      <c r="DV47" s="617"/>
      <c r="DW47" s="617"/>
      <c r="DX47" s="617"/>
      <c r="DY47" s="617"/>
      <c r="DZ47" s="617"/>
      <c r="EA47" s="617"/>
      <c r="EB47" s="617"/>
      <c r="EC47" s="617"/>
      <c r="ED47" s="617"/>
      <c r="EE47" s="617"/>
      <c r="EF47" s="617"/>
      <c r="EG47" s="617"/>
      <c r="EH47" s="617"/>
      <c r="EI47" s="617"/>
      <c r="EJ47" s="617"/>
      <c r="EK47" s="617"/>
      <c r="EL47" s="615" t="s">
        <v>833</v>
      </c>
      <c r="EM47" s="615" t="s">
        <v>833</v>
      </c>
      <c r="EN47" s="615" t="s">
        <v>833</v>
      </c>
      <c r="EO47" s="615" t="s">
        <v>833</v>
      </c>
      <c r="EP47" s="615" t="s">
        <v>833</v>
      </c>
      <c r="EQ47" s="615" t="s">
        <v>833</v>
      </c>
      <c r="ER47" s="615" t="s">
        <v>833</v>
      </c>
      <c r="ES47" s="615" t="s">
        <v>833</v>
      </c>
      <c r="ET47" s="615" t="s">
        <v>833</v>
      </c>
      <c r="EU47" s="615" t="s">
        <v>833</v>
      </c>
      <c r="EV47" s="615" t="s">
        <v>833</v>
      </c>
      <c r="EW47" s="615" t="s">
        <v>833</v>
      </c>
      <c r="EX47" s="615">
        <v>3670</v>
      </c>
      <c r="EY47" s="615">
        <v>3820</v>
      </c>
      <c r="EZ47" s="615" t="s">
        <v>1206</v>
      </c>
      <c r="FA47" s="615" t="s">
        <v>1206</v>
      </c>
      <c r="FB47" s="615" t="s">
        <v>1206</v>
      </c>
      <c r="FC47" s="615" t="s">
        <v>1206</v>
      </c>
      <c r="FD47" s="615" t="s">
        <v>1206</v>
      </c>
      <c r="FE47" s="615" t="s">
        <v>1206</v>
      </c>
      <c r="FF47" s="615" t="s">
        <v>1206</v>
      </c>
      <c r="FG47" s="615" t="s">
        <v>1206</v>
      </c>
      <c r="FH47" s="615" t="s">
        <v>1206</v>
      </c>
      <c r="FI47" s="615" t="s">
        <v>1206</v>
      </c>
      <c r="FJ47" s="615" t="s">
        <v>1206</v>
      </c>
      <c r="FK47" s="615" t="s">
        <v>1206</v>
      </c>
      <c r="FL47" s="615">
        <v>49</v>
      </c>
      <c r="FM47" s="615">
        <v>49</v>
      </c>
      <c r="FN47" s="615">
        <v>49</v>
      </c>
      <c r="FO47" s="615">
        <v>49</v>
      </c>
      <c r="FP47" s="615">
        <v>49</v>
      </c>
      <c r="FQ47" s="615">
        <v>50</v>
      </c>
      <c r="FR47" s="615">
        <v>50</v>
      </c>
      <c r="FS47" s="615">
        <v>50</v>
      </c>
      <c r="FT47" s="615">
        <v>50</v>
      </c>
      <c r="FU47" s="615">
        <v>50</v>
      </c>
      <c r="FV47" s="615">
        <v>16</v>
      </c>
      <c r="FW47" s="615">
        <v>16</v>
      </c>
      <c r="FX47" s="615">
        <v>16</v>
      </c>
      <c r="FY47" s="615">
        <v>16</v>
      </c>
      <c r="FZ47" s="615">
        <v>16</v>
      </c>
      <c r="GA47" s="615">
        <v>16</v>
      </c>
      <c r="GB47" s="615">
        <v>16</v>
      </c>
      <c r="GC47" s="615">
        <v>16</v>
      </c>
      <c r="GD47" s="615">
        <v>16</v>
      </c>
      <c r="GE47" s="615">
        <v>16</v>
      </c>
      <c r="GF47" s="615">
        <v>18350</v>
      </c>
      <c r="GG47" s="615" t="s">
        <v>1206</v>
      </c>
      <c r="GH47" s="615" t="s">
        <v>1206</v>
      </c>
      <c r="GI47" s="615" t="s">
        <v>1206</v>
      </c>
      <c r="GJ47" s="615" t="s">
        <v>1206</v>
      </c>
      <c r="GK47" s="615" t="s">
        <v>1206</v>
      </c>
      <c r="GL47" s="615" t="s">
        <v>1206</v>
      </c>
      <c r="GM47" s="615" t="s">
        <v>1206</v>
      </c>
      <c r="GN47" s="615" t="s">
        <v>1206</v>
      </c>
      <c r="GO47" s="615" t="s">
        <v>1206</v>
      </c>
      <c r="GP47" s="615" t="s">
        <v>1206</v>
      </c>
      <c r="GQ47" s="615" t="s">
        <v>1206</v>
      </c>
      <c r="GR47" s="615" t="s">
        <v>1206</v>
      </c>
      <c r="GS47" s="615">
        <v>0</v>
      </c>
      <c r="GT47" s="615">
        <v>0</v>
      </c>
      <c r="GU47" s="615">
        <v>0</v>
      </c>
      <c r="GV47" s="615">
        <v>0</v>
      </c>
      <c r="GW47" s="615">
        <v>0</v>
      </c>
      <c r="GX47" s="615">
        <v>0</v>
      </c>
      <c r="GY47" s="615">
        <v>0</v>
      </c>
      <c r="GZ47" s="615">
        <v>0</v>
      </c>
      <c r="HA47" s="615">
        <v>0</v>
      </c>
      <c r="HB47" s="615">
        <v>0</v>
      </c>
      <c r="HC47" s="615" t="s">
        <v>629</v>
      </c>
      <c r="HD47" s="615" t="s">
        <v>629</v>
      </c>
      <c r="HE47" s="615" t="s">
        <v>629</v>
      </c>
      <c r="HF47" s="615" t="s">
        <v>629</v>
      </c>
      <c r="HG47" s="615" t="s">
        <v>629</v>
      </c>
      <c r="HH47" s="615" t="s">
        <v>629</v>
      </c>
      <c r="HI47" s="615" t="s">
        <v>629</v>
      </c>
      <c r="HJ47" s="615" t="s">
        <v>629</v>
      </c>
      <c r="HK47" s="615" t="s">
        <v>629</v>
      </c>
      <c r="HL47" s="615" t="s">
        <v>629</v>
      </c>
      <c r="HM47" s="615" t="s">
        <v>629</v>
      </c>
      <c r="HN47" s="615" t="s">
        <v>629</v>
      </c>
      <c r="HO47" s="611" t="str">
        <f t="shared" si="13"/>
        <v/>
      </c>
      <c r="HP47" s="611" t="str">
        <f t="shared" si="14"/>
        <v/>
      </c>
      <c r="HQ47" s="611" t="str">
        <f t="shared" si="15"/>
        <v/>
      </c>
      <c r="HR47" s="611" t="str">
        <f t="shared" si="16"/>
        <v/>
      </c>
      <c r="HS47" s="611" t="str">
        <f t="shared" si="17"/>
        <v/>
      </c>
      <c r="HT47" s="611" t="str">
        <f t="shared" si="18"/>
        <v/>
      </c>
      <c r="HU47" s="611" t="str">
        <f t="shared" si="19"/>
        <v/>
      </c>
      <c r="HV47" s="611" t="str">
        <f t="shared" si="20"/>
        <v/>
      </c>
      <c r="HW47" s="611" t="str">
        <f t="shared" si="21"/>
        <v/>
      </c>
      <c r="HX47" s="611" t="str">
        <f t="shared" si="22"/>
        <v/>
      </c>
      <c r="HY47" s="611" t="str">
        <f t="shared" si="23"/>
        <v/>
      </c>
      <c r="HZ47" s="611" t="str">
        <f t="shared" si="24"/>
        <v/>
      </c>
      <c r="IA47" s="619" t="s">
        <v>1295</v>
      </c>
    </row>
    <row r="48" spans="2:235">
      <c r="B48" s="625">
        <v>44</v>
      </c>
      <c r="C48" s="626">
        <v>244</v>
      </c>
      <c r="D48" s="627" t="s">
        <v>1244</v>
      </c>
      <c r="E48" s="612" t="s">
        <v>13</v>
      </c>
      <c r="F48" s="612">
        <v>195</v>
      </c>
      <c r="G48" s="612">
        <v>100</v>
      </c>
      <c r="H48" s="612">
        <v>60</v>
      </c>
      <c r="I48" s="612">
        <v>35</v>
      </c>
      <c r="J48" s="612"/>
      <c r="K48" s="612"/>
      <c r="L48" s="612"/>
      <c r="M48" s="612"/>
      <c r="N48" s="612"/>
      <c r="O48" s="612"/>
      <c r="P48" s="612"/>
      <c r="Q48" s="612"/>
      <c r="R48" s="612"/>
      <c r="S48" s="612"/>
      <c r="T48" s="612"/>
      <c r="U48" s="612"/>
      <c r="V48" s="612"/>
      <c r="W48" s="612"/>
      <c r="X48" s="612"/>
      <c r="Y48" s="612"/>
      <c r="Z48" s="612"/>
      <c r="AA48" s="612"/>
      <c r="AB48" s="612"/>
      <c r="AC48" s="612"/>
      <c r="AD48" s="612"/>
      <c r="AE48" s="612"/>
      <c r="AF48" s="612"/>
      <c r="AG48" s="612"/>
      <c r="AH48" s="612"/>
      <c r="AI48" s="612"/>
      <c r="AJ48" s="612"/>
      <c r="AK48" s="612"/>
      <c r="AL48" s="612"/>
      <c r="AM48" s="613"/>
      <c r="AN48" s="613"/>
      <c r="AO48" s="613"/>
      <c r="AP48" s="612"/>
      <c r="AQ48" s="612" t="s">
        <v>11</v>
      </c>
      <c r="AR48" s="615" t="s">
        <v>629</v>
      </c>
      <c r="AS48" s="615" t="s">
        <v>629</v>
      </c>
      <c r="AT48" s="615" t="s">
        <v>629</v>
      </c>
      <c r="AU48" s="615" t="s">
        <v>629</v>
      </c>
      <c r="AV48" s="615" t="s">
        <v>629</v>
      </c>
      <c r="AW48" s="615" t="s">
        <v>629</v>
      </c>
      <c r="AX48" s="615" t="s">
        <v>629</v>
      </c>
      <c r="AY48" s="615" t="s">
        <v>629</v>
      </c>
      <c r="AZ48" s="615" t="s">
        <v>629</v>
      </c>
      <c r="BA48" s="615" t="s">
        <v>629</v>
      </c>
      <c r="BB48" s="615" t="s">
        <v>629</v>
      </c>
      <c r="BC48" s="615" t="s">
        <v>629</v>
      </c>
      <c r="BD48" s="615" t="s">
        <v>629</v>
      </c>
      <c r="BE48" s="615" t="s">
        <v>629</v>
      </c>
      <c r="BF48" s="615" t="s">
        <v>629</v>
      </c>
      <c r="BG48" s="615" t="s">
        <v>629</v>
      </c>
      <c r="BH48" s="615" t="s">
        <v>629</v>
      </c>
      <c r="BI48" s="615" t="s">
        <v>629</v>
      </c>
      <c r="BJ48" s="615" t="s">
        <v>629</v>
      </c>
      <c r="BK48" s="615" t="s">
        <v>629</v>
      </c>
      <c r="BL48" s="615" t="s">
        <v>629</v>
      </c>
      <c r="BM48" s="615" t="s">
        <v>629</v>
      </c>
      <c r="BN48" s="615" t="s">
        <v>629</v>
      </c>
      <c r="BO48" s="615" t="s">
        <v>629</v>
      </c>
      <c r="BP48" s="615">
        <v>0</v>
      </c>
      <c r="BQ48" s="615">
        <v>0</v>
      </c>
      <c r="BR48" s="615">
        <v>0</v>
      </c>
      <c r="BS48" s="615">
        <v>0</v>
      </c>
      <c r="BT48" s="615">
        <v>0</v>
      </c>
      <c r="BU48" s="615">
        <v>0</v>
      </c>
      <c r="BV48" s="615">
        <v>0</v>
      </c>
      <c r="BW48" s="615">
        <v>0</v>
      </c>
      <c r="BX48" s="615">
        <v>0</v>
      </c>
      <c r="BY48" s="615">
        <v>0</v>
      </c>
      <c r="BZ48" s="615">
        <v>0</v>
      </c>
      <c r="CA48" s="615">
        <v>0</v>
      </c>
      <c r="CB48" s="615">
        <v>0</v>
      </c>
      <c r="CC48" s="615">
        <v>0</v>
      </c>
      <c r="CD48" s="615">
        <v>0</v>
      </c>
      <c r="CE48" s="615">
        <v>0</v>
      </c>
      <c r="CF48" s="615">
        <v>0</v>
      </c>
      <c r="CG48" s="615">
        <v>0</v>
      </c>
      <c r="CH48" s="615">
        <v>0</v>
      </c>
      <c r="CI48" s="615">
        <v>0</v>
      </c>
      <c r="CJ48" s="615">
        <v>0</v>
      </c>
      <c r="CK48" s="615">
        <v>0</v>
      </c>
      <c r="CL48" s="615">
        <v>0</v>
      </c>
      <c r="CM48" s="615">
        <v>0</v>
      </c>
      <c r="CN48" s="615">
        <v>0</v>
      </c>
      <c r="CO48" s="615">
        <v>0</v>
      </c>
      <c r="CP48" s="615">
        <v>0</v>
      </c>
      <c r="CQ48" s="615">
        <v>0</v>
      </c>
      <c r="CR48" s="615">
        <v>0</v>
      </c>
      <c r="CS48" s="615">
        <v>0</v>
      </c>
      <c r="CT48" s="615">
        <v>0</v>
      </c>
      <c r="CU48" s="615">
        <v>0</v>
      </c>
      <c r="CV48" s="615">
        <v>0</v>
      </c>
      <c r="CW48" s="615">
        <v>0</v>
      </c>
      <c r="CX48" s="615">
        <v>0</v>
      </c>
      <c r="CY48" s="615">
        <v>0</v>
      </c>
      <c r="CZ48" s="615" t="s">
        <v>1049</v>
      </c>
      <c r="DA48" s="615">
        <v>0</v>
      </c>
      <c r="DB48" s="617"/>
      <c r="DC48" s="617"/>
      <c r="DD48" s="617"/>
      <c r="DE48" s="617"/>
      <c r="DF48" s="617"/>
      <c r="DG48" s="617"/>
      <c r="DH48" s="617"/>
      <c r="DI48" s="617"/>
      <c r="DJ48" s="617"/>
      <c r="DK48" s="617"/>
      <c r="DL48" s="617"/>
      <c r="DM48" s="617"/>
      <c r="DN48" s="617"/>
      <c r="DO48" s="617"/>
      <c r="DP48" s="617"/>
      <c r="DQ48" s="617"/>
      <c r="DR48" s="617"/>
      <c r="DS48" s="617"/>
      <c r="DT48" s="617"/>
      <c r="DU48" s="617"/>
      <c r="DV48" s="617"/>
      <c r="DW48" s="617"/>
      <c r="DX48" s="617"/>
      <c r="DY48" s="617"/>
      <c r="DZ48" s="617"/>
      <c r="EA48" s="617"/>
      <c r="EB48" s="617"/>
      <c r="EC48" s="617"/>
      <c r="ED48" s="617"/>
      <c r="EE48" s="617"/>
      <c r="EF48" s="617"/>
      <c r="EG48" s="617"/>
      <c r="EH48" s="617"/>
      <c r="EI48" s="617"/>
      <c r="EJ48" s="617"/>
      <c r="EK48" s="617"/>
      <c r="EL48" s="615" t="s">
        <v>833</v>
      </c>
      <c r="EM48" s="615" t="s">
        <v>833</v>
      </c>
      <c r="EN48" s="615" t="s">
        <v>833</v>
      </c>
      <c r="EO48" s="615" t="s">
        <v>833</v>
      </c>
      <c r="EP48" s="615" t="s">
        <v>833</v>
      </c>
      <c r="EQ48" s="615" t="s">
        <v>833</v>
      </c>
      <c r="ER48" s="615" t="s">
        <v>833</v>
      </c>
      <c r="ES48" s="615" t="s">
        <v>833</v>
      </c>
      <c r="ET48" s="615" t="s">
        <v>833</v>
      </c>
      <c r="EU48" s="615" t="s">
        <v>833</v>
      </c>
      <c r="EV48" s="615" t="s">
        <v>833</v>
      </c>
      <c r="EW48" s="615" t="s">
        <v>833</v>
      </c>
      <c r="EX48" s="615">
        <v>3670</v>
      </c>
      <c r="EY48" s="615">
        <v>3820</v>
      </c>
      <c r="EZ48" s="615" t="s">
        <v>1206</v>
      </c>
      <c r="FA48" s="615" t="s">
        <v>1206</v>
      </c>
      <c r="FB48" s="615" t="s">
        <v>1206</v>
      </c>
      <c r="FC48" s="615" t="s">
        <v>1206</v>
      </c>
      <c r="FD48" s="615" t="s">
        <v>1206</v>
      </c>
      <c r="FE48" s="615" t="s">
        <v>1206</v>
      </c>
      <c r="FF48" s="615" t="s">
        <v>1206</v>
      </c>
      <c r="FG48" s="615" t="s">
        <v>1206</v>
      </c>
      <c r="FH48" s="615" t="s">
        <v>1206</v>
      </c>
      <c r="FI48" s="615" t="s">
        <v>1206</v>
      </c>
      <c r="FJ48" s="615" t="s">
        <v>1206</v>
      </c>
      <c r="FK48" s="615" t="s">
        <v>1206</v>
      </c>
      <c r="FL48" s="615">
        <v>70</v>
      </c>
      <c r="FM48" s="615">
        <v>69</v>
      </c>
      <c r="FN48" s="615">
        <v>69</v>
      </c>
      <c r="FO48" s="615">
        <v>70</v>
      </c>
      <c r="FP48" s="615">
        <v>70</v>
      </c>
      <c r="FQ48" s="615">
        <v>70</v>
      </c>
      <c r="FR48" s="615">
        <v>71</v>
      </c>
      <c r="FS48" s="615">
        <v>70</v>
      </c>
      <c r="FT48" s="615">
        <v>70</v>
      </c>
      <c r="FU48" s="615">
        <v>70</v>
      </c>
      <c r="FV48" s="615">
        <v>37</v>
      </c>
      <c r="FW48" s="615">
        <v>38</v>
      </c>
      <c r="FX48" s="615">
        <v>38</v>
      </c>
      <c r="FY48" s="615">
        <v>39</v>
      </c>
      <c r="FZ48" s="615">
        <v>39</v>
      </c>
      <c r="GA48" s="615">
        <v>39</v>
      </c>
      <c r="GB48" s="615">
        <v>39</v>
      </c>
      <c r="GC48" s="615">
        <v>40</v>
      </c>
      <c r="GD48" s="615">
        <v>40</v>
      </c>
      <c r="GE48" s="615">
        <v>40</v>
      </c>
      <c r="GF48" s="615">
        <v>18350</v>
      </c>
      <c r="GG48" s="615" t="s">
        <v>833</v>
      </c>
      <c r="GH48" s="615" t="s">
        <v>833</v>
      </c>
      <c r="GI48" s="615" t="s">
        <v>833</v>
      </c>
      <c r="GJ48" s="615" t="s">
        <v>833</v>
      </c>
      <c r="GK48" s="615" t="s">
        <v>833</v>
      </c>
      <c r="GL48" s="615" t="s">
        <v>833</v>
      </c>
      <c r="GM48" s="615" t="s">
        <v>833</v>
      </c>
      <c r="GN48" s="615" t="s">
        <v>833</v>
      </c>
      <c r="GO48" s="615" t="s">
        <v>833</v>
      </c>
      <c r="GP48" s="615" t="s">
        <v>833</v>
      </c>
      <c r="GQ48" s="615" t="s">
        <v>833</v>
      </c>
      <c r="GR48" s="615" t="s">
        <v>833</v>
      </c>
      <c r="GS48" s="615">
        <v>5</v>
      </c>
      <c r="GT48" s="615">
        <v>5</v>
      </c>
      <c r="GU48" s="615">
        <v>5</v>
      </c>
      <c r="GV48" s="615">
        <v>5</v>
      </c>
      <c r="GW48" s="615">
        <v>5</v>
      </c>
      <c r="GX48" s="615">
        <v>5</v>
      </c>
      <c r="GY48" s="615">
        <v>5</v>
      </c>
      <c r="GZ48" s="615">
        <v>5</v>
      </c>
      <c r="HA48" s="615">
        <v>5</v>
      </c>
      <c r="HB48" s="615">
        <v>5</v>
      </c>
      <c r="HC48" s="615" t="s">
        <v>1208</v>
      </c>
      <c r="HD48" s="615" t="s">
        <v>1208</v>
      </c>
      <c r="HE48" s="615" t="s">
        <v>1208</v>
      </c>
      <c r="HF48" s="615" t="s">
        <v>1208</v>
      </c>
      <c r="HG48" s="615" t="s">
        <v>1208</v>
      </c>
      <c r="HH48" s="615" t="s">
        <v>1208</v>
      </c>
      <c r="HI48" s="615" t="s">
        <v>1208</v>
      </c>
      <c r="HJ48" s="615" t="s">
        <v>1208</v>
      </c>
      <c r="HK48" s="615" t="s">
        <v>1208</v>
      </c>
      <c r="HL48" s="615" t="s">
        <v>1208</v>
      </c>
      <c r="HM48" s="615" t="s">
        <v>1208</v>
      </c>
      <c r="HN48" s="615" t="s">
        <v>1208</v>
      </c>
      <c r="HO48" s="611" t="str">
        <f t="shared" ref="HO48:HO58" si="25">IF(HC48="配置",$HO$3,"")</f>
        <v/>
      </c>
      <c r="HP48" s="611" t="str">
        <f t="shared" ref="HP48:HP58" si="26">IF(HD48="配置",$HO$3,"")</f>
        <v/>
      </c>
      <c r="HQ48" s="611" t="str">
        <f t="shared" ref="HQ48:HQ58" si="27">IF(HE48="配置",$HO$3,"")</f>
        <v/>
      </c>
      <c r="HR48" s="611" t="str">
        <f t="shared" ref="HR48:HR58" si="28">IF(HF48="配置",$HO$3,"")</f>
        <v/>
      </c>
      <c r="HS48" s="611" t="str">
        <f t="shared" ref="HS48:HS58" si="29">IF(HG48="配置",$HO$3,"")</f>
        <v/>
      </c>
      <c r="HT48" s="611" t="str">
        <f t="shared" ref="HT48:HT58" si="30">IF(HH48="配置",$HO$3,"")</f>
        <v/>
      </c>
      <c r="HU48" s="611" t="str">
        <f t="shared" ref="HU48:HU58" si="31">IF(HI48="配置",$HO$3,"")</f>
        <v/>
      </c>
      <c r="HV48" s="611" t="str">
        <f t="shared" ref="HV48:HV58" si="32">IF(HJ48="配置",$HO$3,"")</f>
        <v/>
      </c>
      <c r="HW48" s="611" t="str">
        <f t="shared" ref="HW48:HW58" si="33">IF(HK48="配置",$HO$3,"")</f>
        <v/>
      </c>
      <c r="HX48" s="611" t="str">
        <f t="shared" ref="HX48:HX58" si="34">IF(HL48="配置",$HO$3,"")</f>
        <v/>
      </c>
      <c r="HY48" s="611" t="str">
        <f t="shared" ref="HY48:HY58" si="35">IF(HM48="配置",$HO$3,"")</f>
        <v/>
      </c>
      <c r="HZ48" s="611" t="str">
        <f t="shared" ref="HZ48:HZ58" si="36">IF(HN48="配置",$HO$3,"")</f>
        <v/>
      </c>
      <c r="IA48" s="619" t="s">
        <v>1295</v>
      </c>
    </row>
    <row r="49" spans="2:235">
      <c r="B49" s="625">
        <v>45</v>
      </c>
      <c r="C49" s="626">
        <v>245</v>
      </c>
      <c r="D49" s="627" t="s">
        <v>1246</v>
      </c>
      <c r="E49" s="612" t="s">
        <v>13</v>
      </c>
      <c r="F49" s="612">
        <v>200</v>
      </c>
      <c r="G49" s="612">
        <v>120</v>
      </c>
      <c r="H49" s="612">
        <v>55</v>
      </c>
      <c r="I49" s="612">
        <v>25</v>
      </c>
      <c r="J49" s="612"/>
      <c r="K49" s="612"/>
      <c r="L49" s="612"/>
      <c r="M49" s="612"/>
      <c r="N49" s="612"/>
      <c r="O49" s="612"/>
      <c r="P49" s="612"/>
      <c r="Q49" s="612"/>
      <c r="R49" s="612"/>
      <c r="S49" s="612"/>
      <c r="T49" s="612"/>
      <c r="U49" s="612"/>
      <c r="V49" s="612"/>
      <c r="W49" s="612"/>
      <c r="X49" s="612"/>
      <c r="Y49" s="612"/>
      <c r="Z49" s="612"/>
      <c r="AA49" s="612"/>
      <c r="AB49" s="612"/>
      <c r="AC49" s="612"/>
      <c r="AD49" s="612"/>
      <c r="AE49" s="612"/>
      <c r="AF49" s="612"/>
      <c r="AG49" s="612"/>
      <c r="AH49" s="612"/>
      <c r="AI49" s="612"/>
      <c r="AJ49" s="612"/>
      <c r="AK49" s="612"/>
      <c r="AL49" s="612"/>
      <c r="AM49" s="613"/>
      <c r="AN49" s="613"/>
      <c r="AO49" s="613"/>
      <c r="AP49" s="612"/>
      <c r="AQ49" s="612" t="s">
        <v>11</v>
      </c>
      <c r="AR49" s="615" t="s">
        <v>629</v>
      </c>
      <c r="AS49" s="615" t="s">
        <v>629</v>
      </c>
      <c r="AT49" s="615" t="s">
        <v>629</v>
      </c>
      <c r="AU49" s="615" t="s">
        <v>629</v>
      </c>
      <c r="AV49" s="615" t="s">
        <v>629</v>
      </c>
      <c r="AW49" s="615" t="s">
        <v>629</v>
      </c>
      <c r="AX49" s="615" t="s">
        <v>629</v>
      </c>
      <c r="AY49" s="615" t="s">
        <v>629</v>
      </c>
      <c r="AZ49" s="615" t="s">
        <v>629</v>
      </c>
      <c r="BA49" s="615" t="s">
        <v>629</v>
      </c>
      <c r="BB49" s="615" t="s">
        <v>629</v>
      </c>
      <c r="BC49" s="615" t="s">
        <v>629</v>
      </c>
      <c r="BD49" s="615" t="s">
        <v>629</v>
      </c>
      <c r="BE49" s="615" t="s">
        <v>629</v>
      </c>
      <c r="BF49" s="615" t="s">
        <v>629</v>
      </c>
      <c r="BG49" s="615" t="s">
        <v>629</v>
      </c>
      <c r="BH49" s="615" t="s">
        <v>629</v>
      </c>
      <c r="BI49" s="615" t="s">
        <v>629</v>
      </c>
      <c r="BJ49" s="615" t="s">
        <v>629</v>
      </c>
      <c r="BK49" s="615" t="s">
        <v>629</v>
      </c>
      <c r="BL49" s="615" t="s">
        <v>629</v>
      </c>
      <c r="BM49" s="615" t="s">
        <v>629</v>
      </c>
      <c r="BN49" s="615" t="s">
        <v>629</v>
      </c>
      <c r="BO49" s="615" t="s">
        <v>629</v>
      </c>
      <c r="BP49" s="615">
        <v>0</v>
      </c>
      <c r="BQ49" s="615">
        <v>0</v>
      </c>
      <c r="BR49" s="615">
        <v>0</v>
      </c>
      <c r="BS49" s="615">
        <v>0</v>
      </c>
      <c r="BT49" s="615">
        <v>0</v>
      </c>
      <c r="BU49" s="615">
        <v>0</v>
      </c>
      <c r="BV49" s="615">
        <v>0</v>
      </c>
      <c r="BW49" s="615">
        <v>0</v>
      </c>
      <c r="BX49" s="615">
        <v>0</v>
      </c>
      <c r="BY49" s="615">
        <v>0</v>
      </c>
      <c r="BZ49" s="615">
        <v>0</v>
      </c>
      <c r="CA49" s="615">
        <v>0</v>
      </c>
      <c r="CB49" s="615">
        <v>0</v>
      </c>
      <c r="CC49" s="615">
        <v>0</v>
      </c>
      <c r="CD49" s="615">
        <v>0</v>
      </c>
      <c r="CE49" s="615">
        <v>0</v>
      </c>
      <c r="CF49" s="615">
        <v>0</v>
      </c>
      <c r="CG49" s="615">
        <v>0</v>
      </c>
      <c r="CH49" s="615">
        <v>0</v>
      </c>
      <c r="CI49" s="615">
        <v>0</v>
      </c>
      <c r="CJ49" s="615">
        <v>0</v>
      </c>
      <c r="CK49" s="615">
        <v>0</v>
      </c>
      <c r="CL49" s="615">
        <v>0</v>
      </c>
      <c r="CM49" s="615">
        <v>0</v>
      </c>
      <c r="CN49" s="615">
        <v>0</v>
      </c>
      <c r="CO49" s="615">
        <v>0</v>
      </c>
      <c r="CP49" s="615">
        <v>0</v>
      </c>
      <c r="CQ49" s="615">
        <v>0</v>
      </c>
      <c r="CR49" s="615">
        <v>0</v>
      </c>
      <c r="CS49" s="615">
        <v>0</v>
      </c>
      <c r="CT49" s="615">
        <v>0</v>
      </c>
      <c r="CU49" s="615">
        <v>0</v>
      </c>
      <c r="CV49" s="615">
        <v>0</v>
      </c>
      <c r="CW49" s="615">
        <v>0</v>
      </c>
      <c r="CX49" s="615">
        <v>0</v>
      </c>
      <c r="CY49" s="615">
        <v>0</v>
      </c>
      <c r="CZ49" s="615" t="s">
        <v>1049</v>
      </c>
      <c r="DA49" s="615">
        <v>0</v>
      </c>
      <c r="DB49" s="617"/>
      <c r="DC49" s="617"/>
      <c r="DD49" s="617"/>
      <c r="DE49" s="617"/>
      <c r="DF49" s="617"/>
      <c r="DG49" s="617"/>
      <c r="DH49" s="617"/>
      <c r="DI49" s="617"/>
      <c r="DJ49" s="617"/>
      <c r="DK49" s="617"/>
      <c r="DL49" s="617"/>
      <c r="DM49" s="617"/>
      <c r="DN49" s="617"/>
      <c r="DO49" s="617"/>
      <c r="DP49" s="617"/>
      <c r="DQ49" s="617"/>
      <c r="DR49" s="617"/>
      <c r="DS49" s="617"/>
      <c r="DT49" s="617"/>
      <c r="DU49" s="617"/>
      <c r="DV49" s="617"/>
      <c r="DW49" s="617"/>
      <c r="DX49" s="617"/>
      <c r="DY49" s="617"/>
      <c r="DZ49" s="617"/>
      <c r="EA49" s="617"/>
      <c r="EB49" s="617"/>
      <c r="EC49" s="617"/>
      <c r="ED49" s="617"/>
      <c r="EE49" s="617"/>
      <c r="EF49" s="617"/>
      <c r="EG49" s="617"/>
      <c r="EH49" s="617"/>
      <c r="EI49" s="617"/>
      <c r="EJ49" s="617"/>
      <c r="EK49" s="617"/>
      <c r="EL49" s="615" t="s">
        <v>1206</v>
      </c>
      <c r="EM49" s="615" t="s">
        <v>1206</v>
      </c>
      <c r="EN49" s="615" t="s">
        <v>1206</v>
      </c>
      <c r="EO49" s="615" t="s">
        <v>1206</v>
      </c>
      <c r="EP49" s="615" t="s">
        <v>1206</v>
      </c>
      <c r="EQ49" s="615" t="s">
        <v>1206</v>
      </c>
      <c r="ER49" s="615" t="s">
        <v>1206</v>
      </c>
      <c r="ES49" s="615" t="s">
        <v>1206</v>
      </c>
      <c r="ET49" s="615" t="s">
        <v>1206</v>
      </c>
      <c r="EU49" s="615" t="s">
        <v>1206</v>
      </c>
      <c r="EV49" s="615" t="s">
        <v>1206</v>
      </c>
      <c r="EW49" s="615" t="s">
        <v>1206</v>
      </c>
      <c r="EX49" s="615">
        <v>3670</v>
      </c>
      <c r="EY49" s="615">
        <v>3820</v>
      </c>
      <c r="EZ49" s="615" t="s">
        <v>1206</v>
      </c>
      <c r="FA49" s="615" t="s">
        <v>1206</v>
      </c>
      <c r="FB49" s="615" t="s">
        <v>1206</v>
      </c>
      <c r="FC49" s="615" t="s">
        <v>1206</v>
      </c>
      <c r="FD49" s="615" t="s">
        <v>1206</v>
      </c>
      <c r="FE49" s="615" t="s">
        <v>1206</v>
      </c>
      <c r="FF49" s="615" t="s">
        <v>1206</v>
      </c>
      <c r="FG49" s="615" t="s">
        <v>1206</v>
      </c>
      <c r="FH49" s="615" t="s">
        <v>1206</v>
      </c>
      <c r="FI49" s="615" t="s">
        <v>1206</v>
      </c>
      <c r="FJ49" s="615" t="s">
        <v>1206</v>
      </c>
      <c r="FK49" s="615" t="s">
        <v>1206</v>
      </c>
      <c r="FL49" s="615">
        <v>70</v>
      </c>
      <c r="FM49" s="615">
        <v>70</v>
      </c>
      <c r="FN49" s="615">
        <v>69</v>
      </c>
      <c r="FO49" s="615">
        <v>69</v>
      </c>
      <c r="FP49" s="615">
        <v>69</v>
      </c>
      <c r="FQ49" s="615">
        <v>69</v>
      </c>
      <c r="FR49" s="615">
        <v>69</v>
      </c>
      <c r="FS49" s="615">
        <v>69</v>
      </c>
      <c r="FT49" s="615">
        <v>69</v>
      </c>
      <c r="FU49" s="615">
        <v>69</v>
      </c>
      <c r="FV49" s="615">
        <v>27</v>
      </c>
      <c r="FW49" s="615">
        <v>27</v>
      </c>
      <c r="FX49" s="615">
        <v>27</v>
      </c>
      <c r="FY49" s="615">
        <v>27</v>
      </c>
      <c r="FZ49" s="615">
        <v>27</v>
      </c>
      <c r="GA49" s="615">
        <v>27</v>
      </c>
      <c r="GB49" s="615">
        <v>27</v>
      </c>
      <c r="GC49" s="615">
        <v>27</v>
      </c>
      <c r="GD49" s="615">
        <v>27</v>
      </c>
      <c r="GE49" s="615">
        <v>27</v>
      </c>
      <c r="GF49" s="615">
        <v>18350</v>
      </c>
      <c r="GG49" s="615" t="s">
        <v>833</v>
      </c>
      <c r="GH49" s="615" t="s">
        <v>833</v>
      </c>
      <c r="GI49" s="615" t="s">
        <v>833</v>
      </c>
      <c r="GJ49" s="615" t="s">
        <v>833</v>
      </c>
      <c r="GK49" s="615" t="s">
        <v>833</v>
      </c>
      <c r="GL49" s="615" t="s">
        <v>833</v>
      </c>
      <c r="GM49" s="615" t="s">
        <v>833</v>
      </c>
      <c r="GN49" s="615" t="s">
        <v>833</v>
      </c>
      <c r="GO49" s="615" t="s">
        <v>833</v>
      </c>
      <c r="GP49" s="615" t="s">
        <v>833</v>
      </c>
      <c r="GQ49" s="615" t="s">
        <v>833</v>
      </c>
      <c r="GR49" s="615" t="s">
        <v>833</v>
      </c>
      <c r="GS49" s="615">
        <v>9</v>
      </c>
      <c r="GT49" s="615">
        <v>9</v>
      </c>
      <c r="GU49" s="615">
        <v>9</v>
      </c>
      <c r="GV49" s="615">
        <v>9</v>
      </c>
      <c r="GW49" s="615">
        <v>9</v>
      </c>
      <c r="GX49" s="615">
        <v>9</v>
      </c>
      <c r="GY49" s="615">
        <v>9</v>
      </c>
      <c r="GZ49" s="615">
        <v>9</v>
      </c>
      <c r="HA49" s="615">
        <v>9</v>
      </c>
      <c r="HB49" s="615">
        <v>9</v>
      </c>
      <c r="HC49" s="615" t="s">
        <v>1209</v>
      </c>
      <c r="HD49" s="615" t="s">
        <v>1209</v>
      </c>
      <c r="HE49" s="615" t="s">
        <v>1209</v>
      </c>
      <c r="HF49" s="615" t="s">
        <v>1209</v>
      </c>
      <c r="HG49" s="615" t="s">
        <v>1209</v>
      </c>
      <c r="HH49" s="615" t="s">
        <v>1209</v>
      </c>
      <c r="HI49" s="615" t="s">
        <v>1209</v>
      </c>
      <c r="HJ49" s="615" t="s">
        <v>1209</v>
      </c>
      <c r="HK49" s="615" t="s">
        <v>1209</v>
      </c>
      <c r="HL49" s="615" t="s">
        <v>1209</v>
      </c>
      <c r="HM49" s="615" t="s">
        <v>1209</v>
      </c>
      <c r="HN49" s="615" t="s">
        <v>1209</v>
      </c>
      <c r="HO49" s="611" t="str">
        <f t="shared" si="25"/>
        <v/>
      </c>
      <c r="HP49" s="611" t="str">
        <f t="shared" si="26"/>
        <v/>
      </c>
      <c r="HQ49" s="611" t="str">
        <f t="shared" si="27"/>
        <v/>
      </c>
      <c r="HR49" s="611" t="str">
        <f t="shared" si="28"/>
        <v/>
      </c>
      <c r="HS49" s="611" t="str">
        <f t="shared" si="29"/>
        <v/>
      </c>
      <c r="HT49" s="611" t="str">
        <f t="shared" si="30"/>
        <v/>
      </c>
      <c r="HU49" s="611" t="str">
        <f t="shared" si="31"/>
        <v/>
      </c>
      <c r="HV49" s="611" t="str">
        <f t="shared" si="32"/>
        <v/>
      </c>
      <c r="HW49" s="611" t="str">
        <f t="shared" si="33"/>
        <v/>
      </c>
      <c r="HX49" s="611" t="str">
        <f t="shared" si="34"/>
        <v/>
      </c>
      <c r="HY49" s="611" t="str">
        <f t="shared" si="35"/>
        <v/>
      </c>
      <c r="HZ49" s="611" t="str">
        <f t="shared" si="36"/>
        <v/>
      </c>
      <c r="IA49" s="619" t="s">
        <v>1296</v>
      </c>
    </row>
    <row r="50" spans="2:235">
      <c r="B50" s="625">
        <v>46</v>
      </c>
      <c r="C50" s="626">
        <v>246</v>
      </c>
      <c r="D50" s="627" t="s">
        <v>1320</v>
      </c>
      <c r="E50" s="612" t="s">
        <v>13</v>
      </c>
      <c r="F50" s="612">
        <v>116</v>
      </c>
      <c r="G50" s="612">
        <v>6</v>
      </c>
      <c r="H50" s="612">
        <v>66</v>
      </c>
      <c r="I50" s="612">
        <v>44</v>
      </c>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I50" s="612"/>
      <c r="AJ50" s="612"/>
      <c r="AK50" s="612"/>
      <c r="AL50" s="612"/>
      <c r="AM50" s="613"/>
      <c r="AN50" s="613"/>
      <c r="AO50" s="613"/>
      <c r="AP50" s="612"/>
      <c r="AQ50" s="612" t="s">
        <v>11</v>
      </c>
      <c r="AR50" s="615" t="s">
        <v>629</v>
      </c>
      <c r="AS50" s="615" t="s">
        <v>629</v>
      </c>
      <c r="AT50" s="615" t="s">
        <v>629</v>
      </c>
      <c r="AU50" s="615" t="s">
        <v>629</v>
      </c>
      <c r="AV50" s="615" t="s">
        <v>629</v>
      </c>
      <c r="AW50" s="615" t="s">
        <v>629</v>
      </c>
      <c r="AX50" s="615" t="s">
        <v>629</v>
      </c>
      <c r="AY50" s="615" t="s">
        <v>629</v>
      </c>
      <c r="AZ50" s="615" t="s">
        <v>629</v>
      </c>
      <c r="BA50" s="615" t="s">
        <v>629</v>
      </c>
      <c r="BB50" s="615" t="s">
        <v>629</v>
      </c>
      <c r="BC50" s="615" t="s">
        <v>629</v>
      </c>
      <c r="BD50" s="615" t="s">
        <v>629</v>
      </c>
      <c r="BE50" s="615" t="s">
        <v>629</v>
      </c>
      <c r="BF50" s="615" t="s">
        <v>629</v>
      </c>
      <c r="BG50" s="615" t="s">
        <v>629</v>
      </c>
      <c r="BH50" s="615" t="s">
        <v>629</v>
      </c>
      <c r="BI50" s="615" t="s">
        <v>629</v>
      </c>
      <c r="BJ50" s="615" t="s">
        <v>629</v>
      </c>
      <c r="BK50" s="615" t="s">
        <v>629</v>
      </c>
      <c r="BL50" s="615" t="s">
        <v>629</v>
      </c>
      <c r="BM50" s="615" t="s">
        <v>629</v>
      </c>
      <c r="BN50" s="615" t="s">
        <v>629</v>
      </c>
      <c r="BO50" s="615" t="s">
        <v>629</v>
      </c>
      <c r="BP50" s="615">
        <v>1</v>
      </c>
      <c r="BQ50" s="615">
        <v>1</v>
      </c>
      <c r="BR50" s="615">
        <v>1</v>
      </c>
      <c r="BS50" s="615">
        <v>1</v>
      </c>
      <c r="BT50" s="615">
        <v>1</v>
      </c>
      <c r="BU50" s="615">
        <v>1</v>
      </c>
      <c r="BV50" s="615">
        <v>1</v>
      </c>
      <c r="BW50" s="615">
        <v>1</v>
      </c>
      <c r="BX50" s="615">
        <v>1</v>
      </c>
      <c r="BY50" s="615">
        <v>1</v>
      </c>
      <c r="BZ50" s="615">
        <v>1</v>
      </c>
      <c r="CA50" s="615">
        <v>1</v>
      </c>
      <c r="CB50" s="615">
        <v>0</v>
      </c>
      <c r="CC50" s="615">
        <v>0</v>
      </c>
      <c r="CD50" s="615">
        <v>0</v>
      </c>
      <c r="CE50" s="615">
        <v>0</v>
      </c>
      <c r="CF50" s="615">
        <v>0</v>
      </c>
      <c r="CG50" s="615">
        <v>0</v>
      </c>
      <c r="CH50" s="615">
        <v>0</v>
      </c>
      <c r="CI50" s="615">
        <v>0</v>
      </c>
      <c r="CJ50" s="615">
        <v>0</v>
      </c>
      <c r="CK50" s="615">
        <v>0</v>
      </c>
      <c r="CL50" s="615">
        <v>0</v>
      </c>
      <c r="CM50" s="615">
        <v>0</v>
      </c>
      <c r="CN50" s="615">
        <v>0</v>
      </c>
      <c r="CO50" s="615">
        <v>0</v>
      </c>
      <c r="CP50" s="615">
        <v>0</v>
      </c>
      <c r="CQ50" s="615">
        <v>0</v>
      </c>
      <c r="CR50" s="615">
        <v>0</v>
      </c>
      <c r="CS50" s="615">
        <v>0</v>
      </c>
      <c r="CT50" s="615">
        <v>0</v>
      </c>
      <c r="CU50" s="615">
        <v>0</v>
      </c>
      <c r="CV50" s="615">
        <v>0</v>
      </c>
      <c r="CW50" s="615">
        <v>0</v>
      </c>
      <c r="CX50" s="615">
        <v>0</v>
      </c>
      <c r="CY50" s="615">
        <v>0</v>
      </c>
      <c r="CZ50" s="615" t="s">
        <v>1049</v>
      </c>
      <c r="DA50" s="615">
        <v>0</v>
      </c>
      <c r="DB50" s="617"/>
      <c r="DC50" s="617"/>
      <c r="DD50" s="617"/>
      <c r="DE50" s="617"/>
      <c r="DF50" s="617"/>
      <c r="DG50" s="617"/>
      <c r="DH50" s="617"/>
      <c r="DI50" s="617"/>
      <c r="DJ50" s="617"/>
      <c r="DK50" s="617"/>
      <c r="DL50" s="617"/>
      <c r="DM50" s="617"/>
      <c r="DN50" s="617"/>
      <c r="DO50" s="617"/>
      <c r="DP50" s="617"/>
      <c r="DQ50" s="617"/>
      <c r="DR50" s="617"/>
      <c r="DS50" s="617"/>
      <c r="DT50" s="617"/>
      <c r="DU50" s="617"/>
      <c r="DV50" s="617"/>
      <c r="DW50" s="617"/>
      <c r="DX50" s="617"/>
      <c r="DY50" s="617"/>
      <c r="DZ50" s="617"/>
      <c r="EA50" s="617"/>
      <c r="EB50" s="617"/>
      <c r="EC50" s="617"/>
      <c r="ED50" s="617"/>
      <c r="EE50" s="617"/>
      <c r="EF50" s="617"/>
      <c r="EG50" s="617"/>
      <c r="EH50" s="617"/>
      <c r="EI50" s="617"/>
      <c r="EJ50" s="617"/>
      <c r="EK50" s="617"/>
      <c r="EL50" s="615" t="s">
        <v>833</v>
      </c>
      <c r="EM50" s="615" t="s">
        <v>833</v>
      </c>
      <c r="EN50" s="615" t="s">
        <v>833</v>
      </c>
      <c r="EO50" s="615" t="s">
        <v>833</v>
      </c>
      <c r="EP50" s="615" t="s">
        <v>833</v>
      </c>
      <c r="EQ50" s="615" t="s">
        <v>833</v>
      </c>
      <c r="ER50" s="615" t="s">
        <v>833</v>
      </c>
      <c r="ES50" s="615" t="s">
        <v>833</v>
      </c>
      <c r="ET50" s="615" t="s">
        <v>833</v>
      </c>
      <c r="EU50" s="615" t="s">
        <v>833</v>
      </c>
      <c r="EV50" s="615" t="s">
        <v>833</v>
      </c>
      <c r="EW50" s="615" t="s">
        <v>833</v>
      </c>
      <c r="EX50" s="615">
        <v>3670</v>
      </c>
      <c r="EY50" s="615">
        <v>3820</v>
      </c>
      <c r="EZ50" s="615" t="s">
        <v>1206</v>
      </c>
      <c r="FA50" s="615" t="s">
        <v>1206</v>
      </c>
      <c r="FB50" s="615" t="s">
        <v>1206</v>
      </c>
      <c r="FC50" s="615" t="s">
        <v>1206</v>
      </c>
      <c r="FD50" s="615" t="s">
        <v>1206</v>
      </c>
      <c r="FE50" s="615" t="s">
        <v>1206</v>
      </c>
      <c r="FF50" s="615" t="s">
        <v>1206</v>
      </c>
      <c r="FG50" s="615" t="s">
        <v>1206</v>
      </c>
      <c r="FH50" s="615" t="s">
        <v>1206</v>
      </c>
      <c r="FI50" s="615" t="s">
        <v>1206</v>
      </c>
      <c r="FJ50" s="615" t="s">
        <v>1206</v>
      </c>
      <c r="FK50" s="615" t="s">
        <v>1206</v>
      </c>
      <c r="FL50" s="615">
        <v>0</v>
      </c>
      <c r="FM50" s="615">
        <v>0</v>
      </c>
      <c r="FN50" s="615">
        <v>0</v>
      </c>
      <c r="FO50" s="615">
        <v>0</v>
      </c>
      <c r="FP50" s="615">
        <v>0</v>
      </c>
      <c r="FQ50" s="615">
        <v>0</v>
      </c>
      <c r="FR50" s="615">
        <v>0</v>
      </c>
      <c r="FS50" s="615">
        <v>0</v>
      </c>
      <c r="FT50" s="615">
        <v>0</v>
      </c>
      <c r="FU50" s="615">
        <v>0</v>
      </c>
      <c r="FV50" s="615">
        <v>44</v>
      </c>
      <c r="FW50" s="615">
        <v>44</v>
      </c>
      <c r="FX50" s="615">
        <v>44</v>
      </c>
      <c r="FY50" s="615">
        <v>44</v>
      </c>
      <c r="FZ50" s="615">
        <v>44</v>
      </c>
      <c r="GA50" s="615">
        <v>44</v>
      </c>
      <c r="GB50" s="615">
        <v>44</v>
      </c>
      <c r="GC50" s="615">
        <v>44</v>
      </c>
      <c r="GD50" s="615">
        <v>44</v>
      </c>
      <c r="GE50" s="615">
        <v>44</v>
      </c>
      <c r="GF50" s="615">
        <v>18350</v>
      </c>
      <c r="GG50" s="615" t="s">
        <v>833</v>
      </c>
      <c r="GH50" s="615" t="s">
        <v>833</v>
      </c>
      <c r="GI50" s="615" t="s">
        <v>833</v>
      </c>
      <c r="GJ50" s="615" t="s">
        <v>833</v>
      </c>
      <c r="GK50" s="615" t="s">
        <v>833</v>
      </c>
      <c r="GL50" s="615" t="s">
        <v>833</v>
      </c>
      <c r="GM50" s="615" t="s">
        <v>833</v>
      </c>
      <c r="GN50" s="615" t="s">
        <v>833</v>
      </c>
      <c r="GO50" s="615" t="s">
        <v>833</v>
      </c>
      <c r="GP50" s="615" t="s">
        <v>833</v>
      </c>
      <c r="GQ50" s="615" t="s">
        <v>833</v>
      </c>
      <c r="GR50" s="615" t="s">
        <v>833</v>
      </c>
      <c r="GS50" s="615">
        <v>19</v>
      </c>
      <c r="GT50" s="615">
        <v>19</v>
      </c>
      <c r="GU50" s="615">
        <v>19</v>
      </c>
      <c r="GV50" s="615">
        <v>19</v>
      </c>
      <c r="GW50" s="615">
        <v>19</v>
      </c>
      <c r="GX50" s="615">
        <v>19</v>
      </c>
      <c r="GY50" s="615">
        <v>19</v>
      </c>
      <c r="GZ50" s="615">
        <v>19</v>
      </c>
      <c r="HA50" s="615">
        <v>19</v>
      </c>
      <c r="HB50" s="615">
        <v>20</v>
      </c>
      <c r="HC50" s="615" t="s">
        <v>1207</v>
      </c>
      <c r="HD50" s="615" t="s">
        <v>1207</v>
      </c>
      <c r="HE50" s="615" t="s">
        <v>1207</v>
      </c>
      <c r="HF50" s="615" t="s">
        <v>1207</v>
      </c>
      <c r="HG50" s="615" t="s">
        <v>1207</v>
      </c>
      <c r="HH50" s="615" t="s">
        <v>1207</v>
      </c>
      <c r="HI50" s="615" t="s">
        <v>1207</v>
      </c>
      <c r="HJ50" s="615" t="s">
        <v>1207</v>
      </c>
      <c r="HK50" s="615" t="s">
        <v>1207</v>
      </c>
      <c r="HL50" s="615" t="s">
        <v>1207</v>
      </c>
      <c r="HM50" s="615" t="s">
        <v>1207</v>
      </c>
      <c r="HN50" s="615" t="s">
        <v>1207</v>
      </c>
      <c r="HO50" s="611">
        <f t="shared" si="25"/>
        <v>79950</v>
      </c>
      <c r="HP50" s="611">
        <f t="shared" si="26"/>
        <v>79950</v>
      </c>
      <c r="HQ50" s="611">
        <f t="shared" si="27"/>
        <v>79950</v>
      </c>
      <c r="HR50" s="611">
        <f t="shared" si="28"/>
        <v>79950</v>
      </c>
      <c r="HS50" s="611">
        <f t="shared" si="29"/>
        <v>79950</v>
      </c>
      <c r="HT50" s="611">
        <f t="shared" si="30"/>
        <v>79950</v>
      </c>
      <c r="HU50" s="611">
        <f t="shared" si="31"/>
        <v>79950</v>
      </c>
      <c r="HV50" s="611">
        <f t="shared" si="32"/>
        <v>79950</v>
      </c>
      <c r="HW50" s="611">
        <f t="shared" si="33"/>
        <v>79950</v>
      </c>
      <c r="HX50" s="611">
        <f t="shared" si="34"/>
        <v>79950</v>
      </c>
      <c r="HY50" s="611">
        <f t="shared" si="35"/>
        <v>79950</v>
      </c>
      <c r="HZ50" s="611">
        <f t="shared" si="36"/>
        <v>79950</v>
      </c>
      <c r="IA50" s="619" t="s">
        <v>1296</v>
      </c>
    </row>
    <row r="51" spans="2:235">
      <c r="B51" s="625">
        <v>47</v>
      </c>
      <c r="C51" s="626">
        <v>247</v>
      </c>
      <c r="D51" s="627" t="s">
        <v>1251</v>
      </c>
      <c r="E51" s="612" t="s">
        <v>13</v>
      </c>
      <c r="F51" s="612">
        <v>220</v>
      </c>
      <c r="G51" s="612">
        <v>120</v>
      </c>
      <c r="H51" s="612">
        <v>80</v>
      </c>
      <c r="I51" s="612">
        <v>20</v>
      </c>
      <c r="J51" s="612"/>
      <c r="K51" s="612"/>
      <c r="L51" s="612"/>
      <c r="M51" s="612"/>
      <c r="N51" s="612"/>
      <c r="O51" s="612"/>
      <c r="P51" s="612"/>
      <c r="Q51" s="612"/>
      <c r="R51" s="612"/>
      <c r="S51" s="612"/>
      <c r="T51" s="612"/>
      <c r="U51" s="612"/>
      <c r="V51" s="612"/>
      <c r="W51" s="612"/>
      <c r="X51" s="612"/>
      <c r="Y51" s="612"/>
      <c r="Z51" s="612"/>
      <c r="AA51" s="612"/>
      <c r="AB51" s="612"/>
      <c r="AC51" s="612"/>
      <c r="AD51" s="612"/>
      <c r="AE51" s="612"/>
      <c r="AF51" s="612"/>
      <c r="AG51" s="612"/>
      <c r="AH51" s="612"/>
      <c r="AI51" s="612"/>
      <c r="AJ51" s="612"/>
      <c r="AK51" s="612"/>
      <c r="AL51" s="612"/>
      <c r="AM51" s="613"/>
      <c r="AN51" s="613"/>
      <c r="AO51" s="613"/>
      <c r="AP51" s="612"/>
      <c r="AQ51" s="612" t="s">
        <v>11</v>
      </c>
      <c r="AR51" s="615" t="s">
        <v>629</v>
      </c>
      <c r="AS51" s="615" t="s">
        <v>629</v>
      </c>
      <c r="AT51" s="615" t="s">
        <v>629</v>
      </c>
      <c r="AU51" s="615" t="s">
        <v>629</v>
      </c>
      <c r="AV51" s="615" t="s">
        <v>629</v>
      </c>
      <c r="AW51" s="615" t="s">
        <v>629</v>
      </c>
      <c r="AX51" s="615" t="s">
        <v>629</v>
      </c>
      <c r="AY51" s="615" t="s">
        <v>629</v>
      </c>
      <c r="AZ51" s="615" t="s">
        <v>629</v>
      </c>
      <c r="BA51" s="615" t="s">
        <v>629</v>
      </c>
      <c r="BB51" s="615" t="s">
        <v>629</v>
      </c>
      <c r="BC51" s="615" t="s">
        <v>629</v>
      </c>
      <c r="BD51" s="615" t="s">
        <v>629</v>
      </c>
      <c r="BE51" s="615" t="s">
        <v>629</v>
      </c>
      <c r="BF51" s="615" t="s">
        <v>629</v>
      </c>
      <c r="BG51" s="615" t="s">
        <v>629</v>
      </c>
      <c r="BH51" s="615" t="s">
        <v>629</v>
      </c>
      <c r="BI51" s="615" t="s">
        <v>629</v>
      </c>
      <c r="BJ51" s="615" t="s">
        <v>629</v>
      </c>
      <c r="BK51" s="615" t="s">
        <v>629</v>
      </c>
      <c r="BL51" s="615" t="s">
        <v>629</v>
      </c>
      <c r="BM51" s="615" t="s">
        <v>629</v>
      </c>
      <c r="BN51" s="615" t="s">
        <v>629</v>
      </c>
      <c r="BO51" s="615" t="s">
        <v>629</v>
      </c>
      <c r="BP51" s="615">
        <v>0</v>
      </c>
      <c r="BQ51" s="615">
        <v>0</v>
      </c>
      <c r="BR51" s="615">
        <v>0</v>
      </c>
      <c r="BS51" s="615">
        <v>0</v>
      </c>
      <c r="BT51" s="615">
        <v>0</v>
      </c>
      <c r="BU51" s="615">
        <v>0</v>
      </c>
      <c r="BV51" s="615">
        <v>0</v>
      </c>
      <c r="BW51" s="615">
        <v>0</v>
      </c>
      <c r="BX51" s="615">
        <v>0</v>
      </c>
      <c r="BY51" s="615">
        <v>0</v>
      </c>
      <c r="BZ51" s="615">
        <v>0</v>
      </c>
      <c r="CA51" s="615">
        <v>0</v>
      </c>
      <c r="CB51" s="615">
        <v>0</v>
      </c>
      <c r="CC51" s="615">
        <v>0</v>
      </c>
      <c r="CD51" s="615">
        <v>0</v>
      </c>
      <c r="CE51" s="615">
        <v>0</v>
      </c>
      <c r="CF51" s="615">
        <v>0</v>
      </c>
      <c r="CG51" s="615">
        <v>0</v>
      </c>
      <c r="CH51" s="615">
        <v>0</v>
      </c>
      <c r="CI51" s="615">
        <v>0</v>
      </c>
      <c r="CJ51" s="615">
        <v>0</v>
      </c>
      <c r="CK51" s="615">
        <v>0</v>
      </c>
      <c r="CL51" s="615">
        <v>0</v>
      </c>
      <c r="CM51" s="615">
        <v>0</v>
      </c>
      <c r="CN51" s="615">
        <v>0</v>
      </c>
      <c r="CO51" s="615">
        <v>0</v>
      </c>
      <c r="CP51" s="615">
        <v>0</v>
      </c>
      <c r="CQ51" s="615">
        <v>0</v>
      </c>
      <c r="CR51" s="615">
        <v>0</v>
      </c>
      <c r="CS51" s="615">
        <v>0</v>
      </c>
      <c r="CT51" s="615">
        <v>0</v>
      </c>
      <c r="CU51" s="615">
        <v>0</v>
      </c>
      <c r="CV51" s="615">
        <v>0</v>
      </c>
      <c r="CW51" s="615">
        <v>0</v>
      </c>
      <c r="CX51" s="615">
        <v>0</v>
      </c>
      <c r="CY51" s="615">
        <v>0</v>
      </c>
      <c r="CZ51" s="615" t="s">
        <v>1049</v>
      </c>
      <c r="DA51" s="615">
        <v>0</v>
      </c>
      <c r="DB51" s="617"/>
      <c r="DC51" s="617"/>
      <c r="DD51" s="617"/>
      <c r="DE51" s="617"/>
      <c r="DF51" s="617"/>
      <c r="DG51" s="617"/>
      <c r="DH51" s="617"/>
      <c r="DI51" s="617"/>
      <c r="DJ51" s="617"/>
      <c r="DK51" s="617"/>
      <c r="DL51" s="617"/>
      <c r="DM51" s="617"/>
      <c r="DN51" s="617"/>
      <c r="DO51" s="617"/>
      <c r="DP51" s="617"/>
      <c r="DQ51" s="617"/>
      <c r="DR51" s="617"/>
      <c r="DS51" s="617"/>
      <c r="DT51" s="617"/>
      <c r="DU51" s="617"/>
      <c r="DV51" s="617"/>
      <c r="DW51" s="617"/>
      <c r="DX51" s="617"/>
      <c r="DY51" s="617"/>
      <c r="DZ51" s="617"/>
      <c r="EA51" s="617"/>
      <c r="EB51" s="617"/>
      <c r="EC51" s="617"/>
      <c r="ED51" s="617"/>
      <c r="EE51" s="617"/>
      <c r="EF51" s="617"/>
      <c r="EG51" s="617"/>
      <c r="EH51" s="617"/>
      <c r="EI51" s="617"/>
      <c r="EJ51" s="617"/>
      <c r="EK51" s="617"/>
      <c r="EL51" s="615" t="s">
        <v>833</v>
      </c>
      <c r="EM51" s="615" t="s">
        <v>833</v>
      </c>
      <c r="EN51" s="615" t="s">
        <v>833</v>
      </c>
      <c r="EO51" s="615" t="s">
        <v>833</v>
      </c>
      <c r="EP51" s="615" t="s">
        <v>833</v>
      </c>
      <c r="EQ51" s="615" t="s">
        <v>833</v>
      </c>
      <c r="ER51" s="615" t="s">
        <v>833</v>
      </c>
      <c r="ES51" s="615" t="s">
        <v>833</v>
      </c>
      <c r="ET51" s="615" t="s">
        <v>833</v>
      </c>
      <c r="EU51" s="615" t="s">
        <v>833</v>
      </c>
      <c r="EV51" s="615" t="s">
        <v>833</v>
      </c>
      <c r="EW51" s="615" t="s">
        <v>833</v>
      </c>
      <c r="EX51" s="615">
        <v>3670</v>
      </c>
      <c r="EY51" s="615">
        <v>3820</v>
      </c>
      <c r="EZ51" s="615" t="s">
        <v>1206</v>
      </c>
      <c r="FA51" s="615" t="s">
        <v>1206</v>
      </c>
      <c r="FB51" s="615" t="s">
        <v>1206</v>
      </c>
      <c r="FC51" s="615" t="s">
        <v>1206</v>
      </c>
      <c r="FD51" s="615" t="s">
        <v>1206</v>
      </c>
      <c r="FE51" s="615" t="s">
        <v>1206</v>
      </c>
      <c r="FF51" s="615" t="s">
        <v>1206</v>
      </c>
      <c r="FG51" s="615" t="s">
        <v>1206</v>
      </c>
      <c r="FH51" s="615" t="s">
        <v>1206</v>
      </c>
      <c r="FI51" s="615" t="s">
        <v>1206</v>
      </c>
      <c r="FJ51" s="615" t="s">
        <v>1206</v>
      </c>
      <c r="FK51" s="615" t="s">
        <v>1206</v>
      </c>
      <c r="FL51" s="615">
        <v>42</v>
      </c>
      <c r="FM51" s="615">
        <v>41</v>
      </c>
      <c r="FN51" s="615">
        <v>41</v>
      </c>
      <c r="FO51" s="615">
        <v>41</v>
      </c>
      <c r="FP51" s="615">
        <v>41</v>
      </c>
      <c r="FQ51" s="615">
        <v>41</v>
      </c>
      <c r="FR51" s="615">
        <v>41</v>
      </c>
      <c r="FS51" s="615">
        <v>34</v>
      </c>
      <c r="FT51" s="615">
        <v>34</v>
      </c>
      <c r="FU51" s="615">
        <v>33</v>
      </c>
      <c r="FV51" s="615">
        <v>70</v>
      </c>
      <c r="FW51" s="615">
        <v>70</v>
      </c>
      <c r="FX51" s="615">
        <v>70</v>
      </c>
      <c r="FY51" s="615">
        <v>70</v>
      </c>
      <c r="FZ51" s="615">
        <v>70</v>
      </c>
      <c r="GA51" s="615">
        <v>69</v>
      </c>
      <c r="GB51" s="615">
        <v>69</v>
      </c>
      <c r="GC51" s="615">
        <v>75</v>
      </c>
      <c r="GD51" s="615">
        <v>75</v>
      </c>
      <c r="GE51" s="615">
        <v>75</v>
      </c>
      <c r="GF51" s="615">
        <v>18350</v>
      </c>
      <c r="GG51" s="615" t="s">
        <v>1206</v>
      </c>
      <c r="GH51" s="615" t="s">
        <v>1206</v>
      </c>
      <c r="GI51" s="615" t="s">
        <v>1206</v>
      </c>
      <c r="GJ51" s="615" t="s">
        <v>1206</v>
      </c>
      <c r="GK51" s="615" t="s">
        <v>1206</v>
      </c>
      <c r="GL51" s="615" t="s">
        <v>1206</v>
      </c>
      <c r="GM51" s="615" t="s">
        <v>1206</v>
      </c>
      <c r="GN51" s="615" t="s">
        <v>1206</v>
      </c>
      <c r="GO51" s="615" t="s">
        <v>1206</v>
      </c>
      <c r="GP51" s="615" t="s">
        <v>1206</v>
      </c>
      <c r="GQ51" s="615" t="s">
        <v>1206</v>
      </c>
      <c r="GR51" s="615" t="s">
        <v>1206</v>
      </c>
      <c r="GS51" s="615">
        <v>0</v>
      </c>
      <c r="GT51" s="615">
        <v>0</v>
      </c>
      <c r="GU51" s="615">
        <v>0</v>
      </c>
      <c r="GV51" s="615">
        <v>0</v>
      </c>
      <c r="GW51" s="615">
        <v>0</v>
      </c>
      <c r="GX51" s="615">
        <v>0</v>
      </c>
      <c r="GY51" s="615">
        <v>0</v>
      </c>
      <c r="GZ51" s="615">
        <v>0</v>
      </c>
      <c r="HA51" s="615">
        <v>0</v>
      </c>
      <c r="HB51" s="615">
        <v>0</v>
      </c>
      <c r="HC51" s="615" t="s">
        <v>1207</v>
      </c>
      <c r="HD51" s="615" t="s">
        <v>1207</v>
      </c>
      <c r="HE51" s="615" t="s">
        <v>1207</v>
      </c>
      <c r="HF51" s="615" t="s">
        <v>1207</v>
      </c>
      <c r="HG51" s="615" t="s">
        <v>1207</v>
      </c>
      <c r="HH51" s="615" t="s">
        <v>1207</v>
      </c>
      <c r="HI51" s="615" t="s">
        <v>1207</v>
      </c>
      <c r="HJ51" s="615" t="s">
        <v>1207</v>
      </c>
      <c r="HK51" s="615" t="s">
        <v>1207</v>
      </c>
      <c r="HL51" s="615" t="s">
        <v>1207</v>
      </c>
      <c r="HM51" s="615" t="s">
        <v>1207</v>
      </c>
      <c r="HN51" s="615" t="s">
        <v>1207</v>
      </c>
      <c r="HO51" s="611">
        <f t="shared" si="25"/>
        <v>79950</v>
      </c>
      <c r="HP51" s="611">
        <f t="shared" si="26"/>
        <v>79950</v>
      </c>
      <c r="HQ51" s="611">
        <f t="shared" si="27"/>
        <v>79950</v>
      </c>
      <c r="HR51" s="611">
        <f t="shared" si="28"/>
        <v>79950</v>
      </c>
      <c r="HS51" s="611">
        <f t="shared" si="29"/>
        <v>79950</v>
      </c>
      <c r="HT51" s="611">
        <f t="shared" si="30"/>
        <v>79950</v>
      </c>
      <c r="HU51" s="611">
        <f t="shared" si="31"/>
        <v>79950</v>
      </c>
      <c r="HV51" s="611">
        <f t="shared" si="32"/>
        <v>79950</v>
      </c>
      <c r="HW51" s="611">
        <f t="shared" si="33"/>
        <v>79950</v>
      </c>
      <c r="HX51" s="611">
        <f t="shared" si="34"/>
        <v>79950</v>
      </c>
      <c r="HY51" s="611">
        <f t="shared" si="35"/>
        <v>79950</v>
      </c>
      <c r="HZ51" s="611">
        <f t="shared" si="36"/>
        <v>79950</v>
      </c>
      <c r="IA51" s="619" t="s">
        <v>1295</v>
      </c>
    </row>
    <row r="52" spans="2:235">
      <c r="B52" s="625">
        <v>48</v>
      </c>
      <c r="C52" s="626">
        <v>248</v>
      </c>
      <c r="D52" s="627" t="s">
        <v>1254</v>
      </c>
      <c r="E52" s="612" t="s">
        <v>13</v>
      </c>
      <c r="F52" s="612">
        <v>116</v>
      </c>
      <c r="G52" s="612">
        <v>6</v>
      </c>
      <c r="H52" s="612">
        <v>66</v>
      </c>
      <c r="I52" s="612">
        <v>44</v>
      </c>
      <c r="J52" s="612"/>
      <c r="K52" s="612"/>
      <c r="L52" s="612"/>
      <c r="M52" s="612"/>
      <c r="N52" s="612"/>
      <c r="O52" s="612"/>
      <c r="P52" s="612"/>
      <c r="Q52" s="612"/>
      <c r="R52" s="612"/>
      <c r="S52" s="612"/>
      <c r="T52" s="612"/>
      <c r="U52" s="612"/>
      <c r="V52" s="612"/>
      <c r="W52" s="612"/>
      <c r="X52" s="612"/>
      <c r="Y52" s="612"/>
      <c r="Z52" s="612"/>
      <c r="AA52" s="612"/>
      <c r="AB52" s="612"/>
      <c r="AC52" s="612"/>
      <c r="AD52" s="612"/>
      <c r="AE52" s="612"/>
      <c r="AF52" s="612"/>
      <c r="AG52" s="612"/>
      <c r="AH52" s="612"/>
      <c r="AI52" s="612"/>
      <c r="AJ52" s="612"/>
      <c r="AK52" s="612"/>
      <c r="AL52" s="612"/>
      <c r="AM52" s="613"/>
      <c r="AN52" s="613"/>
      <c r="AO52" s="613"/>
      <c r="AP52" s="612"/>
      <c r="AQ52" s="612" t="s">
        <v>11</v>
      </c>
      <c r="AR52" s="615" t="s">
        <v>1047</v>
      </c>
      <c r="AS52" s="615" t="s">
        <v>1047</v>
      </c>
      <c r="AT52" s="615" t="s">
        <v>1047</v>
      </c>
      <c r="AU52" s="615" t="s">
        <v>1047</v>
      </c>
      <c r="AV52" s="615" t="s">
        <v>1047</v>
      </c>
      <c r="AW52" s="615" t="s">
        <v>1047</v>
      </c>
      <c r="AX52" s="615" t="s">
        <v>1047</v>
      </c>
      <c r="AY52" s="615" t="s">
        <v>1047</v>
      </c>
      <c r="AZ52" s="615" t="s">
        <v>1047</v>
      </c>
      <c r="BA52" s="615" t="s">
        <v>1047</v>
      </c>
      <c r="BB52" s="615" t="s">
        <v>1047</v>
      </c>
      <c r="BC52" s="615" t="s">
        <v>1047</v>
      </c>
      <c r="BD52" s="615" t="s">
        <v>1049</v>
      </c>
      <c r="BE52" s="615" t="s">
        <v>1049</v>
      </c>
      <c r="BF52" s="615" t="s">
        <v>1049</v>
      </c>
      <c r="BG52" s="615" t="s">
        <v>1049</v>
      </c>
      <c r="BH52" s="615" t="s">
        <v>1049</v>
      </c>
      <c r="BI52" s="615" t="s">
        <v>1049</v>
      </c>
      <c r="BJ52" s="615" t="s">
        <v>1049</v>
      </c>
      <c r="BK52" s="615" t="s">
        <v>1049</v>
      </c>
      <c r="BL52" s="615" t="s">
        <v>1049</v>
      </c>
      <c r="BM52" s="615" t="s">
        <v>1049</v>
      </c>
      <c r="BN52" s="615" t="s">
        <v>1049</v>
      </c>
      <c r="BO52" s="615" t="s">
        <v>1049</v>
      </c>
      <c r="BP52" s="615">
        <v>1</v>
      </c>
      <c r="BQ52" s="615">
        <v>1</v>
      </c>
      <c r="BR52" s="615">
        <v>1</v>
      </c>
      <c r="BS52" s="615">
        <v>1</v>
      </c>
      <c r="BT52" s="615">
        <v>1</v>
      </c>
      <c r="BU52" s="615">
        <v>1</v>
      </c>
      <c r="BV52" s="615">
        <v>1</v>
      </c>
      <c r="BW52" s="615">
        <v>1</v>
      </c>
      <c r="BX52" s="615">
        <v>1</v>
      </c>
      <c r="BY52" s="615">
        <v>1</v>
      </c>
      <c r="BZ52" s="615">
        <v>1</v>
      </c>
      <c r="CA52" s="615">
        <v>1</v>
      </c>
      <c r="CB52" s="615">
        <v>0</v>
      </c>
      <c r="CC52" s="615">
        <v>0</v>
      </c>
      <c r="CD52" s="615">
        <v>0</v>
      </c>
      <c r="CE52" s="615">
        <v>0</v>
      </c>
      <c r="CF52" s="615">
        <v>0</v>
      </c>
      <c r="CG52" s="615">
        <v>0</v>
      </c>
      <c r="CH52" s="615">
        <v>0</v>
      </c>
      <c r="CI52" s="615">
        <v>0</v>
      </c>
      <c r="CJ52" s="615">
        <v>0</v>
      </c>
      <c r="CK52" s="615">
        <v>0</v>
      </c>
      <c r="CL52" s="615">
        <v>0</v>
      </c>
      <c r="CM52" s="615">
        <v>0</v>
      </c>
      <c r="CN52" s="615">
        <v>0</v>
      </c>
      <c r="CO52" s="615">
        <v>0</v>
      </c>
      <c r="CP52" s="615">
        <v>0</v>
      </c>
      <c r="CQ52" s="615">
        <v>0</v>
      </c>
      <c r="CR52" s="615">
        <v>0</v>
      </c>
      <c r="CS52" s="615">
        <v>0</v>
      </c>
      <c r="CT52" s="615">
        <v>0</v>
      </c>
      <c r="CU52" s="615">
        <v>0</v>
      </c>
      <c r="CV52" s="615">
        <v>0</v>
      </c>
      <c r="CW52" s="615">
        <v>0</v>
      </c>
      <c r="CX52" s="615">
        <v>0</v>
      </c>
      <c r="CY52" s="615">
        <v>0</v>
      </c>
      <c r="CZ52" s="615" t="s">
        <v>1049</v>
      </c>
      <c r="DA52" s="615">
        <v>0</v>
      </c>
      <c r="DB52" s="617"/>
      <c r="DC52" s="617"/>
      <c r="DD52" s="617"/>
      <c r="DE52" s="617"/>
      <c r="DF52" s="617"/>
      <c r="DG52" s="617"/>
      <c r="DH52" s="617"/>
      <c r="DI52" s="617"/>
      <c r="DJ52" s="617"/>
      <c r="DK52" s="617"/>
      <c r="DL52" s="617"/>
      <c r="DM52" s="617"/>
      <c r="DN52" s="617"/>
      <c r="DO52" s="617"/>
      <c r="DP52" s="617"/>
      <c r="DQ52" s="617"/>
      <c r="DR52" s="617"/>
      <c r="DS52" s="617"/>
      <c r="DT52" s="617"/>
      <c r="DU52" s="617"/>
      <c r="DV52" s="617"/>
      <c r="DW52" s="617"/>
      <c r="DX52" s="617"/>
      <c r="DY52" s="617"/>
      <c r="DZ52" s="617"/>
      <c r="EA52" s="617"/>
      <c r="EB52" s="617"/>
      <c r="EC52" s="617"/>
      <c r="ED52" s="617"/>
      <c r="EE52" s="617"/>
      <c r="EF52" s="617"/>
      <c r="EG52" s="617"/>
      <c r="EH52" s="617"/>
      <c r="EI52" s="617"/>
      <c r="EJ52" s="617"/>
      <c r="EK52" s="617"/>
      <c r="EL52" s="615" t="s">
        <v>833</v>
      </c>
      <c r="EM52" s="615" t="s">
        <v>833</v>
      </c>
      <c r="EN52" s="615" t="s">
        <v>833</v>
      </c>
      <c r="EO52" s="615" t="s">
        <v>833</v>
      </c>
      <c r="EP52" s="615" t="s">
        <v>833</v>
      </c>
      <c r="EQ52" s="615" t="s">
        <v>833</v>
      </c>
      <c r="ER52" s="615" t="s">
        <v>833</v>
      </c>
      <c r="ES52" s="615" t="s">
        <v>833</v>
      </c>
      <c r="ET52" s="615" t="s">
        <v>833</v>
      </c>
      <c r="EU52" s="615" t="s">
        <v>833</v>
      </c>
      <c r="EV52" s="615" t="s">
        <v>833</v>
      </c>
      <c r="EW52" s="615" t="s">
        <v>833</v>
      </c>
      <c r="EX52" s="615">
        <v>3670</v>
      </c>
      <c r="EY52" s="615">
        <v>3820</v>
      </c>
      <c r="EZ52" s="615" t="s">
        <v>1206</v>
      </c>
      <c r="FA52" s="615" t="s">
        <v>1206</v>
      </c>
      <c r="FB52" s="615" t="s">
        <v>1206</v>
      </c>
      <c r="FC52" s="615" t="s">
        <v>1206</v>
      </c>
      <c r="FD52" s="615" t="s">
        <v>1206</v>
      </c>
      <c r="FE52" s="615" t="s">
        <v>1206</v>
      </c>
      <c r="FF52" s="615" t="s">
        <v>1206</v>
      </c>
      <c r="FG52" s="615" t="s">
        <v>1206</v>
      </c>
      <c r="FH52" s="615" t="s">
        <v>1206</v>
      </c>
      <c r="FI52" s="615" t="s">
        <v>1206</v>
      </c>
      <c r="FJ52" s="615" t="s">
        <v>1206</v>
      </c>
      <c r="FK52" s="615" t="s">
        <v>1206</v>
      </c>
      <c r="FL52" s="615">
        <v>3</v>
      </c>
      <c r="FM52" s="615">
        <v>3</v>
      </c>
      <c r="FN52" s="615">
        <v>3</v>
      </c>
      <c r="FO52" s="615">
        <v>3</v>
      </c>
      <c r="FP52" s="615">
        <v>3</v>
      </c>
      <c r="FQ52" s="615">
        <v>3</v>
      </c>
      <c r="FR52" s="615">
        <v>3</v>
      </c>
      <c r="FS52" s="615">
        <v>4</v>
      </c>
      <c r="FT52" s="615">
        <v>4</v>
      </c>
      <c r="FU52" s="615">
        <v>4</v>
      </c>
      <c r="FV52" s="615">
        <v>48</v>
      </c>
      <c r="FW52" s="615">
        <v>48</v>
      </c>
      <c r="FX52" s="615">
        <v>48</v>
      </c>
      <c r="FY52" s="615">
        <v>48</v>
      </c>
      <c r="FZ52" s="615">
        <v>48</v>
      </c>
      <c r="GA52" s="615">
        <v>47</v>
      </c>
      <c r="GB52" s="615">
        <v>47</v>
      </c>
      <c r="GC52" s="615">
        <v>46</v>
      </c>
      <c r="GD52" s="615">
        <v>45</v>
      </c>
      <c r="GE52" s="615">
        <v>44</v>
      </c>
      <c r="GF52" s="615">
        <v>18350</v>
      </c>
      <c r="GG52" s="615" t="s">
        <v>1206</v>
      </c>
      <c r="GH52" s="615" t="s">
        <v>1206</v>
      </c>
      <c r="GI52" s="615" t="s">
        <v>1206</v>
      </c>
      <c r="GJ52" s="615" t="s">
        <v>1206</v>
      </c>
      <c r="GK52" s="615" t="s">
        <v>1206</v>
      </c>
      <c r="GL52" s="615" t="s">
        <v>1206</v>
      </c>
      <c r="GM52" s="615" t="s">
        <v>1206</v>
      </c>
      <c r="GN52" s="615" t="s">
        <v>1206</v>
      </c>
      <c r="GO52" s="615" t="s">
        <v>1206</v>
      </c>
      <c r="GP52" s="615" t="s">
        <v>1206</v>
      </c>
      <c r="GQ52" s="615" t="s">
        <v>1206</v>
      </c>
      <c r="GR52" s="615" t="s">
        <v>1206</v>
      </c>
      <c r="GS52" s="615">
        <v>16</v>
      </c>
      <c r="GT52" s="615">
        <v>16</v>
      </c>
      <c r="GU52" s="615">
        <v>16</v>
      </c>
      <c r="GV52" s="615">
        <v>16</v>
      </c>
      <c r="GW52" s="615">
        <v>16</v>
      </c>
      <c r="GX52" s="615">
        <v>16</v>
      </c>
      <c r="GY52" s="615">
        <v>16</v>
      </c>
      <c r="GZ52" s="615">
        <v>16</v>
      </c>
      <c r="HA52" s="615">
        <v>16</v>
      </c>
      <c r="HB52" s="615">
        <v>16</v>
      </c>
      <c r="HC52" s="615" t="s">
        <v>1207</v>
      </c>
      <c r="HD52" s="615" t="s">
        <v>1207</v>
      </c>
      <c r="HE52" s="615" t="s">
        <v>1207</v>
      </c>
      <c r="HF52" s="615" t="s">
        <v>1207</v>
      </c>
      <c r="HG52" s="615" t="s">
        <v>1207</v>
      </c>
      <c r="HH52" s="615" t="s">
        <v>1207</v>
      </c>
      <c r="HI52" s="615" t="s">
        <v>1207</v>
      </c>
      <c r="HJ52" s="615" t="s">
        <v>1207</v>
      </c>
      <c r="HK52" s="615" t="s">
        <v>1207</v>
      </c>
      <c r="HL52" s="615" t="s">
        <v>1207</v>
      </c>
      <c r="HM52" s="615" t="s">
        <v>1207</v>
      </c>
      <c r="HN52" s="615" t="s">
        <v>1207</v>
      </c>
      <c r="HO52" s="611">
        <f t="shared" si="25"/>
        <v>79950</v>
      </c>
      <c r="HP52" s="611">
        <f t="shared" si="26"/>
        <v>79950</v>
      </c>
      <c r="HQ52" s="611">
        <f t="shared" si="27"/>
        <v>79950</v>
      </c>
      <c r="HR52" s="611">
        <f t="shared" si="28"/>
        <v>79950</v>
      </c>
      <c r="HS52" s="611">
        <f t="shared" si="29"/>
        <v>79950</v>
      </c>
      <c r="HT52" s="611">
        <f t="shared" si="30"/>
        <v>79950</v>
      </c>
      <c r="HU52" s="611">
        <f t="shared" si="31"/>
        <v>79950</v>
      </c>
      <c r="HV52" s="611">
        <f t="shared" si="32"/>
        <v>79950</v>
      </c>
      <c r="HW52" s="611">
        <f t="shared" si="33"/>
        <v>79950</v>
      </c>
      <c r="HX52" s="611">
        <f t="shared" si="34"/>
        <v>79950</v>
      </c>
      <c r="HY52" s="611">
        <f t="shared" si="35"/>
        <v>79950</v>
      </c>
      <c r="HZ52" s="611">
        <f t="shared" si="36"/>
        <v>79950</v>
      </c>
      <c r="IA52" s="619" t="s">
        <v>1296</v>
      </c>
    </row>
    <row r="53" spans="2:235">
      <c r="B53" s="625">
        <v>49</v>
      </c>
      <c r="C53" s="626">
        <v>249</v>
      </c>
      <c r="D53" s="627" t="s">
        <v>1256</v>
      </c>
      <c r="E53" s="612" t="s">
        <v>13</v>
      </c>
      <c r="F53" s="612">
        <v>195</v>
      </c>
      <c r="G53" s="612">
        <v>135</v>
      </c>
      <c r="H53" s="612">
        <v>60</v>
      </c>
      <c r="I53" s="612">
        <v>0</v>
      </c>
      <c r="J53" s="612"/>
      <c r="K53" s="612"/>
      <c r="L53" s="612"/>
      <c r="M53" s="612"/>
      <c r="N53" s="612"/>
      <c r="O53" s="612"/>
      <c r="P53" s="612"/>
      <c r="Q53" s="612"/>
      <c r="R53" s="612"/>
      <c r="S53" s="612"/>
      <c r="T53" s="612"/>
      <c r="U53" s="612"/>
      <c r="V53" s="612"/>
      <c r="W53" s="612"/>
      <c r="X53" s="612"/>
      <c r="Y53" s="612"/>
      <c r="Z53" s="612"/>
      <c r="AA53" s="612"/>
      <c r="AB53" s="612"/>
      <c r="AC53" s="612"/>
      <c r="AD53" s="612"/>
      <c r="AE53" s="612"/>
      <c r="AF53" s="612"/>
      <c r="AG53" s="612"/>
      <c r="AH53" s="612"/>
      <c r="AI53" s="612"/>
      <c r="AJ53" s="612"/>
      <c r="AK53" s="612"/>
      <c r="AL53" s="612"/>
      <c r="AM53" s="613"/>
      <c r="AN53" s="613"/>
      <c r="AO53" s="613"/>
      <c r="AP53" s="612"/>
      <c r="AQ53" s="612" t="s">
        <v>11</v>
      </c>
      <c r="AR53" s="615" t="s">
        <v>629</v>
      </c>
      <c r="AS53" s="615" t="s">
        <v>629</v>
      </c>
      <c r="AT53" s="615" t="s">
        <v>629</v>
      </c>
      <c r="AU53" s="615" t="s">
        <v>629</v>
      </c>
      <c r="AV53" s="615" t="s">
        <v>629</v>
      </c>
      <c r="AW53" s="615" t="s">
        <v>629</v>
      </c>
      <c r="AX53" s="615" t="s">
        <v>629</v>
      </c>
      <c r="AY53" s="615" t="s">
        <v>629</v>
      </c>
      <c r="AZ53" s="615" t="s">
        <v>629</v>
      </c>
      <c r="BA53" s="615" t="s">
        <v>629</v>
      </c>
      <c r="BB53" s="615" t="s">
        <v>629</v>
      </c>
      <c r="BC53" s="615" t="s">
        <v>629</v>
      </c>
      <c r="BD53" s="615" t="s">
        <v>629</v>
      </c>
      <c r="BE53" s="615" t="s">
        <v>629</v>
      </c>
      <c r="BF53" s="615" t="s">
        <v>629</v>
      </c>
      <c r="BG53" s="615" t="s">
        <v>629</v>
      </c>
      <c r="BH53" s="615" t="s">
        <v>629</v>
      </c>
      <c r="BI53" s="615" t="s">
        <v>629</v>
      </c>
      <c r="BJ53" s="615" t="s">
        <v>629</v>
      </c>
      <c r="BK53" s="615" t="s">
        <v>629</v>
      </c>
      <c r="BL53" s="615" t="s">
        <v>629</v>
      </c>
      <c r="BM53" s="615" t="s">
        <v>629</v>
      </c>
      <c r="BN53" s="615" t="s">
        <v>629</v>
      </c>
      <c r="BO53" s="615" t="s">
        <v>629</v>
      </c>
      <c r="BP53" s="615">
        <v>0</v>
      </c>
      <c r="BQ53" s="615">
        <v>0</v>
      </c>
      <c r="BR53" s="615">
        <v>0</v>
      </c>
      <c r="BS53" s="615">
        <v>0</v>
      </c>
      <c r="BT53" s="615">
        <v>0</v>
      </c>
      <c r="BU53" s="615">
        <v>0</v>
      </c>
      <c r="BV53" s="615">
        <v>0</v>
      </c>
      <c r="BW53" s="615">
        <v>0</v>
      </c>
      <c r="BX53" s="615">
        <v>0</v>
      </c>
      <c r="BY53" s="615">
        <v>0</v>
      </c>
      <c r="BZ53" s="615">
        <v>0</v>
      </c>
      <c r="CA53" s="615">
        <v>0</v>
      </c>
      <c r="CB53" s="615">
        <v>0</v>
      </c>
      <c r="CC53" s="615">
        <v>0</v>
      </c>
      <c r="CD53" s="615">
        <v>0</v>
      </c>
      <c r="CE53" s="615">
        <v>0</v>
      </c>
      <c r="CF53" s="615">
        <v>0</v>
      </c>
      <c r="CG53" s="615">
        <v>0</v>
      </c>
      <c r="CH53" s="615">
        <v>0</v>
      </c>
      <c r="CI53" s="615">
        <v>0</v>
      </c>
      <c r="CJ53" s="615">
        <v>0</v>
      </c>
      <c r="CK53" s="615">
        <v>0</v>
      </c>
      <c r="CL53" s="615">
        <v>0</v>
      </c>
      <c r="CM53" s="615">
        <v>0</v>
      </c>
      <c r="CN53" s="615">
        <v>0</v>
      </c>
      <c r="CO53" s="615">
        <v>0</v>
      </c>
      <c r="CP53" s="615">
        <v>0</v>
      </c>
      <c r="CQ53" s="615">
        <v>0</v>
      </c>
      <c r="CR53" s="615">
        <v>0</v>
      </c>
      <c r="CS53" s="615">
        <v>0</v>
      </c>
      <c r="CT53" s="615">
        <v>0</v>
      </c>
      <c r="CU53" s="615">
        <v>0</v>
      </c>
      <c r="CV53" s="615">
        <v>0</v>
      </c>
      <c r="CW53" s="615">
        <v>0</v>
      </c>
      <c r="CX53" s="615">
        <v>0</v>
      </c>
      <c r="CY53" s="615">
        <v>0</v>
      </c>
      <c r="CZ53" s="615" t="s">
        <v>1049</v>
      </c>
      <c r="DA53" s="615">
        <v>0</v>
      </c>
      <c r="DB53" s="617"/>
      <c r="DC53" s="617"/>
      <c r="DD53" s="617"/>
      <c r="DE53" s="617"/>
      <c r="DF53" s="617"/>
      <c r="DG53" s="617"/>
      <c r="DH53" s="617"/>
      <c r="DI53" s="617"/>
      <c r="DJ53" s="617"/>
      <c r="DK53" s="617"/>
      <c r="DL53" s="617"/>
      <c r="DM53" s="617"/>
      <c r="DN53" s="617"/>
      <c r="DO53" s="617"/>
      <c r="DP53" s="617"/>
      <c r="DQ53" s="617"/>
      <c r="DR53" s="617"/>
      <c r="DS53" s="617"/>
      <c r="DT53" s="617"/>
      <c r="DU53" s="617"/>
      <c r="DV53" s="617"/>
      <c r="DW53" s="617"/>
      <c r="DX53" s="617"/>
      <c r="DY53" s="617"/>
      <c r="DZ53" s="617"/>
      <c r="EA53" s="617"/>
      <c r="EB53" s="617"/>
      <c r="EC53" s="617"/>
      <c r="ED53" s="617"/>
      <c r="EE53" s="617"/>
      <c r="EF53" s="617"/>
      <c r="EG53" s="617"/>
      <c r="EH53" s="617"/>
      <c r="EI53" s="617"/>
      <c r="EJ53" s="617"/>
      <c r="EK53" s="617"/>
      <c r="EL53" s="615" t="s">
        <v>833</v>
      </c>
      <c r="EM53" s="615" t="s">
        <v>833</v>
      </c>
      <c r="EN53" s="615" t="s">
        <v>833</v>
      </c>
      <c r="EO53" s="615" t="s">
        <v>833</v>
      </c>
      <c r="EP53" s="615" t="s">
        <v>833</v>
      </c>
      <c r="EQ53" s="615" t="s">
        <v>833</v>
      </c>
      <c r="ER53" s="615" t="s">
        <v>833</v>
      </c>
      <c r="ES53" s="615" t="s">
        <v>833</v>
      </c>
      <c r="ET53" s="615" t="s">
        <v>833</v>
      </c>
      <c r="EU53" s="615" t="s">
        <v>833</v>
      </c>
      <c r="EV53" s="615" t="s">
        <v>833</v>
      </c>
      <c r="EW53" s="615" t="s">
        <v>833</v>
      </c>
      <c r="EX53" s="615">
        <v>3670</v>
      </c>
      <c r="EY53" s="615">
        <v>3820</v>
      </c>
      <c r="EZ53" s="615" t="s">
        <v>1206</v>
      </c>
      <c r="FA53" s="615" t="s">
        <v>1206</v>
      </c>
      <c r="FB53" s="615" t="s">
        <v>1206</v>
      </c>
      <c r="FC53" s="615" t="s">
        <v>1206</v>
      </c>
      <c r="FD53" s="615" t="s">
        <v>1206</v>
      </c>
      <c r="FE53" s="615" t="s">
        <v>1206</v>
      </c>
      <c r="FF53" s="615" t="s">
        <v>1206</v>
      </c>
      <c r="FG53" s="615" t="s">
        <v>1206</v>
      </c>
      <c r="FH53" s="615" t="s">
        <v>1206</v>
      </c>
      <c r="FI53" s="615" t="s">
        <v>1206</v>
      </c>
      <c r="FJ53" s="615" t="s">
        <v>1206</v>
      </c>
      <c r="FK53" s="615" t="s">
        <v>1206</v>
      </c>
      <c r="FL53" s="615">
        <v>102</v>
      </c>
      <c r="FM53" s="615">
        <v>104</v>
      </c>
      <c r="FN53" s="615">
        <v>104</v>
      </c>
      <c r="FO53" s="615">
        <v>104</v>
      </c>
      <c r="FP53" s="615">
        <v>104</v>
      </c>
      <c r="FQ53" s="615">
        <v>104</v>
      </c>
      <c r="FR53" s="615">
        <v>104</v>
      </c>
      <c r="FS53" s="615">
        <v>104</v>
      </c>
      <c r="FT53" s="615">
        <v>104</v>
      </c>
      <c r="FU53" s="615">
        <v>105</v>
      </c>
      <c r="FV53" s="615">
        <v>37</v>
      </c>
      <c r="FW53" s="615">
        <v>37</v>
      </c>
      <c r="FX53" s="615">
        <v>37</v>
      </c>
      <c r="FY53" s="615">
        <v>37</v>
      </c>
      <c r="FZ53" s="615">
        <v>37</v>
      </c>
      <c r="GA53" s="615">
        <v>37</v>
      </c>
      <c r="GB53" s="615">
        <v>37</v>
      </c>
      <c r="GC53" s="615">
        <v>37</v>
      </c>
      <c r="GD53" s="615">
        <v>37</v>
      </c>
      <c r="GE53" s="615">
        <v>37</v>
      </c>
      <c r="GF53" s="615">
        <v>18350</v>
      </c>
      <c r="GG53" s="615" t="s">
        <v>1206</v>
      </c>
      <c r="GH53" s="615" t="s">
        <v>1206</v>
      </c>
      <c r="GI53" s="615" t="s">
        <v>1206</v>
      </c>
      <c r="GJ53" s="615" t="s">
        <v>1206</v>
      </c>
      <c r="GK53" s="615" t="s">
        <v>1206</v>
      </c>
      <c r="GL53" s="615" t="s">
        <v>1206</v>
      </c>
      <c r="GM53" s="615" t="s">
        <v>1206</v>
      </c>
      <c r="GN53" s="615" t="s">
        <v>1206</v>
      </c>
      <c r="GO53" s="615" t="s">
        <v>1206</v>
      </c>
      <c r="GP53" s="615" t="s">
        <v>1206</v>
      </c>
      <c r="GQ53" s="615" t="s">
        <v>1206</v>
      </c>
      <c r="GR53" s="615" t="s">
        <v>1206</v>
      </c>
      <c r="GS53" s="615">
        <v>0</v>
      </c>
      <c r="GT53" s="615">
        <v>0</v>
      </c>
      <c r="GU53" s="615">
        <v>0</v>
      </c>
      <c r="GV53" s="615">
        <v>0</v>
      </c>
      <c r="GW53" s="615">
        <v>0</v>
      </c>
      <c r="GX53" s="615">
        <v>0</v>
      </c>
      <c r="GY53" s="615">
        <v>0</v>
      </c>
      <c r="GZ53" s="615">
        <v>0</v>
      </c>
      <c r="HA53" s="615">
        <v>0</v>
      </c>
      <c r="HB53" s="615">
        <v>0</v>
      </c>
      <c r="HC53" s="615" t="s">
        <v>1208</v>
      </c>
      <c r="HD53" s="615" t="s">
        <v>1208</v>
      </c>
      <c r="HE53" s="615" t="s">
        <v>1208</v>
      </c>
      <c r="HF53" s="615" t="s">
        <v>1208</v>
      </c>
      <c r="HG53" s="615" t="s">
        <v>1208</v>
      </c>
      <c r="HH53" s="615" t="s">
        <v>1208</v>
      </c>
      <c r="HI53" s="615" t="s">
        <v>1208</v>
      </c>
      <c r="HJ53" s="615" t="s">
        <v>1208</v>
      </c>
      <c r="HK53" s="615" t="s">
        <v>1208</v>
      </c>
      <c r="HL53" s="615" t="s">
        <v>1208</v>
      </c>
      <c r="HM53" s="615" t="s">
        <v>1208</v>
      </c>
      <c r="HN53" s="615" t="s">
        <v>1208</v>
      </c>
      <c r="HO53" s="611" t="str">
        <f t="shared" si="25"/>
        <v/>
      </c>
      <c r="HP53" s="611" t="str">
        <f t="shared" si="26"/>
        <v/>
      </c>
      <c r="HQ53" s="611" t="str">
        <f t="shared" si="27"/>
        <v/>
      </c>
      <c r="HR53" s="611" t="str">
        <f t="shared" si="28"/>
        <v/>
      </c>
      <c r="HS53" s="611" t="str">
        <f t="shared" si="29"/>
        <v/>
      </c>
      <c r="HT53" s="611" t="str">
        <f t="shared" si="30"/>
        <v/>
      </c>
      <c r="HU53" s="611" t="str">
        <f t="shared" si="31"/>
        <v/>
      </c>
      <c r="HV53" s="611" t="str">
        <f t="shared" si="32"/>
        <v/>
      </c>
      <c r="HW53" s="611" t="str">
        <f t="shared" si="33"/>
        <v/>
      </c>
      <c r="HX53" s="611" t="str">
        <f t="shared" si="34"/>
        <v/>
      </c>
      <c r="HY53" s="611" t="str">
        <f t="shared" si="35"/>
        <v/>
      </c>
      <c r="HZ53" s="611" t="str">
        <f t="shared" si="36"/>
        <v/>
      </c>
      <c r="IA53" s="619" t="s">
        <v>1297</v>
      </c>
    </row>
    <row r="54" spans="2:235">
      <c r="B54" s="625">
        <v>50</v>
      </c>
      <c r="C54" s="626">
        <v>250</v>
      </c>
      <c r="D54" s="627" t="s">
        <v>1259</v>
      </c>
      <c r="E54" s="612" t="s">
        <v>13</v>
      </c>
      <c r="F54" s="612">
        <v>105</v>
      </c>
      <c r="G54" s="612">
        <v>35</v>
      </c>
      <c r="H54" s="612">
        <v>50</v>
      </c>
      <c r="I54" s="612">
        <v>20</v>
      </c>
      <c r="J54" s="612"/>
      <c r="K54" s="612"/>
      <c r="L54" s="612"/>
      <c r="M54" s="612"/>
      <c r="N54" s="612"/>
      <c r="O54" s="612"/>
      <c r="P54" s="612"/>
      <c r="Q54" s="612"/>
      <c r="R54" s="612"/>
      <c r="S54" s="612"/>
      <c r="T54" s="612"/>
      <c r="U54" s="612"/>
      <c r="V54" s="612"/>
      <c r="W54" s="612"/>
      <c r="X54" s="612"/>
      <c r="Y54" s="612"/>
      <c r="Z54" s="612"/>
      <c r="AA54" s="612"/>
      <c r="AB54" s="612"/>
      <c r="AC54" s="612"/>
      <c r="AD54" s="612"/>
      <c r="AE54" s="612"/>
      <c r="AF54" s="612"/>
      <c r="AG54" s="612"/>
      <c r="AH54" s="612"/>
      <c r="AI54" s="612"/>
      <c r="AJ54" s="612"/>
      <c r="AK54" s="612"/>
      <c r="AL54" s="612"/>
      <c r="AM54" s="613"/>
      <c r="AN54" s="613"/>
      <c r="AO54" s="613"/>
      <c r="AP54" s="612"/>
      <c r="AQ54" s="612" t="s">
        <v>11</v>
      </c>
      <c r="AR54" s="615" t="s">
        <v>629</v>
      </c>
      <c r="AS54" s="615" t="s">
        <v>629</v>
      </c>
      <c r="AT54" s="615" t="s">
        <v>629</v>
      </c>
      <c r="AU54" s="615" t="s">
        <v>629</v>
      </c>
      <c r="AV54" s="615" t="s">
        <v>629</v>
      </c>
      <c r="AW54" s="615" t="s">
        <v>629</v>
      </c>
      <c r="AX54" s="615" t="s">
        <v>629</v>
      </c>
      <c r="AY54" s="615" t="s">
        <v>629</v>
      </c>
      <c r="AZ54" s="615" t="s">
        <v>629</v>
      </c>
      <c r="BA54" s="615" t="s">
        <v>629</v>
      </c>
      <c r="BB54" s="615" t="s">
        <v>629</v>
      </c>
      <c r="BC54" s="615" t="s">
        <v>629</v>
      </c>
      <c r="BD54" s="615" t="s">
        <v>629</v>
      </c>
      <c r="BE54" s="615" t="s">
        <v>629</v>
      </c>
      <c r="BF54" s="615" t="s">
        <v>629</v>
      </c>
      <c r="BG54" s="615" t="s">
        <v>629</v>
      </c>
      <c r="BH54" s="615" t="s">
        <v>629</v>
      </c>
      <c r="BI54" s="615" t="s">
        <v>629</v>
      </c>
      <c r="BJ54" s="615" t="s">
        <v>629</v>
      </c>
      <c r="BK54" s="615" t="s">
        <v>629</v>
      </c>
      <c r="BL54" s="615" t="s">
        <v>629</v>
      </c>
      <c r="BM54" s="615" t="s">
        <v>629</v>
      </c>
      <c r="BN54" s="615" t="s">
        <v>629</v>
      </c>
      <c r="BO54" s="615" t="s">
        <v>629</v>
      </c>
      <c r="BP54" s="615">
        <v>1</v>
      </c>
      <c r="BQ54" s="615">
        <v>1</v>
      </c>
      <c r="BR54" s="615">
        <v>1</v>
      </c>
      <c r="BS54" s="615">
        <v>1</v>
      </c>
      <c r="BT54" s="615">
        <v>1</v>
      </c>
      <c r="BU54" s="615">
        <v>1</v>
      </c>
      <c r="BV54" s="615">
        <v>1</v>
      </c>
      <c r="BW54" s="615">
        <v>1</v>
      </c>
      <c r="BX54" s="615">
        <v>1</v>
      </c>
      <c r="BY54" s="615">
        <v>1</v>
      </c>
      <c r="BZ54" s="615">
        <v>1</v>
      </c>
      <c r="CA54" s="615">
        <v>1</v>
      </c>
      <c r="CB54" s="615">
        <v>0</v>
      </c>
      <c r="CC54" s="615">
        <v>0</v>
      </c>
      <c r="CD54" s="615">
        <v>0</v>
      </c>
      <c r="CE54" s="615">
        <v>0</v>
      </c>
      <c r="CF54" s="615">
        <v>0</v>
      </c>
      <c r="CG54" s="615">
        <v>0</v>
      </c>
      <c r="CH54" s="615">
        <v>0</v>
      </c>
      <c r="CI54" s="615">
        <v>0</v>
      </c>
      <c r="CJ54" s="615">
        <v>0</v>
      </c>
      <c r="CK54" s="615">
        <v>0</v>
      </c>
      <c r="CL54" s="615">
        <v>0</v>
      </c>
      <c r="CM54" s="615">
        <v>0</v>
      </c>
      <c r="CN54" s="615">
        <v>0</v>
      </c>
      <c r="CO54" s="615">
        <v>0</v>
      </c>
      <c r="CP54" s="615">
        <v>0</v>
      </c>
      <c r="CQ54" s="615">
        <v>0</v>
      </c>
      <c r="CR54" s="615">
        <v>0</v>
      </c>
      <c r="CS54" s="615">
        <v>0</v>
      </c>
      <c r="CT54" s="615">
        <v>0</v>
      </c>
      <c r="CU54" s="615">
        <v>0</v>
      </c>
      <c r="CV54" s="615">
        <v>0</v>
      </c>
      <c r="CW54" s="615">
        <v>0</v>
      </c>
      <c r="CX54" s="615">
        <v>0</v>
      </c>
      <c r="CY54" s="615">
        <v>0</v>
      </c>
      <c r="CZ54" s="615" t="s">
        <v>1049</v>
      </c>
      <c r="DA54" s="615">
        <v>1</v>
      </c>
      <c r="DB54" s="617"/>
      <c r="DC54" s="617"/>
      <c r="DD54" s="617"/>
      <c r="DE54" s="617"/>
      <c r="DF54" s="617"/>
      <c r="DG54" s="617"/>
      <c r="DH54" s="617"/>
      <c r="DI54" s="617"/>
      <c r="DJ54" s="617"/>
      <c r="DK54" s="617"/>
      <c r="DL54" s="617"/>
      <c r="DM54" s="617"/>
      <c r="DN54" s="617"/>
      <c r="DO54" s="617"/>
      <c r="DP54" s="617"/>
      <c r="DQ54" s="617"/>
      <c r="DR54" s="617"/>
      <c r="DS54" s="617"/>
      <c r="DT54" s="617"/>
      <c r="DU54" s="617"/>
      <c r="DV54" s="617"/>
      <c r="DW54" s="617"/>
      <c r="DX54" s="617"/>
      <c r="DY54" s="617"/>
      <c r="DZ54" s="617"/>
      <c r="EA54" s="617"/>
      <c r="EB54" s="617"/>
      <c r="EC54" s="617"/>
      <c r="ED54" s="617"/>
      <c r="EE54" s="617"/>
      <c r="EF54" s="617"/>
      <c r="EG54" s="617"/>
      <c r="EH54" s="617"/>
      <c r="EI54" s="617"/>
      <c r="EJ54" s="617"/>
      <c r="EK54" s="617"/>
      <c r="EL54" s="615" t="s">
        <v>833</v>
      </c>
      <c r="EM54" s="615" t="s">
        <v>833</v>
      </c>
      <c r="EN54" s="615" t="s">
        <v>833</v>
      </c>
      <c r="EO54" s="615" t="s">
        <v>833</v>
      </c>
      <c r="EP54" s="615" t="s">
        <v>833</v>
      </c>
      <c r="EQ54" s="615" t="s">
        <v>833</v>
      </c>
      <c r="ER54" s="615" t="s">
        <v>833</v>
      </c>
      <c r="ES54" s="615" t="s">
        <v>833</v>
      </c>
      <c r="ET54" s="615" t="s">
        <v>833</v>
      </c>
      <c r="EU54" s="615" t="s">
        <v>833</v>
      </c>
      <c r="EV54" s="615" t="s">
        <v>833</v>
      </c>
      <c r="EW54" s="615" t="s">
        <v>833</v>
      </c>
      <c r="EX54" s="615">
        <v>3670</v>
      </c>
      <c r="EY54" s="615">
        <v>3820</v>
      </c>
      <c r="EZ54" s="615" t="s">
        <v>1206</v>
      </c>
      <c r="FA54" s="615" t="s">
        <v>1206</v>
      </c>
      <c r="FB54" s="615" t="s">
        <v>1206</v>
      </c>
      <c r="FC54" s="615" t="s">
        <v>1206</v>
      </c>
      <c r="FD54" s="615" t="s">
        <v>1206</v>
      </c>
      <c r="FE54" s="615" t="s">
        <v>1206</v>
      </c>
      <c r="FF54" s="615" t="s">
        <v>1206</v>
      </c>
      <c r="FG54" s="615" t="s">
        <v>1206</v>
      </c>
      <c r="FH54" s="615" t="s">
        <v>1206</v>
      </c>
      <c r="FI54" s="615" t="s">
        <v>1206</v>
      </c>
      <c r="FJ54" s="615" t="s">
        <v>1206</v>
      </c>
      <c r="FK54" s="615" t="s">
        <v>1206</v>
      </c>
      <c r="FL54" s="615">
        <v>15</v>
      </c>
      <c r="FM54" s="615">
        <v>17</v>
      </c>
      <c r="FN54" s="615">
        <v>16</v>
      </c>
      <c r="FO54" s="615">
        <v>16</v>
      </c>
      <c r="FP54" s="615">
        <v>16</v>
      </c>
      <c r="FQ54" s="615">
        <v>17</v>
      </c>
      <c r="FR54" s="615">
        <v>17</v>
      </c>
      <c r="FS54" s="615">
        <v>17</v>
      </c>
      <c r="FT54" s="615">
        <v>17</v>
      </c>
      <c r="FU54" s="615">
        <v>17</v>
      </c>
      <c r="FV54" s="615">
        <v>27</v>
      </c>
      <c r="FW54" s="615">
        <v>27</v>
      </c>
      <c r="FX54" s="615">
        <v>28</v>
      </c>
      <c r="FY54" s="615">
        <v>28</v>
      </c>
      <c r="FZ54" s="615">
        <v>28</v>
      </c>
      <c r="GA54" s="615">
        <v>28</v>
      </c>
      <c r="GB54" s="615">
        <v>29</v>
      </c>
      <c r="GC54" s="615">
        <v>29</v>
      </c>
      <c r="GD54" s="615">
        <v>29</v>
      </c>
      <c r="GE54" s="615">
        <v>30</v>
      </c>
      <c r="GF54" s="615">
        <v>18350</v>
      </c>
      <c r="GG54" s="615" t="s">
        <v>833</v>
      </c>
      <c r="GH54" s="615" t="s">
        <v>833</v>
      </c>
      <c r="GI54" s="615" t="s">
        <v>833</v>
      </c>
      <c r="GJ54" s="615" t="s">
        <v>833</v>
      </c>
      <c r="GK54" s="615" t="s">
        <v>833</v>
      </c>
      <c r="GL54" s="615" t="s">
        <v>833</v>
      </c>
      <c r="GM54" s="615" t="s">
        <v>833</v>
      </c>
      <c r="GN54" s="615" t="s">
        <v>833</v>
      </c>
      <c r="GO54" s="615" t="s">
        <v>833</v>
      </c>
      <c r="GP54" s="615" t="s">
        <v>833</v>
      </c>
      <c r="GQ54" s="615" t="s">
        <v>833</v>
      </c>
      <c r="GR54" s="615" t="s">
        <v>833</v>
      </c>
      <c r="GS54" s="615">
        <v>10</v>
      </c>
      <c r="GT54" s="615">
        <v>10</v>
      </c>
      <c r="GU54" s="615">
        <v>10</v>
      </c>
      <c r="GV54" s="615">
        <v>10</v>
      </c>
      <c r="GW54" s="615">
        <v>10</v>
      </c>
      <c r="GX54" s="615">
        <v>10</v>
      </c>
      <c r="GY54" s="615">
        <v>10</v>
      </c>
      <c r="GZ54" s="615">
        <v>10</v>
      </c>
      <c r="HA54" s="615">
        <v>10</v>
      </c>
      <c r="HB54" s="615">
        <v>10</v>
      </c>
      <c r="HC54" s="615" t="s">
        <v>1208</v>
      </c>
      <c r="HD54" s="615" t="s">
        <v>1208</v>
      </c>
      <c r="HE54" s="615" t="s">
        <v>1208</v>
      </c>
      <c r="HF54" s="615" t="s">
        <v>1208</v>
      </c>
      <c r="HG54" s="615" t="s">
        <v>1208</v>
      </c>
      <c r="HH54" s="615" t="s">
        <v>1208</v>
      </c>
      <c r="HI54" s="615" t="s">
        <v>1208</v>
      </c>
      <c r="HJ54" s="615" t="s">
        <v>1208</v>
      </c>
      <c r="HK54" s="615" t="s">
        <v>1208</v>
      </c>
      <c r="HL54" s="615" t="s">
        <v>1208</v>
      </c>
      <c r="HM54" s="615" t="s">
        <v>1208</v>
      </c>
      <c r="HN54" s="615" t="s">
        <v>1208</v>
      </c>
      <c r="HO54" s="611" t="str">
        <f t="shared" si="25"/>
        <v/>
      </c>
      <c r="HP54" s="611" t="str">
        <f t="shared" si="26"/>
        <v/>
      </c>
      <c r="HQ54" s="611" t="str">
        <f t="shared" si="27"/>
        <v/>
      </c>
      <c r="HR54" s="611" t="str">
        <f t="shared" si="28"/>
        <v/>
      </c>
      <c r="HS54" s="611" t="str">
        <f t="shared" si="29"/>
        <v/>
      </c>
      <c r="HT54" s="611" t="str">
        <f t="shared" si="30"/>
        <v/>
      </c>
      <c r="HU54" s="611" t="str">
        <f t="shared" si="31"/>
        <v/>
      </c>
      <c r="HV54" s="611" t="str">
        <f t="shared" si="32"/>
        <v/>
      </c>
      <c r="HW54" s="611" t="str">
        <f t="shared" si="33"/>
        <v/>
      </c>
      <c r="HX54" s="611" t="str">
        <f t="shared" si="34"/>
        <v/>
      </c>
      <c r="HY54" s="611" t="str">
        <f t="shared" si="35"/>
        <v/>
      </c>
      <c r="HZ54" s="611" t="str">
        <f t="shared" si="36"/>
        <v/>
      </c>
      <c r="IA54" s="619" t="s">
        <v>1295</v>
      </c>
    </row>
    <row r="55" spans="2:235">
      <c r="B55" s="625">
        <v>51</v>
      </c>
      <c r="C55" s="626">
        <v>251</v>
      </c>
      <c r="D55" s="627" t="s">
        <v>1604</v>
      </c>
      <c r="E55" s="612" t="s">
        <v>13</v>
      </c>
      <c r="F55" s="612">
        <v>140</v>
      </c>
      <c r="G55" s="612">
        <v>5</v>
      </c>
      <c r="H55" s="612">
        <v>75</v>
      </c>
      <c r="I55" s="612">
        <v>60</v>
      </c>
      <c r="J55" s="612"/>
      <c r="K55" s="612"/>
      <c r="L55" s="612"/>
      <c r="M55" s="612"/>
      <c r="N55" s="612"/>
      <c r="O55" s="612"/>
      <c r="P55" s="612"/>
      <c r="Q55" s="612"/>
      <c r="R55" s="612"/>
      <c r="S55" s="612"/>
      <c r="T55" s="612"/>
      <c r="U55" s="612"/>
      <c r="V55" s="612"/>
      <c r="W55" s="612"/>
      <c r="X55" s="612"/>
      <c r="Y55" s="612"/>
      <c r="Z55" s="612"/>
      <c r="AA55" s="612"/>
      <c r="AB55" s="612"/>
      <c r="AC55" s="612"/>
      <c r="AD55" s="612"/>
      <c r="AE55" s="612"/>
      <c r="AF55" s="612"/>
      <c r="AG55" s="612"/>
      <c r="AH55" s="612"/>
      <c r="AI55" s="612"/>
      <c r="AJ55" s="612"/>
      <c r="AK55" s="612"/>
      <c r="AL55" s="612"/>
      <c r="AM55" s="613"/>
      <c r="AN55" s="613"/>
      <c r="AO55" s="613"/>
      <c r="AP55" s="612"/>
      <c r="AQ55" s="612" t="s">
        <v>11</v>
      </c>
      <c r="AR55" s="615" t="s">
        <v>629</v>
      </c>
      <c r="AS55" s="615" t="s">
        <v>629</v>
      </c>
      <c r="AT55" s="615" t="s">
        <v>629</v>
      </c>
      <c r="AU55" s="615" t="s">
        <v>629</v>
      </c>
      <c r="AV55" s="615" t="s">
        <v>629</v>
      </c>
      <c r="AW55" s="615" t="s">
        <v>629</v>
      </c>
      <c r="AX55" s="615" t="s">
        <v>629</v>
      </c>
      <c r="AY55" s="615" t="s">
        <v>629</v>
      </c>
      <c r="AZ55" s="615" t="s">
        <v>629</v>
      </c>
      <c r="BA55" s="615" t="s">
        <v>629</v>
      </c>
      <c r="BB55" s="615" t="s">
        <v>629</v>
      </c>
      <c r="BC55" s="615" t="s">
        <v>629</v>
      </c>
      <c r="BD55" s="615" t="s">
        <v>629</v>
      </c>
      <c r="BE55" s="615" t="s">
        <v>629</v>
      </c>
      <c r="BF55" s="615" t="s">
        <v>629</v>
      </c>
      <c r="BG55" s="615" t="s">
        <v>629</v>
      </c>
      <c r="BH55" s="615" t="s">
        <v>629</v>
      </c>
      <c r="BI55" s="615" t="s">
        <v>629</v>
      </c>
      <c r="BJ55" s="615" t="s">
        <v>629</v>
      </c>
      <c r="BK55" s="615" t="s">
        <v>629</v>
      </c>
      <c r="BL55" s="615" t="s">
        <v>629</v>
      </c>
      <c r="BM55" s="615" t="s">
        <v>629</v>
      </c>
      <c r="BN55" s="615" t="s">
        <v>629</v>
      </c>
      <c r="BO55" s="615" t="s">
        <v>629</v>
      </c>
      <c r="BP55" s="615">
        <v>0</v>
      </c>
      <c r="BQ55" s="615">
        <v>0</v>
      </c>
      <c r="BR55" s="615">
        <v>0</v>
      </c>
      <c r="BS55" s="615">
        <v>0</v>
      </c>
      <c r="BT55" s="615">
        <v>0</v>
      </c>
      <c r="BU55" s="615">
        <v>0</v>
      </c>
      <c r="BV55" s="615">
        <v>0</v>
      </c>
      <c r="BW55" s="615">
        <v>0</v>
      </c>
      <c r="BX55" s="615">
        <v>1</v>
      </c>
      <c r="BY55" s="615">
        <v>2</v>
      </c>
      <c r="BZ55" s="615">
        <v>2</v>
      </c>
      <c r="CA55" s="615">
        <v>2</v>
      </c>
      <c r="CB55" s="615">
        <v>0</v>
      </c>
      <c r="CC55" s="615">
        <v>0</v>
      </c>
      <c r="CD55" s="615">
        <v>0</v>
      </c>
      <c r="CE55" s="615">
        <v>0</v>
      </c>
      <c r="CF55" s="615">
        <v>0</v>
      </c>
      <c r="CG55" s="615">
        <v>0</v>
      </c>
      <c r="CH55" s="615">
        <v>0</v>
      </c>
      <c r="CI55" s="615">
        <v>0</v>
      </c>
      <c r="CJ55" s="615">
        <v>0</v>
      </c>
      <c r="CK55" s="615">
        <v>0</v>
      </c>
      <c r="CL55" s="615">
        <v>0</v>
      </c>
      <c r="CM55" s="615">
        <v>0</v>
      </c>
      <c r="CN55" s="615">
        <v>0</v>
      </c>
      <c r="CO55" s="615">
        <v>0</v>
      </c>
      <c r="CP55" s="615">
        <v>0</v>
      </c>
      <c r="CQ55" s="615">
        <v>0</v>
      </c>
      <c r="CR55" s="615">
        <v>0</v>
      </c>
      <c r="CS55" s="615">
        <v>0</v>
      </c>
      <c r="CT55" s="615">
        <v>0</v>
      </c>
      <c r="CU55" s="615">
        <v>0</v>
      </c>
      <c r="CV55" s="615">
        <v>0</v>
      </c>
      <c r="CW55" s="615">
        <v>0</v>
      </c>
      <c r="CX55" s="615">
        <v>0</v>
      </c>
      <c r="CY55" s="615">
        <v>0</v>
      </c>
      <c r="CZ55" s="615" t="s">
        <v>1049</v>
      </c>
      <c r="DA55" s="615">
        <v>3</v>
      </c>
      <c r="DB55" s="617"/>
      <c r="DC55" s="617"/>
      <c r="DD55" s="617"/>
      <c r="DE55" s="617"/>
      <c r="DF55" s="617"/>
      <c r="DG55" s="617"/>
      <c r="DH55" s="617"/>
      <c r="DI55" s="617"/>
      <c r="DJ55" s="617"/>
      <c r="DK55" s="617"/>
      <c r="DL55" s="617"/>
      <c r="DM55" s="617"/>
      <c r="DN55" s="617"/>
      <c r="DO55" s="617"/>
      <c r="DP55" s="617"/>
      <c r="DQ55" s="617"/>
      <c r="DR55" s="617"/>
      <c r="DS55" s="617"/>
      <c r="DT55" s="617"/>
      <c r="DU55" s="617"/>
      <c r="DV55" s="617"/>
      <c r="DW55" s="617"/>
      <c r="DX55" s="617"/>
      <c r="DY55" s="617"/>
      <c r="DZ55" s="617"/>
      <c r="EA55" s="617"/>
      <c r="EB55" s="617"/>
      <c r="EC55" s="617"/>
      <c r="ED55" s="617"/>
      <c r="EE55" s="617"/>
      <c r="EF55" s="617"/>
      <c r="EG55" s="617"/>
      <c r="EH55" s="617"/>
      <c r="EI55" s="617"/>
      <c r="EJ55" s="617"/>
      <c r="EK55" s="617"/>
      <c r="EL55" s="615" t="s">
        <v>833</v>
      </c>
      <c r="EM55" s="615" t="s">
        <v>833</v>
      </c>
      <c r="EN55" s="615" t="s">
        <v>833</v>
      </c>
      <c r="EO55" s="615" t="s">
        <v>833</v>
      </c>
      <c r="EP55" s="615" t="s">
        <v>833</v>
      </c>
      <c r="EQ55" s="615" t="s">
        <v>833</v>
      </c>
      <c r="ER55" s="615" t="s">
        <v>833</v>
      </c>
      <c r="ES55" s="615" t="s">
        <v>833</v>
      </c>
      <c r="ET55" s="615" t="s">
        <v>833</v>
      </c>
      <c r="EU55" s="615" t="s">
        <v>833</v>
      </c>
      <c r="EV55" s="615" t="s">
        <v>833</v>
      </c>
      <c r="EW55" s="615" t="s">
        <v>833</v>
      </c>
      <c r="EX55" s="615">
        <v>3670</v>
      </c>
      <c r="EY55" s="615">
        <v>3820</v>
      </c>
      <c r="EZ55" s="615" t="s">
        <v>833</v>
      </c>
      <c r="FA55" s="615" t="s">
        <v>833</v>
      </c>
      <c r="FB55" s="615" t="s">
        <v>833</v>
      </c>
      <c r="FC55" s="615" t="s">
        <v>833</v>
      </c>
      <c r="FD55" s="615" t="s">
        <v>833</v>
      </c>
      <c r="FE55" s="615" t="s">
        <v>833</v>
      </c>
      <c r="FF55" s="615" t="s">
        <v>833</v>
      </c>
      <c r="FG55" s="615" t="s">
        <v>833</v>
      </c>
      <c r="FH55" s="615" t="s">
        <v>833</v>
      </c>
      <c r="FI55" s="615" t="s">
        <v>833</v>
      </c>
      <c r="FJ55" s="615" t="s">
        <v>833</v>
      </c>
      <c r="FK55" s="615" t="s">
        <v>833</v>
      </c>
      <c r="FL55" s="615">
        <v>2</v>
      </c>
      <c r="FM55" s="615">
        <v>2</v>
      </c>
      <c r="FN55" s="615">
        <v>2</v>
      </c>
      <c r="FO55" s="615">
        <v>2</v>
      </c>
      <c r="FP55" s="615">
        <v>2</v>
      </c>
      <c r="FQ55" s="615">
        <v>2</v>
      </c>
      <c r="FR55" s="615">
        <v>2</v>
      </c>
      <c r="FS55" s="615">
        <v>2</v>
      </c>
      <c r="FT55" s="615">
        <v>2</v>
      </c>
      <c r="FU55" s="615">
        <v>2</v>
      </c>
      <c r="FV55" s="615">
        <v>58</v>
      </c>
      <c r="FW55" s="615">
        <v>58</v>
      </c>
      <c r="FX55" s="615">
        <v>58</v>
      </c>
      <c r="FY55" s="615">
        <v>58</v>
      </c>
      <c r="FZ55" s="615">
        <v>58</v>
      </c>
      <c r="GA55" s="615">
        <v>58</v>
      </c>
      <c r="GB55" s="615">
        <v>58</v>
      </c>
      <c r="GC55" s="615">
        <v>58</v>
      </c>
      <c r="GD55" s="615">
        <v>58</v>
      </c>
      <c r="GE55" s="615">
        <v>58</v>
      </c>
      <c r="GF55" s="615">
        <v>18350</v>
      </c>
      <c r="GG55" s="615" t="s">
        <v>1206</v>
      </c>
      <c r="GH55" s="615" t="s">
        <v>1206</v>
      </c>
      <c r="GI55" s="615" t="s">
        <v>1206</v>
      </c>
      <c r="GJ55" s="615" t="s">
        <v>1206</v>
      </c>
      <c r="GK55" s="615" t="s">
        <v>1206</v>
      </c>
      <c r="GL55" s="615" t="s">
        <v>1206</v>
      </c>
      <c r="GM55" s="615" t="s">
        <v>1206</v>
      </c>
      <c r="GN55" s="615" t="s">
        <v>1206</v>
      </c>
      <c r="GO55" s="615" t="s">
        <v>1206</v>
      </c>
      <c r="GP55" s="615" t="s">
        <v>1206</v>
      </c>
      <c r="GQ55" s="615" t="s">
        <v>1206</v>
      </c>
      <c r="GR55" s="615" t="s">
        <v>1206</v>
      </c>
      <c r="GS55" s="615">
        <v>25</v>
      </c>
      <c r="GT55" s="615">
        <v>25</v>
      </c>
      <c r="GU55" s="615">
        <v>25</v>
      </c>
      <c r="GV55" s="615">
        <v>25</v>
      </c>
      <c r="GW55" s="615">
        <v>25</v>
      </c>
      <c r="GX55" s="615">
        <v>25</v>
      </c>
      <c r="GY55" s="615">
        <v>25</v>
      </c>
      <c r="GZ55" s="615">
        <v>25</v>
      </c>
      <c r="HA55" s="615">
        <v>25</v>
      </c>
      <c r="HB55" s="615">
        <v>25</v>
      </c>
      <c r="HC55" s="615" t="s">
        <v>1207</v>
      </c>
      <c r="HD55" s="615" t="s">
        <v>1207</v>
      </c>
      <c r="HE55" s="615" t="s">
        <v>1207</v>
      </c>
      <c r="HF55" s="615" t="s">
        <v>1207</v>
      </c>
      <c r="HG55" s="615" t="s">
        <v>1207</v>
      </c>
      <c r="HH55" s="615" t="s">
        <v>1207</v>
      </c>
      <c r="HI55" s="615" t="s">
        <v>1207</v>
      </c>
      <c r="HJ55" s="615" t="s">
        <v>1207</v>
      </c>
      <c r="HK55" s="615" t="s">
        <v>1207</v>
      </c>
      <c r="HL55" s="615" t="s">
        <v>1207</v>
      </c>
      <c r="HM55" s="615" t="s">
        <v>1207</v>
      </c>
      <c r="HN55" s="615" t="s">
        <v>1207</v>
      </c>
      <c r="HO55" s="611">
        <f t="shared" si="25"/>
        <v>79950</v>
      </c>
      <c r="HP55" s="611">
        <f t="shared" si="26"/>
        <v>79950</v>
      </c>
      <c r="HQ55" s="611">
        <f t="shared" si="27"/>
        <v>79950</v>
      </c>
      <c r="HR55" s="611">
        <f t="shared" si="28"/>
        <v>79950</v>
      </c>
      <c r="HS55" s="611">
        <f t="shared" si="29"/>
        <v>79950</v>
      </c>
      <c r="HT55" s="611">
        <f t="shared" si="30"/>
        <v>79950</v>
      </c>
      <c r="HU55" s="611">
        <f t="shared" si="31"/>
        <v>79950</v>
      </c>
      <c r="HV55" s="611">
        <f t="shared" si="32"/>
        <v>79950</v>
      </c>
      <c r="HW55" s="611">
        <f t="shared" si="33"/>
        <v>79950</v>
      </c>
      <c r="HX55" s="611">
        <f t="shared" si="34"/>
        <v>79950</v>
      </c>
      <c r="HY55" s="611">
        <f t="shared" si="35"/>
        <v>79950</v>
      </c>
      <c r="HZ55" s="611">
        <f t="shared" si="36"/>
        <v>79950</v>
      </c>
      <c r="IA55" s="619" t="s">
        <v>1296</v>
      </c>
    </row>
    <row r="56" spans="2:235">
      <c r="B56" s="625">
        <v>52</v>
      </c>
      <c r="C56" s="626">
        <v>252</v>
      </c>
      <c r="D56" s="627" t="s">
        <v>1265</v>
      </c>
      <c r="E56" s="612" t="s">
        <v>13</v>
      </c>
      <c r="F56" s="612">
        <v>135</v>
      </c>
      <c r="G56" s="612">
        <v>105</v>
      </c>
      <c r="H56" s="612">
        <v>30</v>
      </c>
      <c r="I56" s="612">
        <v>0</v>
      </c>
      <c r="J56" s="612"/>
      <c r="K56" s="612"/>
      <c r="L56" s="612"/>
      <c r="M56" s="612"/>
      <c r="N56" s="612"/>
      <c r="O56" s="612"/>
      <c r="P56" s="612"/>
      <c r="Q56" s="612"/>
      <c r="R56" s="612"/>
      <c r="S56" s="612"/>
      <c r="T56" s="612"/>
      <c r="U56" s="612"/>
      <c r="V56" s="612"/>
      <c r="W56" s="612"/>
      <c r="X56" s="612"/>
      <c r="Y56" s="612"/>
      <c r="Z56" s="612"/>
      <c r="AA56" s="612"/>
      <c r="AB56" s="612"/>
      <c r="AC56" s="612"/>
      <c r="AD56" s="612"/>
      <c r="AE56" s="612"/>
      <c r="AF56" s="612"/>
      <c r="AG56" s="612"/>
      <c r="AH56" s="612"/>
      <c r="AI56" s="612"/>
      <c r="AJ56" s="612"/>
      <c r="AK56" s="612"/>
      <c r="AL56" s="612"/>
      <c r="AM56" s="613"/>
      <c r="AN56" s="613"/>
      <c r="AO56" s="613"/>
      <c r="AP56" s="612"/>
      <c r="AQ56" s="612" t="s">
        <v>11</v>
      </c>
      <c r="AR56" s="615" t="s">
        <v>629</v>
      </c>
      <c r="AS56" s="615" t="s">
        <v>629</v>
      </c>
      <c r="AT56" s="615" t="s">
        <v>629</v>
      </c>
      <c r="AU56" s="615" t="s">
        <v>629</v>
      </c>
      <c r="AV56" s="615" t="s">
        <v>629</v>
      </c>
      <c r="AW56" s="615" t="s">
        <v>629</v>
      </c>
      <c r="AX56" s="615" t="s">
        <v>629</v>
      </c>
      <c r="AY56" s="615" t="s">
        <v>629</v>
      </c>
      <c r="AZ56" s="615" t="s">
        <v>629</v>
      </c>
      <c r="BA56" s="615" t="s">
        <v>629</v>
      </c>
      <c r="BB56" s="615" t="s">
        <v>629</v>
      </c>
      <c r="BC56" s="615" t="s">
        <v>629</v>
      </c>
      <c r="BD56" s="615" t="s">
        <v>629</v>
      </c>
      <c r="BE56" s="615" t="s">
        <v>629</v>
      </c>
      <c r="BF56" s="615" t="s">
        <v>629</v>
      </c>
      <c r="BG56" s="615" t="s">
        <v>629</v>
      </c>
      <c r="BH56" s="615" t="s">
        <v>629</v>
      </c>
      <c r="BI56" s="615" t="s">
        <v>629</v>
      </c>
      <c r="BJ56" s="615" t="s">
        <v>629</v>
      </c>
      <c r="BK56" s="615" t="s">
        <v>629</v>
      </c>
      <c r="BL56" s="615" t="s">
        <v>629</v>
      </c>
      <c r="BM56" s="615" t="s">
        <v>629</v>
      </c>
      <c r="BN56" s="615" t="s">
        <v>629</v>
      </c>
      <c r="BO56" s="615" t="s">
        <v>629</v>
      </c>
      <c r="BP56" s="615">
        <v>1</v>
      </c>
      <c r="BQ56" s="615">
        <v>1</v>
      </c>
      <c r="BR56" s="615">
        <v>1</v>
      </c>
      <c r="BS56" s="615">
        <v>1</v>
      </c>
      <c r="BT56" s="615">
        <v>1</v>
      </c>
      <c r="BU56" s="615">
        <v>1</v>
      </c>
      <c r="BV56" s="615">
        <v>1</v>
      </c>
      <c r="BW56" s="615">
        <v>1</v>
      </c>
      <c r="BX56" s="615">
        <v>1</v>
      </c>
      <c r="BY56" s="615">
        <v>1</v>
      </c>
      <c r="BZ56" s="615">
        <v>1</v>
      </c>
      <c r="CA56" s="615">
        <v>1</v>
      </c>
      <c r="CB56" s="615">
        <v>0</v>
      </c>
      <c r="CC56" s="615">
        <v>0</v>
      </c>
      <c r="CD56" s="615">
        <v>0</v>
      </c>
      <c r="CE56" s="615">
        <v>0</v>
      </c>
      <c r="CF56" s="615">
        <v>0</v>
      </c>
      <c r="CG56" s="615">
        <v>0</v>
      </c>
      <c r="CH56" s="615">
        <v>0</v>
      </c>
      <c r="CI56" s="615">
        <v>0</v>
      </c>
      <c r="CJ56" s="615">
        <v>0</v>
      </c>
      <c r="CK56" s="615">
        <v>0</v>
      </c>
      <c r="CL56" s="615">
        <v>0</v>
      </c>
      <c r="CM56" s="615">
        <v>0</v>
      </c>
      <c r="CN56" s="615">
        <v>0</v>
      </c>
      <c r="CO56" s="615">
        <v>0</v>
      </c>
      <c r="CP56" s="615">
        <v>0</v>
      </c>
      <c r="CQ56" s="615">
        <v>0</v>
      </c>
      <c r="CR56" s="615">
        <v>0</v>
      </c>
      <c r="CS56" s="615">
        <v>0</v>
      </c>
      <c r="CT56" s="615">
        <v>0</v>
      </c>
      <c r="CU56" s="615">
        <v>0</v>
      </c>
      <c r="CV56" s="615">
        <v>0</v>
      </c>
      <c r="CW56" s="615">
        <v>0</v>
      </c>
      <c r="CX56" s="615">
        <v>0</v>
      </c>
      <c r="CY56" s="615">
        <v>0</v>
      </c>
      <c r="CZ56" s="615" t="s">
        <v>1049</v>
      </c>
      <c r="DA56" s="615">
        <v>0</v>
      </c>
      <c r="DB56" s="617"/>
      <c r="DC56" s="617"/>
      <c r="DD56" s="617"/>
      <c r="DE56" s="617"/>
      <c r="DF56" s="617"/>
      <c r="DG56" s="617"/>
      <c r="DH56" s="617"/>
      <c r="DI56" s="617"/>
      <c r="DJ56" s="617"/>
      <c r="DK56" s="617"/>
      <c r="DL56" s="617"/>
      <c r="DM56" s="617"/>
      <c r="DN56" s="617"/>
      <c r="DO56" s="617"/>
      <c r="DP56" s="617"/>
      <c r="DQ56" s="617"/>
      <c r="DR56" s="617"/>
      <c r="DS56" s="617"/>
      <c r="DT56" s="617"/>
      <c r="DU56" s="617"/>
      <c r="DV56" s="617"/>
      <c r="DW56" s="617"/>
      <c r="DX56" s="617"/>
      <c r="DY56" s="617"/>
      <c r="DZ56" s="617"/>
      <c r="EA56" s="617"/>
      <c r="EB56" s="617"/>
      <c r="EC56" s="617"/>
      <c r="ED56" s="617"/>
      <c r="EE56" s="617"/>
      <c r="EF56" s="617"/>
      <c r="EG56" s="617"/>
      <c r="EH56" s="617"/>
      <c r="EI56" s="617"/>
      <c r="EJ56" s="617"/>
      <c r="EK56" s="617"/>
      <c r="EL56" s="615" t="s">
        <v>833</v>
      </c>
      <c r="EM56" s="615" t="s">
        <v>833</v>
      </c>
      <c r="EN56" s="615" t="s">
        <v>833</v>
      </c>
      <c r="EO56" s="615" t="s">
        <v>833</v>
      </c>
      <c r="EP56" s="615" t="s">
        <v>833</v>
      </c>
      <c r="EQ56" s="615" t="s">
        <v>833</v>
      </c>
      <c r="ER56" s="615" t="s">
        <v>833</v>
      </c>
      <c r="ES56" s="615" t="s">
        <v>833</v>
      </c>
      <c r="ET56" s="615" t="s">
        <v>833</v>
      </c>
      <c r="EU56" s="615" t="s">
        <v>833</v>
      </c>
      <c r="EV56" s="615" t="s">
        <v>833</v>
      </c>
      <c r="EW56" s="615" t="s">
        <v>833</v>
      </c>
      <c r="EX56" s="615">
        <v>3670</v>
      </c>
      <c r="EY56" s="615">
        <v>3820</v>
      </c>
      <c r="EZ56" s="615" t="s">
        <v>833</v>
      </c>
      <c r="FA56" s="615" t="s">
        <v>833</v>
      </c>
      <c r="FB56" s="615" t="s">
        <v>833</v>
      </c>
      <c r="FC56" s="615" t="s">
        <v>833</v>
      </c>
      <c r="FD56" s="615" t="s">
        <v>833</v>
      </c>
      <c r="FE56" s="615" t="s">
        <v>833</v>
      </c>
      <c r="FF56" s="615" t="s">
        <v>833</v>
      </c>
      <c r="FG56" s="615" t="s">
        <v>833</v>
      </c>
      <c r="FH56" s="615" t="s">
        <v>833</v>
      </c>
      <c r="FI56" s="615" t="s">
        <v>833</v>
      </c>
      <c r="FJ56" s="615" t="s">
        <v>833</v>
      </c>
      <c r="FK56" s="615" t="s">
        <v>833</v>
      </c>
      <c r="FL56" s="615">
        <v>57</v>
      </c>
      <c r="FM56" s="615">
        <v>57</v>
      </c>
      <c r="FN56" s="615">
        <v>58</v>
      </c>
      <c r="FO56" s="615">
        <v>59</v>
      </c>
      <c r="FP56" s="615">
        <v>59</v>
      </c>
      <c r="FQ56" s="615">
        <v>60</v>
      </c>
      <c r="FR56" s="615">
        <v>59</v>
      </c>
      <c r="FS56" s="615">
        <v>59</v>
      </c>
      <c r="FT56" s="615">
        <v>59</v>
      </c>
      <c r="FU56" s="615">
        <v>60</v>
      </c>
      <c r="FV56" s="615">
        <v>26</v>
      </c>
      <c r="FW56" s="615">
        <v>26</v>
      </c>
      <c r="FX56" s="615">
        <v>26</v>
      </c>
      <c r="FY56" s="615">
        <v>25</v>
      </c>
      <c r="FZ56" s="615">
        <v>25</v>
      </c>
      <c r="GA56" s="615">
        <v>24</v>
      </c>
      <c r="GB56" s="615">
        <v>24</v>
      </c>
      <c r="GC56" s="615">
        <v>24</v>
      </c>
      <c r="GD56" s="615">
        <v>24</v>
      </c>
      <c r="GE56" s="615">
        <v>23</v>
      </c>
      <c r="GF56" s="615">
        <v>18350</v>
      </c>
      <c r="GG56" s="615" t="s">
        <v>1206</v>
      </c>
      <c r="GH56" s="615" t="s">
        <v>1206</v>
      </c>
      <c r="GI56" s="615" t="s">
        <v>1206</v>
      </c>
      <c r="GJ56" s="615" t="s">
        <v>1206</v>
      </c>
      <c r="GK56" s="615" t="s">
        <v>1206</v>
      </c>
      <c r="GL56" s="615" t="s">
        <v>1206</v>
      </c>
      <c r="GM56" s="615" t="s">
        <v>1206</v>
      </c>
      <c r="GN56" s="615" t="s">
        <v>1206</v>
      </c>
      <c r="GO56" s="615" t="s">
        <v>1206</v>
      </c>
      <c r="GP56" s="615" t="s">
        <v>1206</v>
      </c>
      <c r="GQ56" s="615" t="s">
        <v>1206</v>
      </c>
      <c r="GR56" s="615" t="s">
        <v>1206</v>
      </c>
      <c r="GS56" s="615">
        <v>0</v>
      </c>
      <c r="GT56" s="615">
        <v>0</v>
      </c>
      <c r="GU56" s="615">
        <v>0</v>
      </c>
      <c r="GV56" s="615">
        <v>0</v>
      </c>
      <c r="GW56" s="615">
        <v>0</v>
      </c>
      <c r="GX56" s="615">
        <v>0</v>
      </c>
      <c r="GY56" s="615">
        <v>0</v>
      </c>
      <c r="GZ56" s="615">
        <v>0</v>
      </c>
      <c r="HA56" s="615">
        <v>0</v>
      </c>
      <c r="HB56" s="615">
        <v>0</v>
      </c>
      <c r="HC56" s="615" t="s">
        <v>629</v>
      </c>
      <c r="HD56" s="615" t="s">
        <v>629</v>
      </c>
      <c r="HE56" s="615" t="s">
        <v>629</v>
      </c>
      <c r="HF56" s="615" t="s">
        <v>629</v>
      </c>
      <c r="HG56" s="615" t="s">
        <v>629</v>
      </c>
      <c r="HH56" s="615" t="s">
        <v>629</v>
      </c>
      <c r="HI56" s="615" t="s">
        <v>629</v>
      </c>
      <c r="HJ56" s="615" t="s">
        <v>629</v>
      </c>
      <c r="HK56" s="615" t="s">
        <v>629</v>
      </c>
      <c r="HL56" s="615" t="s">
        <v>629</v>
      </c>
      <c r="HM56" s="615" t="s">
        <v>629</v>
      </c>
      <c r="HN56" s="615" t="s">
        <v>629</v>
      </c>
      <c r="HO56" s="611" t="str">
        <f t="shared" si="25"/>
        <v/>
      </c>
      <c r="HP56" s="611" t="str">
        <f t="shared" si="26"/>
        <v/>
      </c>
      <c r="HQ56" s="611" t="str">
        <f t="shared" si="27"/>
        <v/>
      </c>
      <c r="HR56" s="611" t="str">
        <f t="shared" si="28"/>
        <v/>
      </c>
      <c r="HS56" s="611" t="str">
        <f t="shared" si="29"/>
        <v/>
      </c>
      <c r="HT56" s="611" t="str">
        <f t="shared" si="30"/>
        <v/>
      </c>
      <c r="HU56" s="611" t="str">
        <f t="shared" si="31"/>
        <v/>
      </c>
      <c r="HV56" s="611" t="str">
        <f t="shared" si="32"/>
        <v/>
      </c>
      <c r="HW56" s="611" t="str">
        <f t="shared" si="33"/>
        <v/>
      </c>
      <c r="HX56" s="611" t="str">
        <f t="shared" si="34"/>
        <v/>
      </c>
      <c r="HY56" s="611" t="str">
        <f t="shared" si="35"/>
        <v/>
      </c>
      <c r="HZ56" s="611" t="str">
        <f t="shared" si="36"/>
        <v/>
      </c>
      <c r="IA56" s="619" t="s">
        <v>1295</v>
      </c>
    </row>
    <row r="57" spans="2:235">
      <c r="B57" s="625">
        <v>53</v>
      </c>
      <c r="C57" s="626">
        <v>253</v>
      </c>
      <c r="D57" s="627" t="s">
        <v>1268</v>
      </c>
      <c r="E57" s="612" t="s">
        <v>13</v>
      </c>
      <c r="F57" s="612">
        <v>135</v>
      </c>
      <c r="G57" s="612">
        <v>105</v>
      </c>
      <c r="H57" s="612">
        <v>30</v>
      </c>
      <c r="I57" s="612">
        <v>0</v>
      </c>
      <c r="J57" s="612"/>
      <c r="K57" s="612"/>
      <c r="L57" s="612"/>
      <c r="M57" s="612"/>
      <c r="N57" s="612"/>
      <c r="O57" s="612"/>
      <c r="P57" s="612"/>
      <c r="Q57" s="612"/>
      <c r="R57" s="612"/>
      <c r="S57" s="612"/>
      <c r="T57" s="612"/>
      <c r="U57" s="612"/>
      <c r="V57" s="612"/>
      <c r="W57" s="612"/>
      <c r="X57" s="612"/>
      <c r="Y57" s="612"/>
      <c r="Z57" s="612"/>
      <c r="AA57" s="612"/>
      <c r="AB57" s="612"/>
      <c r="AC57" s="612"/>
      <c r="AD57" s="612"/>
      <c r="AE57" s="612"/>
      <c r="AF57" s="612"/>
      <c r="AG57" s="612"/>
      <c r="AH57" s="612"/>
      <c r="AI57" s="612"/>
      <c r="AJ57" s="612"/>
      <c r="AK57" s="612"/>
      <c r="AL57" s="612"/>
      <c r="AM57" s="613"/>
      <c r="AN57" s="613"/>
      <c r="AO57" s="613"/>
      <c r="AP57" s="612"/>
      <c r="AQ57" s="612" t="s">
        <v>11</v>
      </c>
      <c r="AR57" s="615" t="s">
        <v>629</v>
      </c>
      <c r="AS57" s="615" t="s">
        <v>629</v>
      </c>
      <c r="AT57" s="615" t="s">
        <v>629</v>
      </c>
      <c r="AU57" s="615" t="s">
        <v>629</v>
      </c>
      <c r="AV57" s="615" t="s">
        <v>629</v>
      </c>
      <c r="AW57" s="615" t="s">
        <v>629</v>
      </c>
      <c r="AX57" s="615" t="s">
        <v>629</v>
      </c>
      <c r="AY57" s="615" t="s">
        <v>629</v>
      </c>
      <c r="AZ57" s="615" t="s">
        <v>629</v>
      </c>
      <c r="BA57" s="615" t="s">
        <v>629</v>
      </c>
      <c r="BB57" s="615" t="s">
        <v>629</v>
      </c>
      <c r="BC57" s="615" t="s">
        <v>629</v>
      </c>
      <c r="BD57" s="615" t="s">
        <v>629</v>
      </c>
      <c r="BE57" s="615" t="s">
        <v>629</v>
      </c>
      <c r="BF57" s="615" t="s">
        <v>629</v>
      </c>
      <c r="BG57" s="615" t="s">
        <v>629</v>
      </c>
      <c r="BH57" s="615" t="s">
        <v>629</v>
      </c>
      <c r="BI57" s="615" t="s">
        <v>629</v>
      </c>
      <c r="BJ57" s="615" t="s">
        <v>629</v>
      </c>
      <c r="BK57" s="615" t="s">
        <v>629</v>
      </c>
      <c r="BL57" s="615" t="s">
        <v>629</v>
      </c>
      <c r="BM57" s="615" t="s">
        <v>629</v>
      </c>
      <c r="BN57" s="615" t="s">
        <v>629</v>
      </c>
      <c r="BO57" s="615" t="s">
        <v>629</v>
      </c>
      <c r="BP57" s="615">
        <v>0</v>
      </c>
      <c r="BQ57" s="615">
        <v>0</v>
      </c>
      <c r="BR57" s="615">
        <v>0</v>
      </c>
      <c r="BS57" s="615">
        <v>0</v>
      </c>
      <c r="BT57" s="615">
        <v>0</v>
      </c>
      <c r="BU57" s="615">
        <v>0</v>
      </c>
      <c r="BV57" s="615">
        <v>0</v>
      </c>
      <c r="BW57" s="615">
        <v>0</v>
      </c>
      <c r="BX57" s="615">
        <v>0</v>
      </c>
      <c r="BY57" s="615">
        <v>0</v>
      </c>
      <c r="BZ57" s="615">
        <v>0</v>
      </c>
      <c r="CA57" s="615">
        <v>0</v>
      </c>
      <c r="CB57" s="615">
        <v>0</v>
      </c>
      <c r="CC57" s="615">
        <v>0</v>
      </c>
      <c r="CD57" s="615">
        <v>0</v>
      </c>
      <c r="CE57" s="615">
        <v>0</v>
      </c>
      <c r="CF57" s="615">
        <v>0</v>
      </c>
      <c r="CG57" s="615">
        <v>0</v>
      </c>
      <c r="CH57" s="615">
        <v>0</v>
      </c>
      <c r="CI57" s="615">
        <v>0</v>
      </c>
      <c r="CJ57" s="615">
        <v>0</v>
      </c>
      <c r="CK57" s="615">
        <v>0</v>
      </c>
      <c r="CL57" s="615">
        <v>0</v>
      </c>
      <c r="CM57" s="615">
        <v>0</v>
      </c>
      <c r="CN57" s="615">
        <v>0</v>
      </c>
      <c r="CO57" s="615">
        <v>0</v>
      </c>
      <c r="CP57" s="615">
        <v>0</v>
      </c>
      <c r="CQ57" s="615">
        <v>0</v>
      </c>
      <c r="CR57" s="615">
        <v>0</v>
      </c>
      <c r="CS57" s="615">
        <v>0</v>
      </c>
      <c r="CT57" s="615">
        <v>0</v>
      </c>
      <c r="CU57" s="615">
        <v>0</v>
      </c>
      <c r="CV57" s="615">
        <v>0</v>
      </c>
      <c r="CW57" s="615">
        <v>0</v>
      </c>
      <c r="CX57" s="615">
        <v>0</v>
      </c>
      <c r="CY57" s="615">
        <v>0</v>
      </c>
      <c r="CZ57" s="615" t="s">
        <v>1049</v>
      </c>
      <c r="DA57" s="615">
        <v>0</v>
      </c>
      <c r="DB57" s="617"/>
      <c r="DC57" s="617"/>
      <c r="DD57" s="617"/>
      <c r="DE57" s="617"/>
      <c r="DF57" s="617"/>
      <c r="DG57" s="617"/>
      <c r="DH57" s="617"/>
      <c r="DI57" s="617"/>
      <c r="DJ57" s="617"/>
      <c r="DK57" s="617"/>
      <c r="DL57" s="617"/>
      <c r="DM57" s="617"/>
      <c r="DN57" s="617"/>
      <c r="DO57" s="617"/>
      <c r="DP57" s="617"/>
      <c r="DQ57" s="617"/>
      <c r="DR57" s="617"/>
      <c r="DS57" s="617"/>
      <c r="DT57" s="617"/>
      <c r="DU57" s="617"/>
      <c r="DV57" s="617"/>
      <c r="DW57" s="617"/>
      <c r="DX57" s="617"/>
      <c r="DY57" s="617"/>
      <c r="DZ57" s="617"/>
      <c r="EA57" s="617"/>
      <c r="EB57" s="617"/>
      <c r="EC57" s="617"/>
      <c r="ED57" s="617"/>
      <c r="EE57" s="617"/>
      <c r="EF57" s="617"/>
      <c r="EG57" s="617"/>
      <c r="EH57" s="617"/>
      <c r="EI57" s="617"/>
      <c r="EJ57" s="617"/>
      <c r="EK57" s="617"/>
      <c r="EL57" s="615" t="s">
        <v>833</v>
      </c>
      <c r="EM57" s="615" t="s">
        <v>833</v>
      </c>
      <c r="EN57" s="615" t="s">
        <v>833</v>
      </c>
      <c r="EO57" s="615" t="s">
        <v>833</v>
      </c>
      <c r="EP57" s="615" t="s">
        <v>833</v>
      </c>
      <c r="EQ57" s="615" t="s">
        <v>833</v>
      </c>
      <c r="ER57" s="615" t="s">
        <v>833</v>
      </c>
      <c r="ES57" s="615" t="s">
        <v>833</v>
      </c>
      <c r="ET57" s="615" t="s">
        <v>833</v>
      </c>
      <c r="EU57" s="615" t="s">
        <v>833</v>
      </c>
      <c r="EV57" s="615" t="s">
        <v>833</v>
      </c>
      <c r="EW57" s="615" t="s">
        <v>833</v>
      </c>
      <c r="EX57" s="615">
        <v>3670</v>
      </c>
      <c r="EY57" s="615">
        <v>3820</v>
      </c>
      <c r="EZ57" s="615" t="s">
        <v>833</v>
      </c>
      <c r="FA57" s="615" t="s">
        <v>833</v>
      </c>
      <c r="FB57" s="615" t="s">
        <v>833</v>
      </c>
      <c r="FC57" s="615" t="s">
        <v>833</v>
      </c>
      <c r="FD57" s="615" t="s">
        <v>833</v>
      </c>
      <c r="FE57" s="615" t="s">
        <v>833</v>
      </c>
      <c r="FF57" s="615" t="s">
        <v>833</v>
      </c>
      <c r="FG57" s="615" t="s">
        <v>833</v>
      </c>
      <c r="FH57" s="615" t="s">
        <v>833</v>
      </c>
      <c r="FI57" s="615" t="s">
        <v>833</v>
      </c>
      <c r="FJ57" s="615" t="s">
        <v>833</v>
      </c>
      <c r="FK57" s="615" t="s">
        <v>833</v>
      </c>
      <c r="FL57" s="615">
        <v>47</v>
      </c>
      <c r="FM57" s="615">
        <v>46</v>
      </c>
      <c r="FN57" s="615">
        <v>45</v>
      </c>
      <c r="FO57" s="615">
        <v>45</v>
      </c>
      <c r="FP57" s="615">
        <v>45</v>
      </c>
      <c r="FQ57" s="615">
        <v>45</v>
      </c>
      <c r="FR57" s="615">
        <v>45</v>
      </c>
      <c r="FS57" s="615">
        <v>44</v>
      </c>
      <c r="FT57" s="615">
        <v>44</v>
      </c>
      <c r="FU57" s="615">
        <v>44</v>
      </c>
      <c r="FV57" s="615">
        <v>9</v>
      </c>
      <c r="FW57" s="615">
        <v>10</v>
      </c>
      <c r="FX57" s="615">
        <v>11</v>
      </c>
      <c r="FY57" s="615">
        <v>12</v>
      </c>
      <c r="FZ57" s="615">
        <v>13</v>
      </c>
      <c r="GA57" s="615">
        <v>13</v>
      </c>
      <c r="GB57" s="615">
        <v>13</v>
      </c>
      <c r="GC57" s="615">
        <v>14</v>
      </c>
      <c r="GD57" s="615">
        <v>14</v>
      </c>
      <c r="GE57" s="615">
        <v>14</v>
      </c>
      <c r="GF57" s="615">
        <v>18350</v>
      </c>
      <c r="GG57" s="615" t="s">
        <v>1206</v>
      </c>
      <c r="GH57" s="615" t="s">
        <v>1206</v>
      </c>
      <c r="GI57" s="615" t="s">
        <v>1206</v>
      </c>
      <c r="GJ57" s="615" t="s">
        <v>1206</v>
      </c>
      <c r="GK57" s="615" t="s">
        <v>1206</v>
      </c>
      <c r="GL57" s="615" t="s">
        <v>1206</v>
      </c>
      <c r="GM57" s="615" t="s">
        <v>1206</v>
      </c>
      <c r="GN57" s="615" t="s">
        <v>1206</v>
      </c>
      <c r="GO57" s="615" t="s">
        <v>1206</v>
      </c>
      <c r="GP57" s="615" t="s">
        <v>1206</v>
      </c>
      <c r="GQ57" s="615" t="s">
        <v>1206</v>
      </c>
      <c r="GR57" s="615" t="s">
        <v>1206</v>
      </c>
      <c r="GS57" s="615">
        <v>0</v>
      </c>
      <c r="GT57" s="615">
        <v>0</v>
      </c>
      <c r="GU57" s="615">
        <v>0</v>
      </c>
      <c r="GV57" s="615">
        <v>0</v>
      </c>
      <c r="GW57" s="615">
        <v>0</v>
      </c>
      <c r="GX57" s="615">
        <v>0</v>
      </c>
      <c r="GY57" s="615">
        <v>0</v>
      </c>
      <c r="GZ57" s="615">
        <v>0</v>
      </c>
      <c r="HA57" s="615">
        <v>0</v>
      </c>
      <c r="HB57" s="615">
        <v>0</v>
      </c>
      <c r="HC57" s="615" t="s">
        <v>1208</v>
      </c>
      <c r="HD57" s="615" t="s">
        <v>1208</v>
      </c>
      <c r="HE57" s="615" t="s">
        <v>1208</v>
      </c>
      <c r="HF57" s="615" t="s">
        <v>1208</v>
      </c>
      <c r="HG57" s="615" t="s">
        <v>1208</v>
      </c>
      <c r="HH57" s="615" t="s">
        <v>1208</v>
      </c>
      <c r="HI57" s="615" t="s">
        <v>1208</v>
      </c>
      <c r="HJ57" s="615" t="s">
        <v>1208</v>
      </c>
      <c r="HK57" s="615" t="s">
        <v>1208</v>
      </c>
      <c r="HL57" s="615" t="s">
        <v>1208</v>
      </c>
      <c r="HM57" s="615" t="s">
        <v>1208</v>
      </c>
      <c r="HN57" s="615" t="s">
        <v>1208</v>
      </c>
      <c r="HO57" s="611" t="str">
        <f t="shared" si="25"/>
        <v/>
      </c>
      <c r="HP57" s="611" t="str">
        <f t="shared" si="26"/>
        <v/>
      </c>
      <c r="HQ57" s="611" t="str">
        <f t="shared" si="27"/>
        <v/>
      </c>
      <c r="HR57" s="611" t="str">
        <f t="shared" si="28"/>
        <v/>
      </c>
      <c r="HS57" s="611" t="str">
        <f t="shared" si="29"/>
        <v/>
      </c>
      <c r="HT57" s="611" t="str">
        <f t="shared" si="30"/>
        <v/>
      </c>
      <c r="HU57" s="611" t="str">
        <f t="shared" si="31"/>
        <v/>
      </c>
      <c r="HV57" s="611" t="str">
        <f t="shared" si="32"/>
        <v/>
      </c>
      <c r="HW57" s="611" t="str">
        <f t="shared" si="33"/>
        <v/>
      </c>
      <c r="HX57" s="611" t="str">
        <f t="shared" si="34"/>
        <v/>
      </c>
      <c r="HY57" s="611" t="str">
        <f t="shared" si="35"/>
        <v/>
      </c>
      <c r="HZ57" s="611" t="str">
        <f t="shared" si="36"/>
        <v/>
      </c>
      <c r="IA57" s="619" t="s">
        <v>1295</v>
      </c>
    </row>
    <row r="58" spans="2:235">
      <c r="B58" s="625">
        <v>54</v>
      </c>
      <c r="C58" s="626">
        <v>254</v>
      </c>
      <c r="D58" s="627" t="s">
        <v>1271</v>
      </c>
      <c r="E58" s="612" t="s">
        <v>13</v>
      </c>
      <c r="F58" s="612">
        <v>210</v>
      </c>
      <c r="G58" s="612">
        <v>150</v>
      </c>
      <c r="H58" s="612">
        <v>60</v>
      </c>
      <c r="I58" s="612">
        <v>0</v>
      </c>
      <c r="J58" s="612"/>
      <c r="K58" s="612"/>
      <c r="L58" s="612"/>
      <c r="M58" s="612"/>
      <c r="N58" s="612"/>
      <c r="O58" s="612"/>
      <c r="P58" s="612"/>
      <c r="Q58" s="612"/>
      <c r="R58" s="612"/>
      <c r="S58" s="612"/>
      <c r="T58" s="612"/>
      <c r="U58" s="612"/>
      <c r="V58" s="612"/>
      <c r="W58" s="612"/>
      <c r="X58" s="612"/>
      <c r="Y58" s="612"/>
      <c r="Z58" s="612"/>
      <c r="AA58" s="612"/>
      <c r="AB58" s="612"/>
      <c r="AC58" s="612"/>
      <c r="AD58" s="612"/>
      <c r="AE58" s="612"/>
      <c r="AF58" s="612"/>
      <c r="AG58" s="612"/>
      <c r="AH58" s="612"/>
      <c r="AI58" s="612"/>
      <c r="AJ58" s="612"/>
      <c r="AK58" s="612"/>
      <c r="AL58" s="612"/>
      <c r="AM58" s="613"/>
      <c r="AN58" s="613"/>
      <c r="AO58" s="613"/>
      <c r="AP58" s="612"/>
      <c r="AQ58" s="612" t="s">
        <v>11</v>
      </c>
      <c r="AR58" s="615" t="s">
        <v>629</v>
      </c>
      <c r="AS58" s="615" t="s">
        <v>629</v>
      </c>
      <c r="AT58" s="615" t="s">
        <v>629</v>
      </c>
      <c r="AU58" s="615" t="s">
        <v>629</v>
      </c>
      <c r="AV58" s="615" t="s">
        <v>629</v>
      </c>
      <c r="AW58" s="615" t="s">
        <v>629</v>
      </c>
      <c r="AX58" s="615" t="s">
        <v>629</v>
      </c>
      <c r="AY58" s="615" t="s">
        <v>629</v>
      </c>
      <c r="AZ58" s="615" t="s">
        <v>629</v>
      </c>
      <c r="BA58" s="615" t="s">
        <v>629</v>
      </c>
      <c r="BB58" s="615" t="s">
        <v>629</v>
      </c>
      <c r="BC58" s="615" t="s">
        <v>629</v>
      </c>
      <c r="BD58" s="615" t="s">
        <v>629</v>
      </c>
      <c r="BE58" s="615" t="s">
        <v>629</v>
      </c>
      <c r="BF58" s="615" t="s">
        <v>629</v>
      </c>
      <c r="BG58" s="615" t="s">
        <v>629</v>
      </c>
      <c r="BH58" s="615" t="s">
        <v>629</v>
      </c>
      <c r="BI58" s="615" t="s">
        <v>629</v>
      </c>
      <c r="BJ58" s="615" t="s">
        <v>629</v>
      </c>
      <c r="BK58" s="615" t="s">
        <v>629</v>
      </c>
      <c r="BL58" s="615" t="s">
        <v>629</v>
      </c>
      <c r="BM58" s="615" t="s">
        <v>629</v>
      </c>
      <c r="BN58" s="615" t="s">
        <v>629</v>
      </c>
      <c r="BO58" s="615" t="s">
        <v>629</v>
      </c>
      <c r="BP58" s="615">
        <v>0</v>
      </c>
      <c r="BQ58" s="615">
        <v>0</v>
      </c>
      <c r="BR58" s="615">
        <v>0</v>
      </c>
      <c r="BS58" s="615">
        <v>0</v>
      </c>
      <c r="BT58" s="615">
        <v>0</v>
      </c>
      <c r="BU58" s="615">
        <v>0</v>
      </c>
      <c r="BV58" s="615">
        <v>0</v>
      </c>
      <c r="BW58" s="615">
        <v>0</v>
      </c>
      <c r="BX58" s="615">
        <v>0</v>
      </c>
      <c r="BY58" s="615">
        <v>0</v>
      </c>
      <c r="BZ58" s="615">
        <v>0</v>
      </c>
      <c r="CA58" s="615">
        <v>0</v>
      </c>
      <c r="CB58" s="615">
        <v>0</v>
      </c>
      <c r="CC58" s="615">
        <v>0</v>
      </c>
      <c r="CD58" s="615">
        <v>0</v>
      </c>
      <c r="CE58" s="615">
        <v>0</v>
      </c>
      <c r="CF58" s="615">
        <v>0</v>
      </c>
      <c r="CG58" s="615">
        <v>0</v>
      </c>
      <c r="CH58" s="615">
        <v>0</v>
      </c>
      <c r="CI58" s="615">
        <v>0</v>
      </c>
      <c r="CJ58" s="615">
        <v>0</v>
      </c>
      <c r="CK58" s="615">
        <v>0</v>
      </c>
      <c r="CL58" s="615">
        <v>0</v>
      </c>
      <c r="CM58" s="615">
        <v>0</v>
      </c>
      <c r="CN58" s="615">
        <v>0</v>
      </c>
      <c r="CO58" s="615">
        <v>0</v>
      </c>
      <c r="CP58" s="615">
        <v>0</v>
      </c>
      <c r="CQ58" s="615">
        <v>0</v>
      </c>
      <c r="CR58" s="615">
        <v>0</v>
      </c>
      <c r="CS58" s="615">
        <v>0</v>
      </c>
      <c r="CT58" s="615">
        <v>0</v>
      </c>
      <c r="CU58" s="615">
        <v>0</v>
      </c>
      <c r="CV58" s="615">
        <v>0</v>
      </c>
      <c r="CW58" s="615">
        <v>0</v>
      </c>
      <c r="CX58" s="615">
        <v>0</v>
      </c>
      <c r="CY58" s="615">
        <v>0</v>
      </c>
      <c r="CZ58" s="615" t="s">
        <v>1049</v>
      </c>
      <c r="DA58" s="615">
        <v>0</v>
      </c>
      <c r="DB58" s="617"/>
      <c r="DC58" s="617"/>
      <c r="DD58" s="617"/>
      <c r="DE58" s="617"/>
      <c r="DF58" s="617"/>
      <c r="DG58" s="617"/>
      <c r="DH58" s="617"/>
      <c r="DI58" s="617"/>
      <c r="DJ58" s="617"/>
      <c r="DK58" s="617"/>
      <c r="DL58" s="617"/>
      <c r="DM58" s="617"/>
      <c r="DN58" s="617"/>
      <c r="DO58" s="617"/>
      <c r="DP58" s="617"/>
      <c r="DQ58" s="617"/>
      <c r="DR58" s="617"/>
      <c r="DS58" s="617"/>
      <c r="DT58" s="617"/>
      <c r="DU58" s="617"/>
      <c r="DV58" s="617"/>
      <c r="DW58" s="617"/>
      <c r="DX58" s="617"/>
      <c r="DY58" s="617"/>
      <c r="DZ58" s="617"/>
      <c r="EA58" s="617"/>
      <c r="EB58" s="617"/>
      <c r="EC58" s="617"/>
      <c r="ED58" s="617"/>
      <c r="EE58" s="617"/>
      <c r="EF58" s="617"/>
      <c r="EG58" s="617"/>
      <c r="EH58" s="617"/>
      <c r="EI58" s="617"/>
      <c r="EJ58" s="617"/>
      <c r="EK58" s="617"/>
      <c r="EL58" s="615" t="s">
        <v>833</v>
      </c>
      <c r="EM58" s="615" t="s">
        <v>833</v>
      </c>
      <c r="EN58" s="615" t="s">
        <v>833</v>
      </c>
      <c r="EO58" s="615" t="s">
        <v>833</v>
      </c>
      <c r="EP58" s="615" t="s">
        <v>833</v>
      </c>
      <c r="EQ58" s="615" t="s">
        <v>833</v>
      </c>
      <c r="ER58" s="615" t="s">
        <v>833</v>
      </c>
      <c r="ES58" s="615" t="s">
        <v>833</v>
      </c>
      <c r="ET58" s="615" t="s">
        <v>833</v>
      </c>
      <c r="EU58" s="615" t="s">
        <v>833</v>
      </c>
      <c r="EV58" s="615" t="s">
        <v>833</v>
      </c>
      <c r="EW58" s="615" t="s">
        <v>833</v>
      </c>
      <c r="EX58" s="615">
        <v>3670</v>
      </c>
      <c r="EY58" s="615">
        <v>3820</v>
      </c>
      <c r="EZ58" s="616" t="s">
        <v>1577</v>
      </c>
      <c r="FA58" s="616" t="s">
        <v>1577</v>
      </c>
      <c r="FB58" s="616" t="s">
        <v>1577</v>
      </c>
      <c r="FC58" s="616" t="s">
        <v>1577</v>
      </c>
      <c r="FD58" s="616" t="s">
        <v>1577</v>
      </c>
      <c r="FE58" s="616" t="s">
        <v>1577</v>
      </c>
      <c r="FF58" s="616" t="s">
        <v>1577</v>
      </c>
      <c r="FG58" s="616" t="s">
        <v>1577</v>
      </c>
      <c r="FH58" s="616" t="s">
        <v>1577</v>
      </c>
      <c r="FI58" s="616" t="s">
        <v>1577</v>
      </c>
      <c r="FJ58" s="616" t="s">
        <v>1577</v>
      </c>
      <c r="FK58" s="616" t="s">
        <v>1577</v>
      </c>
      <c r="FL58" s="615">
        <v>57</v>
      </c>
      <c r="FM58" s="615">
        <v>57</v>
      </c>
      <c r="FN58" s="615">
        <v>58</v>
      </c>
      <c r="FO58" s="615">
        <v>58</v>
      </c>
      <c r="FP58" s="615">
        <v>58</v>
      </c>
      <c r="FQ58" s="615">
        <v>57</v>
      </c>
      <c r="FR58" s="615">
        <v>57</v>
      </c>
      <c r="FS58" s="615">
        <v>56</v>
      </c>
      <c r="FT58" s="615">
        <v>56</v>
      </c>
      <c r="FU58" s="615">
        <v>56</v>
      </c>
      <c r="FV58" s="615">
        <v>51</v>
      </c>
      <c r="FW58" s="615">
        <v>51</v>
      </c>
      <c r="FX58" s="615">
        <v>51</v>
      </c>
      <c r="FY58" s="615">
        <v>51</v>
      </c>
      <c r="FZ58" s="615">
        <v>51</v>
      </c>
      <c r="GA58" s="615">
        <v>51</v>
      </c>
      <c r="GB58" s="615">
        <v>51</v>
      </c>
      <c r="GC58" s="615">
        <v>51</v>
      </c>
      <c r="GD58" s="615">
        <v>51</v>
      </c>
      <c r="GE58" s="615">
        <v>51</v>
      </c>
      <c r="GF58" s="615">
        <v>18350</v>
      </c>
      <c r="GG58" s="615" t="s">
        <v>1206</v>
      </c>
      <c r="GH58" s="615" t="s">
        <v>1206</v>
      </c>
      <c r="GI58" s="615" t="s">
        <v>1206</v>
      </c>
      <c r="GJ58" s="615" t="s">
        <v>1206</v>
      </c>
      <c r="GK58" s="615" t="s">
        <v>1206</v>
      </c>
      <c r="GL58" s="615" t="s">
        <v>1206</v>
      </c>
      <c r="GM58" s="615" t="s">
        <v>1206</v>
      </c>
      <c r="GN58" s="615" t="s">
        <v>1206</v>
      </c>
      <c r="GO58" s="615" t="s">
        <v>1206</v>
      </c>
      <c r="GP58" s="615" t="s">
        <v>1206</v>
      </c>
      <c r="GQ58" s="615" t="s">
        <v>1206</v>
      </c>
      <c r="GR58" s="615" t="s">
        <v>1206</v>
      </c>
      <c r="GS58" s="615">
        <v>0</v>
      </c>
      <c r="GT58" s="615">
        <v>0</v>
      </c>
      <c r="GU58" s="615">
        <v>0</v>
      </c>
      <c r="GV58" s="615">
        <v>0</v>
      </c>
      <c r="GW58" s="615">
        <v>0</v>
      </c>
      <c r="GX58" s="615">
        <v>0</v>
      </c>
      <c r="GY58" s="615">
        <v>0</v>
      </c>
      <c r="GZ58" s="615">
        <v>0</v>
      </c>
      <c r="HA58" s="615">
        <v>0</v>
      </c>
      <c r="HB58" s="615">
        <v>0</v>
      </c>
      <c r="HC58" s="615" t="s">
        <v>1208</v>
      </c>
      <c r="HD58" s="615" t="s">
        <v>1208</v>
      </c>
      <c r="HE58" s="615" t="s">
        <v>1208</v>
      </c>
      <c r="HF58" s="615" t="s">
        <v>1208</v>
      </c>
      <c r="HG58" s="615" t="s">
        <v>1208</v>
      </c>
      <c r="HH58" s="615" t="s">
        <v>1208</v>
      </c>
      <c r="HI58" s="615" t="s">
        <v>1208</v>
      </c>
      <c r="HJ58" s="615" t="s">
        <v>1208</v>
      </c>
      <c r="HK58" s="615" t="s">
        <v>1208</v>
      </c>
      <c r="HL58" s="615" t="s">
        <v>1208</v>
      </c>
      <c r="HM58" s="615" t="s">
        <v>1208</v>
      </c>
      <c r="HN58" s="615" t="s">
        <v>1208</v>
      </c>
      <c r="HO58" s="611" t="str">
        <f t="shared" si="25"/>
        <v/>
      </c>
      <c r="HP58" s="611" t="str">
        <f t="shared" si="26"/>
        <v/>
      </c>
      <c r="HQ58" s="611" t="str">
        <f t="shared" si="27"/>
        <v/>
      </c>
      <c r="HR58" s="611" t="str">
        <f t="shared" si="28"/>
        <v/>
      </c>
      <c r="HS58" s="611" t="str">
        <f t="shared" si="29"/>
        <v/>
      </c>
      <c r="HT58" s="611" t="str">
        <f t="shared" si="30"/>
        <v/>
      </c>
      <c r="HU58" s="611" t="str">
        <f t="shared" si="31"/>
        <v/>
      </c>
      <c r="HV58" s="611" t="str">
        <f t="shared" si="32"/>
        <v/>
      </c>
      <c r="HW58" s="611" t="str">
        <f t="shared" si="33"/>
        <v/>
      </c>
      <c r="HX58" s="611" t="str">
        <f t="shared" si="34"/>
        <v/>
      </c>
      <c r="HY58" s="611" t="str">
        <f t="shared" si="35"/>
        <v/>
      </c>
      <c r="HZ58" s="611" t="str">
        <f t="shared" si="36"/>
        <v/>
      </c>
      <c r="IA58" s="619" t="s">
        <v>1298</v>
      </c>
    </row>
    <row r="59" spans="2:235">
      <c r="B59" s="625">
        <v>55</v>
      </c>
      <c r="C59" s="626">
        <v>255</v>
      </c>
      <c r="D59" s="627" t="s">
        <v>1601</v>
      </c>
      <c r="E59" s="612" t="s">
        <v>13</v>
      </c>
      <c r="F59" s="612">
        <v>164</v>
      </c>
      <c r="G59" s="612">
        <v>105</v>
      </c>
      <c r="H59" s="612">
        <v>39</v>
      </c>
      <c r="I59" s="612">
        <v>20</v>
      </c>
      <c r="J59" s="612"/>
      <c r="K59" s="612"/>
      <c r="L59" s="612"/>
      <c r="M59" s="612"/>
      <c r="N59" s="612"/>
      <c r="O59" s="612"/>
      <c r="P59" s="612"/>
      <c r="Q59" s="612"/>
      <c r="R59" s="612"/>
      <c r="S59" s="612"/>
      <c r="T59" s="612"/>
      <c r="U59" s="612"/>
      <c r="V59" s="612"/>
      <c r="W59" s="612"/>
      <c r="X59" s="612"/>
      <c r="Y59" s="612"/>
      <c r="Z59" s="612"/>
      <c r="AA59" s="612"/>
      <c r="AB59" s="612"/>
      <c r="AC59" s="612"/>
      <c r="AD59" s="612"/>
      <c r="AE59" s="612"/>
      <c r="AF59" s="612"/>
      <c r="AG59" s="612"/>
      <c r="AH59" s="612"/>
      <c r="AI59" s="612"/>
      <c r="AJ59" s="612"/>
      <c r="AK59" s="612"/>
      <c r="AL59" s="612"/>
      <c r="AM59" s="613"/>
      <c r="AN59" s="613"/>
      <c r="AO59" s="613"/>
      <c r="AP59" s="612"/>
      <c r="AQ59" s="612" t="s">
        <v>11</v>
      </c>
      <c r="AR59" s="615" t="s">
        <v>629</v>
      </c>
      <c r="AS59" s="615" t="s">
        <v>629</v>
      </c>
      <c r="AT59" s="615" t="s">
        <v>629</v>
      </c>
      <c r="AU59" s="615" t="s">
        <v>629</v>
      </c>
      <c r="AV59" s="615" t="s">
        <v>629</v>
      </c>
      <c r="AW59" s="615" t="s">
        <v>629</v>
      </c>
      <c r="AX59" s="615" t="s">
        <v>629</v>
      </c>
      <c r="AY59" s="615" t="s">
        <v>629</v>
      </c>
      <c r="AZ59" s="615" t="s">
        <v>629</v>
      </c>
      <c r="BA59" s="615" t="s">
        <v>629</v>
      </c>
      <c r="BB59" s="615" t="s">
        <v>629</v>
      </c>
      <c r="BC59" s="615" t="s">
        <v>629</v>
      </c>
      <c r="BD59" s="615" t="s">
        <v>629</v>
      </c>
      <c r="BE59" s="615" t="s">
        <v>629</v>
      </c>
      <c r="BF59" s="615" t="s">
        <v>629</v>
      </c>
      <c r="BG59" s="615" t="s">
        <v>629</v>
      </c>
      <c r="BH59" s="615" t="s">
        <v>629</v>
      </c>
      <c r="BI59" s="615" t="s">
        <v>629</v>
      </c>
      <c r="BJ59" s="615" t="s">
        <v>629</v>
      </c>
      <c r="BK59" s="615" t="s">
        <v>629</v>
      </c>
      <c r="BL59" s="615" t="s">
        <v>629</v>
      </c>
      <c r="BM59" s="615" t="s">
        <v>629</v>
      </c>
      <c r="BN59" s="615" t="s">
        <v>629</v>
      </c>
      <c r="BO59" s="615" t="s">
        <v>629</v>
      </c>
      <c r="BP59" s="615">
        <v>0</v>
      </c>
      <c r="BQ59" s="615">
        <v>0</v>
      </c>
      <c r="BR59" s="615">
        <v>0</v>
      </c>
      <c r="BS59" s="615">
        <v>0</v>
      </c>
      <c r="BT59" s="615">
        <v>0</v>
      </c>
      <c r="BU59" s="615">
        <v>0</v>
      </c>
      <c r="BV59" s="615">
        <v>0</v>
      </c>
      <c r="BW59" s="615">
        <v>0</v>
      </c>
      <c r="BX59" s="615">
        <v>0</v>
      </c>
      <c r="BY59" s="615">
        <v>0</v>
      </c>
      <c r="BZ59" s="615">
        <v>0</v>
      </c>
      <c r="CA59" s="615">
        <v>0</v>
      </c>
      <c r="CB59" s="615">
        <v>0</v>
      </c>
      <c r="CC59" s="615">
        <v>0</v>
      </c>
      <c r="CD59" s="615">
        <v>0</v>
      </c>
      <c r="CE59" s="615">
        <v>0</v>
      </c>
      <c r="CF59" s="615">
        <v>0</v>
      </c>
      <c r="CG59" s="615">
        <v>0</v>
      </c>
      <c r="CH59" s="615">
        <v>0</v>
      </c>
      <c r="CI59" s="615">
        <v>0</v>
      </c>
      <c r="CJ59" s="615">
        <v>0</v>
      </c>
      <c r="CK59" s="615">
        <v>0</v>
      </c>
      <c r="CL59" s="615">
        <v>0</v>
      </c>
      <c r="CM59" s="615">
        <v>0</v>
      </c>
      <c r="CN59" s="615">
        <v>0</v>
      </c>
      <c r="CO59" s="615">
        <v>0</v>
      </c>
      <c r="CP59" s="615">
        <v>0</v>
      </c>
      <c r="CQ59" s="615">
        <v>0</v>
      </c>
      <c r="CR59" s="615">
        <v>0</v>
      </c>
      <c r="CS59" s="615">
        <v>0</v>
      </c>
      <c r="CT59" s="615">
        <v>0</v>
      </c>
      <c r="CU59" s="615">
        <v>0</v>
      </c>
      <c r="CV59" s="615">
        <v>0</v>
      </c>
      <c r="CW59" s="615">
        <v>0</v>
      </c>
      <c r="CX59" s="615">
        <v>0</v>
      </c>
      <c r="CY59" s="615">
        <v>0</v>
      </c>
      <c r="CZ59" s="615" t="s">
        <v>1049</v>
      </c>
      <c r="DA59" s="615">
        <v>1</v>
      </c>
      <c r="DB59" s="617"/>
      <c r="DC59" s="617"/>
      <c r="DD59" s="617"/>
      <c r="DE59" s="617"/>
      <c r="DF59" s="617"/>
      <c r="DG59" s="617"/>
      <c r="DH59" s="617"/>
      <c r="DI59" s="617"/>
      <c r="DJ59" s="617"/>
      <c r="DK59" s="617"/>
      <c r="DL59" s="617"/>
      <c r="DM59" s="617"/>
      <c r="DN59" s="617"/>
      <c r="DO59" s="617"/>
      <c r="DP59" s="617"/>
      <c r="DQ59" s="617"/>
      <c r="DR59" s="617"/>
      <c r="DS59" s="617"/>
      <c r="DT59" s="617"/>
      <c r="DU59" s="617"/>
      <c r="DV59" s="617"/>
      <c r="DW59" s="617"/>
      <c r="DX59" s="617"/>
      <c r="DY59" s="617"/>
      <c r="DZ59" s="617"/>
      <c r="EA59" s="617"/>
      <c r="EB59" s="617"/>
      <c r="EC59" s="617"/>
      <c r="ED59" s="617"/>
      <c r="EE59" s="617"/>
      <c r="EF59" s="617"/>
      <c r="EG59" s="617"/>
      <c r="EH59" s="617"/>
      <c r="EI59" s="617"/>
      <c r="EJ59" s="617"/>
      <c r="EK59" s="617"/>
      <c r="EL59" s="615" t="s">
        <v>833</v>
      </c>
      <c r="EM59" s="615" t="s">
        <v>833</v>
      </c>
      <c r="EN59" s="615" t="s">
        <v>833</v>
      </c>
      <c r="EO59" s="615" t="s">
        <v>833</v>
      </c>
      <c r="EP59" s="615" t="s">
        <v>833</v>
      </c>
      <c r="EQ59" s="615" t="s">
        <v>833</v>
      </c>
      <c r="ER59" s="615" t="s">
        <v>833</v>
      </c>
      <c r="ES59" s="615" t="s">
        <v>833</v>
      </c>
      <c r="ET59" s="615" t="s">
        <v>833</v>
      </c>
      <c r="EU59" s="615" t="s">
        <v>833</v>
      </c>
      <c r="EV59" s="615" t="s">
        <v>833</v>
      </c>
      <c r="EW59" s="615" t="s">
        <v>833</v>
      </c>
      <c r="EX59" s="615">
        <v>3670</v>
      </c>
      <c r="EY59" s="615">
        <v>3820</v>
      </c>
      <c r="EZ59" s="616" t="s">
        <v>1577</v>
      </c>
      <c r="FA59" s="616" t="s">
        <v>1577</v>
      </c>
      <c r="FB59" s="616" t="s">
        <v>1577</v>
      </c>
      <c r="FC59" s="616" t="s">
        <v>1577</v>
      </c>
      <c r="FD59" s="616" t="s">
        <v>1577</v>
      </c>
      <c r="FE59" s="616" t="s">
        <v>1577</v>
      </c>
      <c r="FF59" s="616" t="s">
        <v>1577</v>
      </c>
      <c r="FG59" s="616" t="s">
        <v>1577</v>
      </c>
      <c r="FH59" s="616" t="s">
        <v>1577</v>
      </c>
      <c r="FI59" s="616" t="s">
        <v>1577</v>
      </c>
      <c r="FJ59" s="616" t="s">
        <v>1577</v>
      </c>
      <c r="FK59" s="616" t="s">
        <v>1577</v>
      </c>
      <c r="FL59" s="615">
        <v>57</v>
      </c>
      <c r="FM59" s="615">
        <v>57</v>
      </c>
      <c r="FN59" s="615">
        <v>58</v>
      </c>
      <c r="FO59" s="615">
        <v>58</v>
      </c>
      <c r="FP59" s="615">
        <v>58</v>
      </c>
      <c r="FQ59" s="615">
        <v>57</v>
      </c>
      <c r="FR59" s="615">
        <v>57</v>
      </c>
      <c r="FS59" s="615">
        <v>56</v>
      </c>
      <c r="FT59" s="615">
        <v>56</v>
      </c>
      <c r="FU59" s="615">
        <v>56</v>
      </c>
      <c r="FV59" s="615">
        <v>51</v>
      </c>
      <c r="FW59" s="615">
        <v>51</v>
      </c>
      <c r="FX59" s="615">
        <v>51</v>
      </c>
      <c r="FY59" s="615">
        <v>51</v>
      </c>
      <c r="FZ59" s="615">
        <v>51</v>
      </c>
      <c r="GA59" s="615">
        <v>51</v>
      </c>
      <c r="GB59" s="615">
        <v>51</v>
      </c>
      <c r="GC59" s="615">
        <v>51</v>
      </c>
      <c r="GD59" s="615">
        <v>51</v>
      </c>
      <c r="GE59" s="615">
        <v>51</v>
      </c>
      <c r="GF59" s="615">
        <v>18350</v>
      </c>
      <c r="GG59" s="615" t="s">
        <v>1206</v>
      </c>
      <c r="GH59" s="615" t="s">
        <v>1206</v>
      </c>
      <c r="GI59" s="615" t="s">
        <v>1206</v>
      </c>
      <c r="GJ59" s="615" t="s">
        <v>1206</v>
      </c>
      <c r="GK59" s="615" t="s">
        <v>1206</v>
      </c>
      <c r="GL59" s="615" t="s">
        <v>1206</v>
      </c>
      <c r="GM59" s="615" t="s">
        <v>1206</v>
      </c>
      <c r="GN59" s="615" t="s">
        <v>1206</v>
      </c>
      <c r="GO59" s="615" t="s">
        <v>1206</v>
      </c>
      <c r="GP59" s="615" t="s">
        <v>1206</v>
      </c>
      <c r="GQ59" s="615" t="s">
        <v>1206</v>
      </c>
      <c r="GR59" s="615" t="s">
        <v>1206</v>
      </c>
      <c r="GS59" s="615">
        <v>0</v>
      </c>
      <c r="GT59" s="615">
        <v>0</v>
      </c>
      <c r="GU59" s="615">
        <v>0</v>
      </c>
      <c r="GV59" s="615">
        <v>0</v>
      </c>
      <c r="GW59" s="615">
        <v>0</v>
      </c>
      <c r="GX59" s="615">
        <v>0</v>
      </c>
      <c r="GY59" s="615">
        <v>0</v>
      </c>
      <c r="GZ59" s="615">
        <v>0</v>
      </c>
      <c r="HA59" s="615">
        <v>0</v>
      </c>
      <c r="HB59" s="615">
        <v>0</v>
      </c>
      <c r="HC59" s="615" t="s">
        <v>1208</v>
      </c>
      <c r="HD59" s="615" t="s">
        <v>1208</v>
      </c>
      <c r="HE59" s="615" t="s">
        <v>1208</v>
      </c>
      <c r="HF59" s="615" t="s">
        <v>1208</v>
      </c>
      <c r="HG59" s="615" t="s">
        <v>1208</v>
      </c>
      <c r="HH59" s="615" t="s">
        <v>1208</v>
      </c>
      <c r="HI59" s="615" t="s">
        <v>1208</v>
      </c>
      <c r="HJ59" s="615" t="s">
        <v>1208</v>
      </c>
      <c r="HK59" s="615" t="s">
        <v>1208</v>
      </c>
      <c r="HL59" s="615" t="s">
        <v>1208</v>
      </c>
      <c r="HM59" s="615" t="s">
        <v>1208</v>
      </c>
      <c r="HN59" s="615" t="s">
        <v>1208</v>
      </c>
      <c r="HO59" s="611" t="str">
        <f t="shared" ref="HO59:HO63" si="37">IF(HC59="配置",$HO$3,"")</f>
        <v/>
      </c>
      <c r="HP59" s="611" t="str">
        <f t="shared" ref="HP59:HP63" si="38">IF(HD59="配置",$HO$3,"")</f>
        <v/>
      </c>
      <c r="HQ59" s="611" t="str">
        <f t="shared" ref="HQ59:HQ63" si="39">IF(HE59="配置",$HO$3,"")</f>
        <v/>
      </c>
      <c r="HR59" s="611" t="str">
        <f t="shared" ref="HR59:HR63" si="40">IF(HF59="配置",$HO$3,"")</f>
        <v/>
      </c>
      <c r="HS59" s="611" t="str">
        <f t="shared" ref="HS59:HS63" si="41">IF(HG59="配置",$HO$3,"")</f>
        <v/>
      </c>
      <c r="HT59" s="611" t="str">
        <f t="shared" ref="HT59:HT63" si="42">IF(HH59="配置",$HO$3,"")</f>
        <v/>
      </c>
      <c r="HU59" s="611" t="str">
        <f t="shared" ref="HU59:HU63" si="43">IF(HI59="配置",$HO$3,"")</f>
        <v/>
      </c>
      <c r="HV59" s="611" t="str">
        <f t="shared" ref="HV59:HV63" si="44">IF(HJ59="配置",$HO$3,"")</f>
        <v/>
      </c>
      <c r="HW59" s="611" t="str">
        <f t="shared" ref="HW59:HW63" si="45">IF(HK59="配置",$HO$3,"")</f>
        <v/>
      </c>
      <c r="HX59" s="611" t="str">
        <f t="shared" ref="HX59:HX63" si="46">IF(HL59="配置",$HO$3,"")</f>
        <v/>
      </c>
      <c r="HY59" s="611" t="str">
        <f t="shared" ref="HY59:HY63" si="47">IF(HM59="配置",$HO$3,"")</f>
        <v/>
      </c>
      <c r="HZ59" s="611" t="str">
        <f t="shared" ref="HZ59:HZ63" si="48">IF(HN59="配置",$HO$3,"")</f>
        <v/>
      </c>
      <c r="IA59" s="619" t="s">
        <v>1296</v>
      </c>
    </row>
    <row r="60" spans="2:235">
      <c r="B60" s="625">
        <v>56</v>
      </c>
      <c r="C60" s="626">
        <v>256</v>
      </c>
      <c r="D60" s="627" t="s">
        <v>1599</v>
      </c>
      <c r="E60" s="612" t="s">
        <v>13</v>
      </c>
      <c r="F60" s="612">
        <v>160</v>
      </c>
      <c r="G60" s="612">
        <v>120</v>
      </c>
      <c r="H60" s="612">
        <v>35</v>
      </c>
      <c r="I60" s="612">
        <v>5</v>
      </c>
      <c r="J60" s="612"/>
      <c r="K60" s="612"/>
      <c r="L60" s="612"/>
      <c r="M60" s="612"/>
      <c r="N60" s="612"/>
      <c r="O60" s="612"/>
      <c r="P60" s="612"/>
      <c r="Q60" s="612"/>
      <c r="R60" s="612"/>
      <c r="S60" s="612"/>
      <c r="T60" s="612"/>
      <c r="U60" s="612"/>
      <c r="V60" s="612"/>
      <c r="W60" s="612"/>
      <c r="X60" s="612"/>
      <c r="Y60" s="612"/>
      <c r="Z60" s="612"/>
      <c r="AA60" s="612"/>
      <c r="AB60" s="612"/>
      <c r="AC60" s="612"/>
      <c r="AD60" s="612"/>
      <c r="AE60" s="612"/>
      <c r="AF60" s="612"/>
      <c r="AG60" s="612"/>
      <c r="AH60" s="612"/>
      <c r="AI60" s="612"/>
      <c r="AJ60" s="612"/>
      <c r="AK60" s="612"/>
      <c r="AL60" s="612"/>
      <c r="AM60" s="613"/>
      <c r="AN60" s="613"/>
      <c r="AO60" s="613"/>
      <c r="AP60" s="612"/>
      <c r="AQ60" s="612" t="s">
        <v>11</v>
      </c>
      <c r="AR60" s="615" t="s">
        <v>629</v>
      </c>
      <c r="AS60" s="615" t="s">
        <v>629</v>
      </c>
      <c r="AT60" s="615" t="s">
        <v>629</v>
      </c>
      <c r="AU60" s="615" t="s">
        <v>629</v>
      </c>
      <c r="AV60" s="615" t="s">
        <v>629</v>
      </c>
      <c r="AW60" s="615" t="s">
        <v>629</v>
      </c>
      <c r="AX60" s="615" t="s">
        <v>629</v>
      </c>
      <c r="AY60" s="615" t="s">
        <v>629</v>
      </c>
      <c r="AZ60" s="615" t="s">
        <v>629</v>
      </c>
      <c r="BA60" s="615" t="s">
        <v>629</v>
      </c>
      <c r="BB60" s="615" t="s">
        <v>629</v>
      </c>
      <c r="BC60" s="615" t="s">
        <v>629</v>
      </c>
      <c r="BD60" s="615" t="s">
        <v>629</v>
      </c>
      <c r="BE60" s="615" t="s">
        <v>629</v>
      </c>
      <c r="BF60" s="615" t="s">
        <v>629</v>
      </c>
      <c r="BG60" s="615" t="s">
        <v>629</v>
      </c>
      <c r="BH60" s="615" t="s">
        <v>629</v>
      </c>
      <c r="BI60" s="615" t="s">
        <v>629</v>
      </c>
      <c r="BJ60" s="615" t="s">
        <v>629</v>
      </c>
      <c r="BK60" s="615" t="s">
        <v>629</v>
      </c>
      <c r="BL60" s="615" t="s">
        <v>629</v>
      </c>
      <c r="BM60" s="615" t="s">
        <v>629</v>
      </c>
      <c r="BN60" s="615" t="s">
        <v>629</v>
      </c>
      <c r="BO60" s="615" t="s">
        <v>629</v>
      </c>
      <c r="BP60" s="615">
        <v>0</v>
      </c>
      <c r="BQ60" s="615">
        <v>0</v>
      </c>
      <c r="BR60" s="615">
        <v>0</v>
      </c>
      <c r="BS60" s="615">
        <v>0</v>
      </c>
      <c r="BT60" s="615">
        <v>0</v>
      </c>
      <c r="BU60" s="615">
        <v>0</v>
      </c>
      <c r="BV60" s="615">
        <v>0</v>
      </c>
      <c r="BW60" s="615">
        <v>0</v>
      </c>
      <c r="BX60" s="615">
        <v>0</v>
      </c>
      <c r="BY60" s="615">
        <v>0</v>
      </c>
      <c r="BZ60" s="615">
        <v>0</v>
      </c>
      <c r="CA60" s="615">
        <v>0</v>
      </c>
      <c r="CB60" s="615">
        <v>0</v>
      </c>
      <c r="CC60" s="615">
        <v>0</v>
      </c>
      <c r="CD60" s="615">
        <v>0</v>
      </c>
      <c r="CE60" s="615">
        <v>0</v>
      </c>
      <c r="CF60" s="615">
        <v>0</v>
      </c>
      <c r="CG60" s="615">
        <v>0</v>
      </c>
      <c r="CH60" s="615">
        <v>0</v>
      </c>
      <c r="CI60" s="615">
        <v>0</v>
      </c>
      <c r="CJ60" s="615">
        <v>0</v>
      </c>
      <c r="CK60" s="615">
        <v>0</v>
      </c>
      <c r="CL60" s="615">
        <v>0</v>
      </c>
      <c r="CM60" s="615">
        <v>0</v>
      </c>
      <c r="CN60" s="615">
        <v>0</v>
      </c>
      <c r="CO60" s="615">
        <v>0</v>
      </c>
      <c r="CP60" s="615">
        <v>0</v>
      </c>
      <c r="CQ60" s="615">
        <v>0</v>
      </c>
      <c r="CR60" s="615">
        <v>0</v>
      </c>
      <c r="CS60" s="615">
        <v>0</v>
      </c>
      <c r="CT60" s="615">
        <v>0</v>
      </c>
      <c r="CU60" s="615">
        <v>0</v>
      </c>
      <c r="CV60" s="615">
        <v>0</v>
      </c>
      <c r="CW60" s="615">
        <v>0</v>
      </c>
      <c r="CX60" s="615">
        <v>0</v>
      </c>
      <c r="CY60" s="615">
        <v>0</v>
      </c>
      <c r="CZ60" s="615" t="s">
        <v>1049</v>
      </c>
      <c r="DA60" s="615">
        <v>2</v>
      </c>
      <c r="DB60" s="617"/>
      <c r="DC60" s="617"/>
      <c r="DD60" s="617"/>
      <c r="DE60" s="617"/>
      <c r="DF60" s="617"/>
      <c r="DG60" s="617"/>
      <c r="DH60" s="617"/>
      <c r="DI60" s="617"/>
      <c r="DJ60" s="617"/>
      <c r="DK60" s="617"/>
      <c r="DL60" s="617"/>
      <c r="DM60" s="617"/>
      <c r="DN60" s="617"/>
      <c r="DO60" s="617"/>
      <c r="DP60" s="617"/>
      <c r="DQ60" s="617"/>
      <c r="DR60" s="617"/>
      <c r="DS60" s="617"/>
      <c r="DT60" s="617"/>
      <c r="DU60" s="617"/>
      <c r="DV60" s="617"/>
      <c r="DW60" s="617"/>
      <c r="DX60" s="617"/>
      <c r="DY60" s="617"/>
      <c r="DZ60" s="617"/>
      <c r="EA60" s="617"/>
      <c r="EB60" s="617"/>
      <c r="EC60" s="617"/>
      <c r="ED60" s="617"/>
      <c r="EE60" s="617"/>
      <c r="EF60" s="617"/>
      <c r="EG60" s="617"/>
      <c r="EH60" s="617"/>
      <c r="EI60" s="617"/>
      <c r="EJ60" s="617"/>
      <c r="EK60" s="617"/>
      <c r="EL60" s="615" t="s">
        <v>833</v>
      </c>
      <c r="EM60" s="615" t="s">
        <v>833</v>
      </c>
      <c r="EN60" s="615" t="s">
        <v>833</v>
      </c>
      <c r="EO60" s="615" t="s">
        <v>833</v>
      </c>
      <c r="EP60" s="615" t="s">
        <v>833</v>
      </c>
      <c r="EQ60" s="615" t="s">
        <v>833</v>
      </c>
      <c r="ER60" s="615" t="s">
        <v>833</v>
      </c>
      <c r="ES60" s="615" t="s">
        <v>833</v>
      </c>
      <c r="ET60" s="615" t="s">
        <v>833</v>
      </c>
      <c r="EU60" s="615" t="s">
        <v>833</v>
      </c>
      <c r="EV60" s="615" t="s">
        <v>833</v>
      </c>
      <c r="EW60" s="615" t="s">
        <v>833</v>
      </c>
      <c r="EX60" s="615">
        <v>3670</v>
      </c>
      <c r="EY60" s="615">
        <v>3820</v>
      </c>
      <c r="EZ60" s="616" t="s">
        <v>1577</v>
      </c>
      <c r="FA60" s="616" t="s">
        <v>1577</v>
      </c>
      <c r="FB60" s="616" t="s">
        <v>1577</v>
      </c>
      <c r="FC60" s="616" t="s">
        <v>1577</v>
      </c>
      <c r="FD60" s="616" t="s">
        <v>1577</v>
      </c>
      <c r="FE60" s="616" t="s">
        <v>1577</v>
      </c>
      <c r="FF60" s="616" t="s">
        <v>1577</v>
      </c>
      <c r="FG60" s="616" t="s">
        <v>1577</v>
      </c>
      <c r="FH60" s="616" t="s">
        <v>1577</v>
      </c>
      <c r="FI60" s="616" t="s">
        <v>1577</v>
      </c>
      <c r="FJ60" s="616" t="s">
        <v>1577</v>
      </c>
      <c r="FK60" s="616" t="s">
        <v>1577</v>
      </c>
      <c r="FL60" s="615">
        <v>57</v>
      </c>
      <c r="FM60" s="615">
        <v>57</v>
      </c>
      <c r="FN60" s="615">
        <v>58</v>
      </c>
      <c r="FO60" s="615">
        <v>58</v>
      </c>
      <c r="FP60" s="615">
        <v>58</v>
      </c>
      <c r="FQ60" s="615">
        <v>57</v>
      </c>
      <c r="FR60" s="615">
        <v>57</v>
      </c>
      <c r="FS60" s="615">
        <v>56</v>
      </c>
      <c r="FT60" s="615">
        <v>56</v>
      </c>
      <c r="FU60" s="615">
        <v>56</v>
      </c>
      <c r="FV60" s="615">
        <v>51</v>
      </c>
      <c r="FW60" s="615">
        <v>51</v>
      </c>
      <c r="FX60" s="615">
        <v>51</v>
      </c>
      <c r="FY60" s="615">
        <v>51</v>
      </c>
      <c r="FZ60" s="615">
        <v>51</v>
      </c>
      <c r="GA60" s="615">
        <v>51</v>
      </c>
      <c r="GB60" s="615">
        <v>51</v>
      </c>
      <c r="GC60" s="615">
        <v>51</v>
      </c>
      <c r="GD60" s="615">
        <v>51</v>
      </c>
      <c r="GE60" s="615">
        <v>51</v>
      </c>
      <c r="GF60" s="615">
        <v>18350</v>
      </c>
      <c r="GG60" s="615" t="s">
        <v>1206</v>
      </c>
      <c r="GH60" s="615" t="s">
        <v>1206</v>
      </c>
      <c r="GI60" s="615" t="s">
        <v>1206</v>
      </c>
      <c r="GJ60" s="615" t="s">
        <v>1206</v>
      </c>
      <c r="GK60" s="615" t="s">
        <v>1206</v>
      </c>
      <c r="GL60" s="615" t="s">
        <v>1206</v>
      </c>
      <c r="GM60" s="615" t="s">
        <v>1206</v>
      </c>
      <c r="GN60" s="615" t="s">
        <v>1206</v>
      </c>
      <c r="GO60" s="615" t="s">
        <v>1206</v>
      </c>
      <c r="GP60" s="615" t="s">
        <v>1206</v>
      </c>
      <c r="GQ60" s="615" t="s">
        <v>1206</v>
      </c>
      <c r="GR60" s="615" t="s">
        <v>1206</v>
      </c>
      <c r="GS60" s="615">
        <v>0</v>
      </c>
      <c r="GT60" s="615">
        <v>0</v>
      </c>
      <c r="GU60" s="615">
        <v>0</v>
      </c>
      <c r="GV60" s="615">
        <v>0</v>
      </c>
      <c r="GW60" s="615">
        <v>0</v>
      </c>
      <c r="GX60" s="615">
        <v>0</v>
      </c>
      <c r="GY60" s="615">
        <v>0</v>
      </c>
      <c r="GZ60" s="615">
        <v>0</v>
      </c>
      <c r="HA60" s="615">
        <v>0</v>
      </c>
      <c r="HB60" s="615">
        <v>0</v>
      </c>
      <c r="HC60" s="615" t="s">
        <v>1208</v>
      </c>
      <c r="HD60" s="615" t="s">
        <v>1208</v>
      </c>
      <c r="HE60" s="615" t="s">
        <v>1208</v>
      </c>
      <c r="HF60" s="615" t="s">
        <v>1208</v>
      </c>
      <c r="HG60" s="615" t="s">
        <v>1208</v>
      </c>
      <c r="HH60" s="615" t="s">
        <v>1208</v>
      </c>
      <c r="HI60" s="615" t="s">
        <v>1208</v>
      </c>
      <c r="HJ60" s="615" t="s">
        <v>1208</v>
      </c>
      <c r="HK60" s="615" t="s">
        <v>1208</v>
      </c>
      <c r="HL60" s="615" t="s">
        <v>1208</v>
      </c>
      <c r="HM60" s="615" t="s">
        <v>1208</v>
      </c>
      <c r="HN60" s="615" t="s">
        <v>1208</v>
      </c>
      <c r="HO60" s="611" t="str">
        <f t="shared" si="37"/>
        <v/>
      </c>
      <c r="HP60" s="611" t="str">
        <f t="shared" si="38"/>
        <v/>
      </c>
      <c r="HQ60" s="611" t="str">
        <f t="shared" si="39"/>
        <v/>
      </c>
      <c r="HR60" s="611" t="str">
        <f t="shared" si="40"/>
        <v/>
      </c>
      <c r="HS60" s="611" t="str">
        <f t="shared" si="41"/>
        <v/>
      </c>
      <c r="HT60" s="611" t="str">
        <f t="shared" si="42"/>
        <v/>
      </c>
      <c r="HU60" s="611" t="str">
        <f t="shared" si="43"/>
        <v/>
      </c>
      <c r="HV60" s="611" t="str">
        <f t="shared" si="44"/>
        <v/>
      </c>
      <c r="HW60" s="611" t="str">
        <f t="shared" si="45"/>
        <v/>
      </c>
      <c r="HX60" s="611" t="str">
        <f t="shared" si="46"/>
        <v/>
      </c>
      <c r="HY60" s="611" t="str">
        <f t="shared" si="47"/>
        <v/>
      </c>
      <c r="HZ60" s="611" t="str">
        <f t="shared" si="48"/>
        <v/>
      </c>
      <c r="IA60" s="619" t="s">
        <v>1295</v>
      </c>
    </row>
    <row r="61" spans="2:235">
      <c r="B61" s="625">
        <v>57</v>
      </c>
      <c r="C61" s="626">
        <v>257</v>
      </c>
      <c r="D61" s="627" t="s">
        <v>1600</v>
      </c>
      <c r="E61" s="612" t="s">
        <v>13</v>
      </c>
      <c r="F61" s="612">
        <v>118</v>
      </c>
      <c r="G61" s="612">
        <v>60</v>
      </c>
      <c r="H61" s="612">
        <v>48</v>
      </c>
      <c r="I61" s="612">
        <v>10</v>
      </c>
      <c r="J61" s="612"/>
      <c r="K61" s="612"/>
      <c r="L61" s="612"/>
      <c r="M61" s="612"/>
      <c r="N61" s="612"/>
      <c r="O61" s="612"/>
      <c r="P61" s="612"/>
      <c r="Q61" s="612"/>
      <c r="R61" s="612"/>
      <c r="S61" s="612"/>
      <c r="T61" s="612"/>
      <c r="U61" s="612"/>
      <c r="V61" s="612"/>
      <c r="W61" s="612"/>
      <c r="X61" s="612"/>
      <c r="Y61" s="612"/>
      <c r="Z61" s="612"/>
      <c r="AA61" s="612"/>
      <c r="AB61" s="612"/>
      <c r="AC61" s="612"/>
      <c r="AD61" s="612"/>
      <c r="AE61" s="612"/>
      <c r="AF61" s="612"/>
      <c r="AG61" s="612"/>
      <c r="AH61" s="612"/>
      <c r="AI61" s="612"/>
      <c r="AJ61" s="612"/>
      <c r="AK61" s="612"/>
      <c r="AL61" s="612"/>
      <c r="AM61" s="613"/>
      <c r="AN61" s="613"/>
      <c r="AO61" s="613"/>
      <c r="AP61" s="612"/>
      <c r="AQ61" s="612" t="s">
        <v>11</v>
      </c>
      <c r="AR61" s="615" t="s">
        <v>629</v>
      </c>
      <c r="AS61" s="615" t="s">
        <v>629</v>
      </c>
      <c r="AT61" s="615" t="s">
        <v>629</v>
      </c>
      <c r="AU61" s="615" t="s">
        <v>629</v>
      </c>
      <c r="AV61" s="615" t="s">
        <v>629</v>
      </c>
      <c r="AW61" s="615" t="s">
        <v>629</v>
      </c>
      <c r="AX61" s="615" t="s">
        <v>629</v>
      </c>
      <c r="AY61" s="615" t="s">
        <v>629</v>
      </c>
      <c r="AZ61" s="615" t="s">
        <v>629</v>
      </c>
      <c r="BA61" s="615" t="s">
        <v>629</v>
      </c>
      <c r="BB61" s="615" t="s">
        <v>629</v>
      </c>
      <c r="BC61" s="615" t="s">
        <v>629</v>
      </c>
      <c r="BD61" s="615" t="s">
        <v>629</v>
      </c>
      <c r="BE61" s="615" t="s">
        <v>629</v>
      </c>
      <c r="BF61" s="615" t="s">
        <v>629</v>
      </c>
      <c r="BG61" s="615" t="s">
        <v>629</v>
      </c>
      <c r="BH61" s="615" t="s">
        <v>629</v>
      </c>
      <c r="BI61" s="615" t="s">
        <v>629</v>
      </c>
      <c r="BJ61" s="615" t="s">
        <v>629</v>
      </c>
      <c r="BK61" s="615" t="s">
        <v>629</v>
      </c>
      <c r="BL61" s="615" t="s">
        <v>629</v>
      </c>
      <c r="BM61" s="615" t="s">
        <v>629</v>
      </c>
      <c r="BN61" s="615" t="s">
        <v>629</v>
      </c>
      <c r="BO61" s="615" t="s">
        <v>629</v>
      </c>
      <c r="BP61" s="615">
        <v>0</v>
      </c>
      <c r="BQ61" s="615">
        <v>0</v>
      </c>
      <c r="BR61" s="615">
        <v>0</v>
      </c>
      <c r="BS61" s="615">
        <v>0</v>
      </c>
      <c r="BT61" s="615">
        <v>0</v>
      </c>
      <c r="BU61" s="615">
        <v>0</v>
      </c>
      <c r="BV61" s="615">
        <v>0</v>
      </c>
      <c r="BW61" s="615">
        <v>0</v>
      </c>
      <c r="BX61" s="615">
        <v>0</v>
      </c>
      <c r="BY61" s="615">
        <v>0</v>
      </c>
      <c r="BZ61" s="615">
        <v>0</v>
      </c>
      <c r="CA61" s="615">
        <v>0</v>
      </c>
      <c r="CB61" s="615">
        <v>0</v>
      </c>
      <c r="CC61" s="615">
        <v>0</v>
      </c>
      <c r="CD61" s="615">
        <v>0</v>
      </c>
      <c r="CE61" s="615">
        <v>0</v>
      </c>
      <c r="CF61" s="615">
        <v>0</v>
      </c>
      <c r="CG61" s="615">
        <v>0</v>
      </c>
      <c r="CH61" s="615">
        <v>0</v>
      </c>
      <c r="CI61" s="615">
        <v>0</v>
      </c>
      <c r="CJ61" s="615">
        <v>0</v>
      </c>
      <c r="CK61" s="615">
        <v>0</v>
      </c>
      <c r="CL61" s="615">
        <v>0</v>
      </c>
      <c r="CM61" s="615">
        <v>0</v>
      </c>
      <c r="CN61" s="615">
        <v>0</v>
      </c>
      <c r="CO61" s="615">
        <v>0</v>
      </c>
      <c r="CP61" s="615">
        <v>0</v>
      </c>
      <c r="CQ61" s="615">
        <v>0</v>
      </c>
      <c r="CR61" s="615">
        <v>0</v>
      </c>
      <c r="CS61" s="615">
        <v>0</v>
      </c>
      <c r="CT61" s="615">
        <v>0</v>
      </c>
      <c r="CU61" s="615">
        <v>0</v>
      </c>
      <c r="CV61" s="615">
        <v>0</v>
      </c>
      <c r="CW61" s="615">
        <v>0</v>
      </c>
      <c r="CX61" s="615">
        <v>0</v>
      </c>
      <c r="CY61" s="615">
        <v>0</v>
      </c>
      <c r="CZ61" s="615" t="s">
        <v>1049</v>
      </c>
      <c r="DA61" s="615">
        <v>3</v>
      </c>
      <c r="DB61" s="617"/>
      <c r="DC61" s="617"/>
      <c r="DD61" s="617"/>
      <c r="DE61" s="617"/>
      <c r="DF61" s="617"/>
      <c r="DG61" s="617"/>
      <c r="DH61" s="617"/>
      <c r="DI61" s="617"/>
      <c r="DJ61" s="617"/>
      <c r="DK61" s="617"/>
      <c r="DL61" s="617"/>
      <c r="DM61" s="617"/>
      <c r="DN61" s="617"/>
      <c r="DO61" s="617"/>
      <c r="DP61" s="617"/>
      <c r="DQ61" s="617"/>
      <c r="DR61" s="617"/>
      <c r="DS61" s="617"/>
      <c r="DT61" s="617"/>
      <c r="DU61" s="617"/>
      <c r="DV61" s="617"/>
      <c r="DW61" s="617"/>
      <c r="DX61" s="617"/>
      <c r="DY61" s="617"/>
      <c r="DZ61" s="617"/>
      <c r="EA61" s="617"/>
      <c r="EB61" s="617"/>
      <c r="EC61" s="617"/>
      <c r="ED61" s="617"/>
      <c r="EE61" s="617"/>
      <c r="EF61" s="617"/>
      <c r="EG61" s="617"/>
      <c r="EH61" s="617"/>
      <c r="EI61" s="617"/>
      <c r="EJ61" s="617"/>
      <c r="EK61" s="617"/>
      <c r="EL61" s="615" t="s">
        <v>833</v>
      </c>
      <c r="EM61" s="615" t="s">
        <v>833</v>
      </c>
      <c r="EN61" s="615" t="s">
        <v>833</v>
      </c>
      <c r="EO61" s="615" t="s">
        <v>833</v>
      </c>
      <c r="EP61" s="615" t="s">
        <v>833</v>
      </c>
      <c r="EQ61" s="615" t="s">
        <v>833</v>
      </c>
      <c r="ER61" s="615" t="s">
        <v>833</v>
      </c>
      <c r="ES61" s="615" t="s">
        <v>833</v>
      </c>
      <c r="ET61" s="615" t="s">
        <v>833</v>
      </c>
      <c r="EU61" s="615" t="s">
        <v>833</v>
      </c>
      <c r="EV61" s="615" t="s">
        <v>833</v>
      </c>
      <c r="EW61" s="615" t="s">
        <v>833</v>
      </c>
      <c r="EX61" s="615">
        <v>3670</v>
      </c>
      <c r="EY61" s="615">
        <v>3820</v>
      </c>
      <c r="EZ61" s="616" t="s">
        <v>1577</v>
      </c>
      <c r="FA61" s="616" t="s">
        <v>1577</v>
      </c>
      <c r="FB61" s="616" t="s">
        <v>1577</v>
      </c>
      <c r="FC61" s="616" t="s">
        <v>1577</v>
      </c>
      <c r="FD61" s="616" t="s">
        <v>1577</v>
      </c>
      <c r="FE61" s="616" t="s">
        <v>1577</v>
      </c>
      <c r="FF61" s="616" t="s">
        <v>1577</v>
      </c>
      <c r="FG61" s="616" t="s">
        <v>1577</v>
      </c>
      <c r="FH61" s="616" t="s">
        <v>1577</v>
      </c>
      <c r="FI61" s="616" t="s">
        <v>1577</v>
      </c>
      <c r="FJ61" s="616" t="s">
        <v>1577</v>
      </c>
      <c r="FK61" s="616" t="s">
        <v>1577</v>
      </c>
      <c r="FL61" s="615">
        <v>57</v>
      </c>
      <c r="FM61" s="615">
        <v>57</v>
      </c>
      <c r="FN61" s="615">
        <v>58</v>
      </c>
      <c r="FO61" s="615">
        <v>58</v>
      </c>
      <c r="FP61" s="615">
        <v>58</v>
      </c>
      <c r="FQ61" s="615">
        <v>57</v>
      </c>
      <c r="FR61" s="615">
        <v>57</v>
      </c>
      <c r="FS61" s="615">
        <v>56</v>
      </c>
      <c r="FT61" s="615">
        <v>56</v>
      </c>
      <c r="FU61" s="615">
        <v>56</v>
      </c>
      <c r="FV61" s="615">
        <v>51</v>
      </c>
      <c r="FW61" s="615">
        <v>51</v>
      </c>
      <c r="FX61" s="615">
        <v>51</v>
      </c>
      <c r="FY61" s="615">
        <v>51</v>
      </c>
      <c r="FZ61" s="615">
        <v>51</v>
      </c>
      <c r="GA61" s="615">
        <v>51</v>
      </c>
      <c r="GB61" s="615">
        <v>51</v>
      </c>
      <c r="GC61" s="615">
        <v>51</v>
      </c>
      <c r="GD61" s="615">
        <v>51</v>
      </c>
      <c r="GE61" s="615">
        <v>51</v>
      </c>
      <c r="GF61" s="615">
        <v>18350</v>
      </c>
      <c r="GG61" s="615" t="s">
        <v>1206</v>
      </c>
      <c r="GH61" s="615" t="s">
        <v>1206</v>
      </c>
      <c r="GI61" s="615" t="s">
        <v>1206</v>
      </c>
      <c r="GJ61" s="615" t="s">
        <v>1206</v>
      </c>
      <c r="GK61" s="615" t="s">
        <v>1206</v>
      </c>
      <c r="GL61" s="615" t="s">
        <v>1206</v>
      </c>
      <c r="GM61" s="615" t="s">
        <v>1206</v>
      </c>
      <c r="GN61" s="615" t="s">
        <v>1206</v>
      </c>
      <c r="GO61" s="615" t="s">
        <v>1206</v>
      </c>
      <c r="GP61" s="615" t="s">
        <v>1206</v>
      </c>
      <c r="GQ61" s="615" t="s">
        <v>1206</v>
      </c>
      <c r="GR61" s="615" t="s">
        <v>1206</v>
      </c>
      <c r="GS61" s="615">
        <v>0</v>
      </c>
      <c r="GT61" s="615">
        <v>0</v>
      </c>
      <c r="GU61" s="615">
        <v>0</v>
      </c>
      <c r="GV61" s="615">
        <v>0</v>
      </c>
      <c r="GW61" s="615">
        <v>0</v>
      </c>
      <c r="GX61" s="615">
        <v>0</v>
      </c>
      <c r="GY61" s="615">
        <v>0</v>
      </c>
      <c r="GZ61" s="615">
        <v>0</v>
      </c>
      <c r="HA61" s="615">
        <v>0</v>
      </c>
      <c r="HB61" s="615">
        <v>0</v>
      </c>
      <c r="HC61" s="615" t="s">
        <v>1208</v>
      </c>
      <c r="HD61" s="615" t="s">
        <v>1208</v>
      </c>
      <c r="HE61" s="615" t="s">
        <v>1208</v>
      </c>
      <c r="HF61" s="615" t="s">
        <v>1208</v>
      </c>
      <c r="HG61" s="615" t="s">
        <v>1208</v>
      </c>
      <c r="HH61" s="615" t="s">
        <v>1208</v>
      </c>
      <c r="HI61" s="615" t="s">
        <v>1208</v>
      </c>
      <c r="HJ61" s="615" t="s">
        <v>1208</v>
      </c>
      <c r="HK61" s="615" t="s">
        <v>1208</v>
      </c>
      <c r="HL61" s="615" t="s">
        <v>1208</v>
      </c>
      <c r="HM61" s="615" t="s">
        <v>1208</v>
      </c>
      <c r="HN61" s="615" t="s">
        <v>1208</v>
      </c>
      <c r="HO61" s="611" t="str">
        <f t="shared" si="37"/>
        <v/>
      </c>
      <c r="HP61" s="611" t="str">
        <f t="shared" si="38"/>
        <v/>
      </c>
      <c r="HQ61" s="611" t="str">
        <f t="shared" si="39"/>
        <v/>
      </c>
      <c r="HR61" s="611" t="str">
        <f t="shared" si="40"/>
        <v/>
      </c>
      <c r="HS61" s="611" t="str">
        <f t="shared" si="41"/>
        <v/>
      </c>
      <c r="HT61" s="611" t="str">
        <f t="shared" si="42"/>
        <v/>
      </c>
      <c r="HU61" s="611" t="str">
        <f t="shared" si="43"/>
        <v/>
      </c>
      <c r="HV61" s="611" t="str">
        <f t="shared" si="44"/>
        <v/>
      </c>
      <c r="HW61" s="611" t="str">
        <f t="shared" si="45"/>
        <v/>
      </c>
      <c r="HX61" s="611" t="str">
        <f t="shared" si="46"/>
        <v/>
      </c>
      <c r="HY61" s="611" t="str">
        <f t="shared" si="47"/>
        <v/>
      </c>
      <c r="HZ61" s="611" t="str">
        <f t="shared" si="48"/>
        <v/>
      </c>
      <c r="IA61" s="619" t="s">
        <v>1295</v>
      </c>
    </row>
    <row r="62" spans="2:235">
      <c r="B62" s="625">
        <v>58</v>
      </c>
      <c r="C62" s="626">
        <v>258</v>
      </c>
      <c r="D62" s="627" t="s">
        <v>1602</v>
      </c>
      <c r="E62" s="612" t="s">
        <v>13</v>
      </c>
      <c r="F62" s="612">
        <v>96</v>
      </c>
      <c r="G62" s="612">
        <v>6</v>
      </c>
      <c r="H62" s="612">
        <v>60</v>
      </c>
      <c r="I62" s="612">
        <v>30</v>
      </c>
      <c r="J62" s="612"/>
      <c r="K62" s="612"/>
      <c r="L62" s="612"/>
      <c r="M62" s="612"/>
      <c r="N62" s="612"/>
      <c r="O62" s="612"/>
      <c r="P62" s="612"/>
      <c r="Q62" s="612"/>
      <c r="R62" s="612"/>
      <c r="S62" s="612"/>
      <c r="T62" s="612"/>
      <c r="U62" s="612"/>
      <c r="V62" s="612"/>
      <c r="W62" s="612"/>
      <c r="X62" s="612"/>
      <c r="Y62" s="612"/>
      <c r="Z62" s="612"/>
      <c r="AA62" s="612"/>
      <c r="AB62" s="612"/>
      <c r="AC62" s="612"/>
      <c r="AD62" s="612"/>
      <c r="AE62" s="612"/>
      <c r="AF62" s="612"/>
      <c r="AG62" s="612"/>
      <c r="AH62" s="612"/>
      <c r="AI62" s="612"/>
      <c r="AJ62" s="612"/>
      <c r="AK62" s="612"/>
      <c r="AL62" s="612"/>
      <c r="AM62" s="613"/>
      <c r="AN62" s="613"/>
      <c r="AO62" s="613"/>
      <c r="AP62" s="612"/>
      <c r="AQ62" s="612" t="s">
        <v>11</v>
      </c>
      <c r="AR62" s="615" t="s">
        <v>629</v>
      </c>
      <c r="AS62" s="615" t="s">
        <v>629</v>
      </c>
      <c r="AT62" s="615" t="s">
        <v>629</v>
      </c>
      <c r="AU62" s="615" t="s">
        <v>629</v>
      </c>
      <c r="AV62" s="615" t="s">
        <v>629</v>
      </c>
      <c r="AW62" s="615" t="s">
        <v>629</v>
      </c>
      <c r="AX62" s="615" t="s">
        <v>629</v>
      </c>
      <c r="AY62" s="615" t="s">
        <v>629</v>
      </c>
      <c r="AZ62" s="615" t="s">
        <v>629</v>
      </c>
      <c r="BA62" s="615" t="s">
        <v>629</v>
      </c>
      <c r="BB62" s="615" t="s">
        <v>629</v>
      </c>
      <c r="BC62" s="615" t="s">
        <v>629</v>
      </c>
      <c r="BD62" s="615" t="s">
        <v>629</v>
      </c>
      <c r="BE62" s="615" t="s">
        <v>629</v>
      </c>
      <c r="BF62" s="615" t="s">
        <v>629</v>
      </c>
      <c r="BG62" s="615" t="s">
        <v>629</v>
      </c>
      <c r="BH62" s="615" t="s">
        <v>629</v>
      </c>
      <c r="BI62" s="615" t="s">
        <v>629</v>
      </c>
      <c r="BJ62" s="615" t="s">
        <v>629</v>
      </c>
      <c r="BK62" s="615" t="s">
        <v>629</v>
      </c>
      <c r="BL62" s="615" t="s">
        <v>629</v>
      </c>
      <c r="BM62" s="615" t="s">
        <v>629</v>
      </c>
      <c r="BN62" s="615" t="s">
        <v>629</v>
      </c>
      <c r="BO62" s="615" t="s">
        <v>629</v>
      </c>
      <c r="BP62" s="615">
        <v>0</v>
      </c>
      <c r="BQ62" s="615">
        <v>0</v>
      </c>
      <c r="BR62" s="615">
        <v>0</v>
      </c>
      <c r="BS62" s="615">
        <v>0</v>
      </c>
      <c r="BT62" s="615">
        <v>0</v>
      </c>
      <c r="BU62" s="615">
        <v>0</v>
      </c>
      <c r="BV62" s="615">
        <v>0</v>
      </c>
      <c r="BW62" s="615">
        <v>0</v>
      </c>
      <c r="BX62" s="615">
        <v>0</v>
      </c>
      <c r="BY62" s="615">
        <v>0</v>
      </c>
      <c r="BZ62" s="615">
        <v>0</v>
      </c>
      <c r="CA62" s="615">
        <v>0</v>
      </c>
      <c r="CB62" s="615">
        <v>0</v>
      </c>
      <c r="CC62" s="615">
        <v>0</v>
      </c>
      <c r="CD62" s="615">
        <v>0</v>
      </c>
      <c r="CE62" s="615">
        <v>0</v>
      </c>
      <c r="CF62" s="615">
        <v>0</v>
      </c>
      <c r="CG62" s="615">
        <v>0</v>
      </c>
      <c r="CH62" s="615">
        <v>0</v>
      </c>
      <c r="CI62" s="615">
        <v>0</v>
      </c>
      <c r="CJ62" s="615">
        <v>0</v>
      </c>
      <c r="CK62" s="615">
        <v>0</v>
      </c>
      <c r="CL62" s="615">
        <v>0</v>
      </c>
      <c r="CM62" s="615">
        <v>0</v>
      </c>
      <c r="CN62" s="615">
        <v>0</v>
      </c>
      <c r="CO62" s="615">
        <v>0</v>
      </c>
      <c r="CP62" s="615">
        <v>0</v>
      </c>
      <c r="CQ62" s="615">
        <v>0</v>
      </c>
      <c r="CR62" s="615">
        <v>0</v>
      </c>
      <c r="CS62" s="615">
        <v>0</v>
      </c>
      <c r="CT62" s="615">
        <v>0</v>
      </c>
      <c r="CU62" s="615">
        <v>0</v>
      </c>
      <c r="CV62" s="615">
        <v>0</v>
      </c>
      <c r="CW62" s="615">
        <v>0</v>
      </c>
      <c r="CX62" s="615">
        <v>0</v>
      </c>
      <c r="CY62" s="615">
        <v>0</v>
      </c>
      <c r="CZ62" s="615" t="s">
        <v>1049</v>
      </c>
      <c r="DA62" s="615">
        <v>4</v>
      </c>
      <c r="DB62" s="617"/>
      <c r="DC62" s="617"/>
      <c r="DD62" s="617"/>
      <c r="DE62" s="617"/>
      <c r="DF62" s="617"/>
      <c r="DG62" s="617"/>
      <c r="DH62" s="617"/>
      <c r="DI62" s="617"/>
      <c r="DJ62" s="617"/>
      <c r="DK62" s="617"/>
      <c r="DL62" s="617"/>
      <c r="DM62" s="617"/>
      <c r="DN62" s="617"/>
      <c r="DO62" s="617"/>
      <c r="DP62" s="617"/>
      <c r="DQ62" s="617"/>
      <c r="DR62" s="617"/>
      <c r="DS62" s="617"/>
      <c r="DT62" s="617"/>
      <c r="DU62" s="617"/>
      <c r="DV62" s="617"/>
      <c r="DW62" s="617"/>
      <c r="DX62" s="617"/>
      <c r="DY62" s="617"/>
      <c r="DZ62" s="617"/>
      <c r="EA62" s="617"/>
      <c r="EB62" s="617"/>
      <c r="EC62" s="617"/>
      <c r="ED62" s="617"/>
      <c r="EE62" s="617"/>
      <c r="EF62" s="617"/>
      <c r="EG62" s="617"/>
      <c r="EH62" s="617"/>
      <c r="EI62" s="617"/>
      <c r="EJ62" s="617"/>
      <c r="EK62" s="617"/>
      <c r="EL62" s="615" t="s">
        <v>833</v>
      </c>
      <c r="EM62" s="615" t="s">
        <v>833</v>
      </c>
      <c r="EN62" s="615" t="s">
        <v>833</v>
      </c>
      <c r="EO62" s="615" t="s">
        <v>833</v>
      </c>
      <c r="EP62" s="615" t="s">
        <v>833</v>
      </c>
      <c r="EQ62" s="615" t="s">
        <v>833</v>
      </c>
      <c r="ER62" s="615" t="s">
        <v>833</v>
      </c>
      <c r="ES62" s="615" t="s">
        <v>833</v>
      </c>
      <c r="ET62" s="615" t="s">
        <v>833</v>
      </c>
      <c r="EU62" s="615" t="s">
        <v>833</v>
      </c>
      <c r="EV62" s="615" t="s">
        <v>833</v>
      </c>
      <c r="EW62" s="615" t="s">
        <v>833</v>
      </c>
      <c r="EX62" s="615">
        <v>3670</v>
      </c>
      <c r="EY62" s="615">
        <v>3820</v>
      </c>
      <c r="EZ62" s="616" t="s">
        <v>1577</v>
      </c>
      <c r="FA62" s="616" t="s">
        <v>1577</v>
      </c>
      <c r="FB62" s="616" t="s">
        <v>1577</v>
      </c>
      <c r="FC62" s="616" t="s">
        <v>1577</v>
      </c>
      <c r="FD62" s="616" t="s">
        <v>1577</v>
      </c>
      <c r="FE62" s="616" t="s">
        <v>1577</v>
      </c>
      <c r="FF62" s="616" t="s">
        <v>1577</v>
      </c>
      <c r="FG62" s="616" t="s">
        <v>1577</v>
      </c>
      <c r="FH62" s="616" t="s">
        <v>1577</v>
      </c>
      <c r="FI62" s="616" t="s">
        <v>1577</v>
      </c>
      <c r="FJ62" s="616" t="s">
        <v>1577</v>
      </c>
      <c r="FK62" s="616" t="s">
        <v>1577</v>
      </c>
      <c r="FL62" s="615">
        <v>57</v>
      </c>
      <c r="FM62" s="615">
        <v>57</v>
      </c>
      <c r="FN62" s="615">
        <v>58</v>
      </c>
      <c r="FO62" s="615">
        <v>58</v>
      </c>
      <c r="FP62" s="615">
        <v>58</v>
      </c>
      <c r="FQ62" s="615">
        <v>57</v>
      </c>
      <c r="FR62" s="615">
        <v>57</v>
      </c>
      <c r="FS62" s="615">
        <v>56</v>
      </c>
      <c r="FT62" s="615">
        <v>56</v>
      </c>
      <c r="FU62" s="615">
        <v>56</v>
      </c>
      <c r="FV62" s="615">
        <v>51</v>
      </c>
      <c r="FW62" s="615">
        <v>51</v>
      </c>
      <c r="FX62" s="615">
        <v>51</v>
      </c>
      <c r="FY62" s="615">
        <v>51</v>
      </c>
      <c r="FZ62" s="615">
        <v>51</v>
      </c>
      <c r="GA62" s="615">
        <v>51</v>
      </c>
      <c r="GB62" s="615">
        <v>51</v>
      </c>
      <c r="GC62" s="615">
        <v>51</v>
      </c>
      <c r="GD62" s="615">
        <v>51</v>
      </c>
      <c r="GE62" s="615">
        <v>51</v>
      </c>
      <c r="GF62" s="615">
        <v>18350</v>
      </c>
      <c r="GG62" s="615" t="s">
        <v>1206</v>
      </c>
      <c r="GH62" s="615" t="s">
        <v>1206</v>
      </c>
      <c r="GI62" s="615" t="s">
        <v>1206</v>
      </c>
      <c r="GJ62" s="615" t="s">
        <v>1206</v>
      </c>
      <c r="GK62" s="615" t="s">
        <v>1206</v>
      </c>
      <c r="GL62" s="615" t="s">
        <v>1206</v>
      </c>
      <c r="GM62" s="615" t="s">
        <v>1206</v>
      </c>
      <c r="GN62" s="615" t="s">
        <v>1206</v>
      </c>
      <c r="GO62" s="615" t="s">
        <v>1206</v>
      </c>
      <c r="GP62" s="615" t="s">
        <v>1206</v>
      </c>
      <c r="GQ62" s="615" t="s">
        <v>1206</v>
      </c>
      <c r="GR62" s="615" t="s">
        <v>1206</v>
      </c>
      <c r="GS62" s="615">
        <v>0</v>
      </c>
      <c r="GT62" s="615">
        <v>0</v>
      </c>
      <c r="GU62" s="615">
        <v>0</v>
      </c>
      <c r="GV62" s="615">
        <v>0</v>
      </c>
      <c r="GW62" s="615">
        <v>0</v>
      </c>
      <c r="GX62" s="615">
        <v>0</v>
      </c>
      <c r="GY62" s="615">
        <v>0</v>
      </c>
      <c r="GZ62" s="615">
        <v>0</v>
      </c>
      <c r="HA62" s="615">
        <v>0</v>
      </c>
      <c r="HB62" s="615">
        <v>0</v>
      </c>
      <c r="HC62" s="615" t="s">
        <v>1208</v>
      </c>
      <c r="HD62" s="615" t="s">
        <v>1208</v>
      </c>
      <c r="HE62" s="615" t="s">
        <v>1208</v>
      </c>
      <c r="HF62" s="615" t="s">
        <v>1208</v>
      </c>
      <c r="HG62" s="615" t="s">
        <v>1208</v>
      </c>
      <c r="HH62" s="615" t="s">
        <v>1208</v>
      </c>
      <c r="HI62" s="615" t="s">
        <v>1208</v>
      </c>
      <c r="HJ62" s="615" t="s">
        <v>1208</v>
      </c>
      <c r="HK62" s="615" t="s">
        <v>1208</v>
      </c>
      <c r="HL62" s="615" t="s">
        <v>1208</v>
      </c>
      <c r="HM62" s="615" t="s">
        <v>1208</v>
      </c>
      <c r="HN62" s="615" t="s">
        <v>1208</v>
      </c>
      <c r="HO62" s="611" t="str">
        <f t="shared" si="37"/>
        <v/>
      </c>
      <c r="HP62" s="611" t="str">
        <f t="shared" si="38"/>
        <v/>
      </c>
      <c r="HQ62" s="611" t="str">
        <f t="shared" si="39"/>
        <v/>
      </c>
      <c r="HR62" s="611" t="str">
        <f t="shared" si="40"/>
        <v/>
      </c>
      <c r="HS62" s="611" t="str">
        <f t="shared" si="41"/>
        <v/>
      </c>
      <c r="HT62" s="611" t="str">
        <f t="shared" si="42"/>
        <v/>
      </c>
      <c r="HU62" s="611" t="str">
        <f t="shared" si="43"/>
        <v/>
      </c>
      <c r="HV62" s="611" t="str">
        <f t="shared" si="44"/>
        <v/>
      </c>
      <c r="HW62" s="611" t="str">
        <f t="shared" si="45"/>
        <v/>
      </c>
      <c r="HX62" s="611" t="str">
        <f t="shared" si="46"/>
        <v/>
      </c>
      <c r="HY62" s="611" t="str">
        <f t="shared" si="47"/>
        <v/>
      </c>
      <c r="HZ62" s="611" t="str">
        <f t="shared" si="48"/>
        <v/>
      </c>
      <c r="IA62" s="619" t="s">
        <v>1296</v>
      </c>
    </row>
    <row r="63" spans="2:235">
      <c r="B63" s="625">
        <v>59</v>
      </c>
      <c r="C63" s="626">
        <v>259</v>
      </c>
      <c r="D63" s="627" t="s">
        <v>1605</v>
      </c>
      <c r="E63" s="612" t="s">
        <v>13</v>
      </c>
      <c r="F63" s="612">
        <v>110</v>
      </c>
      <c r="G63" s="612">
        <v>90</v>
      </c>
      <c r="H63" s="612">
        <v>20</v>
      </c>
      <c r="I63" s="612">
        <v>0</v>
      </c>
      <c r="J63" s="612"/>
      <c r="K63" s="612"/>
      <c r="L63" s="612"/>
      <c r="M63" s="612"/>
      <c r="N63" s="612"/>
      <c r="O63" s="612"/>
      <c r="P63" s="612"/>
      <c r="Q63" s="612"/>
      <c r="R63" s="612"/>
      <c r="S63" s="612"/>
      <c r="T63" s="612"/>
      <c r="U63" s="612"/>
      <c r="V63" s="612"/>
      <c r="W63" s="612"/>
      <c r="X63" s="612"/>
      <c r="Y63" s="612"/>
      <c r="Z63" s="612"/>
      <c r="AA63" s="612"/>
      <c r="AB63" s="612"/>
      <c r="AC63" s="612"/>
      <c r="AD63" s="612"/>
      <c r="AE63" s="612"/>
      <c r="AF63" s="612"/>
      <c r="AG63" s="612"/>
      <c r="AH63" s="612"/>
      <c r="AI63" s="612"/>
      <c r="AJ63" s="612"/>
      <c r="AK63" s="612"/>
      <c r="AL63" s="612"/>
      <c r="AM63" s="613"/>
      <c r="AN63" s="613"/>
      <c r="AO63" s="613"/>
      <c r="AP63" s="612"/>
      <c r="AQ63" s="612" t="s">
        <v>11</v>
      </c>
      <c r="AR63" s="615" t="s">
        <v>629</v>
      </c>
      <c r="AS63" s="615" t="s">
        <v>629</v>
      </c>
      <c r="AT63" s="615" t="s">
        <v>629</v>
      </c>
      <c r="AU63" s="615" t="s">
        <v>629</v>
      </c>
      <c r="AV63" s="615" t="s">
        <v>629</v>
      </c>
      <c r="AW63" s="615" t="s">
        <v>629</v>
      </c>
      <c r="AX63" s="615" t="s">
        <v>629</v>
      </c>
      <c r="AY63" s="615" t="s">
        <v>629</v>
      </c>
      <c r="AZ63" s="615" t="s">
        <v>629</v>
      </c>
      <c r="BA63" s="615" t="s">
        <v>629</v>
      </c>
      <c r="BB63" s="615" t="s">
        <v>629</v>
      </c>
      <c r="BC63" s="615" t="s">
        <v>629</v>
      </c>
      <c r="BD63" s="615" t="s">
        <v>629</v>
      </c>
      <c r="BE63" s="615" t="s">
        <v>629</v>
      </c>
      <c r="BF63" s="615" t="s">
        <v>629</v>
      </c>
      <c r="BG63" s="615" t="s">
        <v>629</v>
      </c>
      <c r="BH63" s="615" t="s">
        <v>629</v>
      </c>
      <c r="BI63" s="615" t="s">
        <v>629</v>
      </c>
      <c r="BJ63" s="615" t="s">
        <v>629</v>
      </c>
      <c r="BK63" s="615" t="s">
        <v>629</v>
      </c>
      <c r="BL63" s="615" t="s">
        <v>629</v>
      </c>
      <c r="BM63" s="615" t="s">
        <v>629</v>
      </c>
      <c r="BN63" s="615" t="s">
        <v>629</v>
      </c>
      <c r="BO63" s="615" t="s">
        <v>629</v>
      </c>
      <c r="BP63" s="615">
        <v>0</v>
      </c>
      <c r="BQ63" s="615">
        <v>0</v>
      </c>
      <c r="BR63" s="615">
        <v>0</v>
      </c>
      <c r="BS63" s="615">
        <v>0</v>
      </c>
      <c r="BT63" s="615">
        <v>0</v>
      </c>
      <c r="BU63" s="615">
        <v>0</v>
      </c>
      <c r="BV63" s="615">
        <v>0</v>
      </c>
      <c r="BW63" s="615">
        <v>0</v>
      </c>
      <c r="BX63" s="615">
        <v>0</v>
      </c>
      <c r="BY63" s="615">
        <v>0</v>
      </c>
      <c r="BZ63" s="615">
        <v>0</v>
      </c>
      <c r="CA63" s="615">
        <v>0</v>
      </c>
      <c r="CB63" s="615">
        <v>0</v>
      </c>
      <c r="CC63" s="615">
        <v>0</v>
      </c>
      <c r="CD63" s="615">
        <v>0</v>
      </c>
      <c r="CE63" s="615">
        <v>0</v>
      </c>
      <c r="CF63" s="615">
        <v>0</v>
      </c>
      <c r="CG63" s="615">
        <v>0</v>
      </c>
      <c r="CH63" s="615">
        <v>0</v>
      </c>
      <c r="CI63" s="615">
        <v>0</v>
      </c>
      <c r="CJ63" s="615">
        <v>0</v>
      </c>
      <c r="CK63" s="615">
        <v>0</v>
      </c>
      <c r="CL63" s="615">
        <v>0</v>
      </c>
      <c r="CM63" s="615">
        <v>0</v>
      </c>
      <c r="CN63" s="615">
        <v>0</v>
      </c>
      <c r="CO63" s="615">
        <v>0</v>
      </c>
      <c r="CP63" s="615">
        <v>0</v>
      </c>
      <c r="CQ63" s="615">
        <v>0</v>
      </c>
      <c r="CR63" s="615">
        <v>0</v>
      </c>
      <c r="CS63" s="615">
        <v>0</v>
      </c>
      <c r="CT63" s="615">
        <v>0</v>
      </c>
      <c r="CU63" s="615">
        <v>0</v>
      </c>
      <c r="CV63" s="615">
        <v>0</v>
      </c>
      <c r="CW63" s="615">
        <v>0</v>
      </c>
      <c r="CX63" s="615">
        <v>0</v>
      </c>
      <c r="CY63" s="615">
        <v>0</v>
      </c>
      <c r="CZ63" s="615" t="s">
        <v>1049</v>
      </c>
      <c r="DA63" s="615">
        <v>5</v>
      </c>
      <c r="DB63" s="617"/>
      <c r="DC63" s="617"/>
      <c r="DD63" s="617"/>
      <c r="DE63" s="617"/>
      <c r="DF63" s="617"/>
      <c r="DG63" s="617"/>
      <c r="DH63" s="617"/>
      <c r="DI63" s="617"/>
      <c r="DJ63" s="617"/>
      <c r="DK63" s="617"/>
      <c r="DL63" s="617"/>
      <c r="DM63" s="617"/>
      <c r="DN63" s="617"/>
      <c r="DO63" s="617"/>
      <c r="DP63" s="617"/>
      <c r="DQ63" s="617"/>
      <c r="DR63" s="617"/>
      <c r="DS63" s="617"/>
      <c r="DT63" s="617"/>
      <c r="DU63" s="617"/>
      <c r="DV63" s="617"/>
      <c r="DW63" s="617"/>
      <c r="DX63" s="617"/>
      <c r="DY63" s="617"/>
      <c r="DZ63" s="617"/>
      <c r="EA63" s="617"/>
      <c r="EB63" s="617"/>
      <c r="EC63" s="617"/>
      <c r="ED63" s="617"/>
      <c r="EE63" s="617"/>
      <c r="EF63" s="617"/>
      <c r="EG63" s="617"/>
      <c r="EH63" s="617"/>
      <c r="EI63" s="617"/>
      <c r="EJ63" s="617"/>
      <c r="EK63" s="617"/>
      <c r="EL63" s="615" t="s">
        <v>833</v>
      </c>
      <c r="EM63" s="615" t="s">
        <v>833</v>
      </c>
      <c r="EN63" s="615" t="s">
        <v>833</v>
      </c>
      <c r="EO63" s="615" t="s">
        <v>833</v>
      </c>
      <c r="EP63" s="615" t="s">
        <v>833</v>
      </c>
      <c r="EQ63" s="615" t="s">
        <v>833</v>
      </c>
      <c r="ER63" s="615" t="s">
        <v>833</v>
      </c>
      <c r="ES63" s="615" t="s">
        <v>833</v>
      </c>
      <c r="ET63" s="615" t="s">
        <v>833</v>
      </c>
      <c r="EU63" s="615" t="s">
        <v>833</v>
      </c>
      <c r="EV63" s="615" t="s">
        <v>833</v>
      </c>
      <c r="EW63" s="615" t="s">
        <v>833</v>
      </c>
      <c r="EX63" s="615">
        <v>3670</v>
      </c>
      <c r="EY63" s="615">
        <v>3820</v>
      </c>
      <c r="EZ63" s="616" t="s">
        <v>1577</v>
      </c>
      <c r="FA63" s="616" t="s">
        <v>1577</v>
      </c>
      <c r="FB63" s="616" t="s">
        <v>1577</v>
      </c>
      <c r="FC63" s="616" t="s">
        <v>1577</v>
      </c>
      <c r="FD63" s="616" t="s">
        <v>1577</v>
      </c>
      <c r="FE63" s="616" t="s">
        <v>1577</v>
      </c>
      <c r="FF63" s="616" t="s">
        <v>1577</v>
      </c>
      <c r="FG63" s="616" t="s">
        <v>1577</v>
      </c>
      <c r="FH63" s="616" t="s">
        <v>1577</v>
      </c>
      <c r="FI63" s="616" t="s">
        <v>1577</v>
      </c>
      <c r="FJ63" s="616" t="s">
        <v>1577</v>
      </c>
      <c r="FK63" s="616" t="s">
        <v>1577</v>
      </c>
      <c r="FL63" s="615">
        <v>57</v>
      </c>
      <c r="FM63" s="615">
        <v>57</v>
      </c>
      <c r="FN63" s="615">
        <v>58</v>
      </c>
      <c r="FO63" s="615">
        <v>58</v>
      </c>
      <c r="FP63" s="615">
        <v>58</v>
      </c>
      <c r="FQ63" s="615">
        <v>57</v>
      </c>
      <c r="FR63" s="615">
        <v>57</v>
      </c>
      <c r="FS63" s="615">
        <v>56</v>
      </c>
      <c r="FT63" s="615">
        <v>56</v>
      </c>
      <c r="FU63" s="615">
        <v>56</v>
      </c>
      <c r="FV63" s="615">
        <v>51</v>
      </c>
      <c r="FW63" s="615">
        <v>51</v>
      </c>
      <c r="FX63" s="615">
        <v>51</v>
      </c>
      <c r="FY63" s="615">
        <v>51</v>
      </c>
      <c r="FZ63" s="615">
        <v>51</v>
      </c>
      <c r="GA63" s="615">
        <v>51</v>
      </c>
      <c r="GB63" s="615">
        <v>51</v>
      </c>
      <c r="GC63" s="615">
        <v>51</v>
      </c>
      <c r="GD63" s="615">
        <v>51</v>
      </c>
      <c r="GE63" s="615">
        <v>51</v>
      </c>
      <c r="GF63" s="615">
        <v>18350</v>
      </c>
      <c r="GG63" s="615" t="s">
        <v>1206</v>
      </c>
      <c r="GH63" s="615" t="s">
        <v>1206</v>
      </c>
      <c r="GI63" s="615" t="s">
        <v>1206</v>
      </c>
      <c r="GJ63" s="615" t="s">
        <v>1206</v>
      </c>
      <c r="GK63" s="615" t="s">
        <v>1206</v>
      </c>
      <c r="GL63" s="615" t="s">
        <v>1206</v>
      </c>
      <c r="GM63" s="615" t="s">
        <v>1206</v>
      </c>
      <c r="GN63" s="615" t="s">
        <v>1206</v>
      </c>
      <c r="GO63" s="615" t="s">
        <v>1206</v>
      </c>
      <c r="GP63" s="615" t="s">
        <v>1206</v>
      </c>
      <c r="GQ63" s="615" t="s">
        <v>1206</v>
      </c>
      <c r="GR63" s="615" t="s">
        <v>1206</v>
      </c>
      <c r="GS63" s="615">
        <v>0</v>
      </c>
      <c r="GT63" s="615">
        <v>0</v>
      </c>
      <c r="GU63" s="615">
        <v>0</v>
      </c>
      <c r="GV63" s="615">
        <v>0</v>
      </c>
      <c r="GW63" s="615">
        <v>0</v>
      </c>
      <c r="GX63" s="615">
        <v>0</v>
      </c>
      <c r="GY63" s="615">
        <v>0</v>
      </c>
      <c r="GZ63" s="615">
        <v>0</v>
      </c>
      <c r="HA63" s="615">
        <v>0</v>
      </c>
      <c r="HB63" s="615">
        <v>0</v>
      </c>
      <c r="HC63" s="615" t="s">
        <v>1208</v>
      </c>
      <c r="HD63" s="615" t="s">
        <v>1208</v>
      </c>
      <c r="HE63" s="615" t="s">
        <v>1208</v>
      </c>
      <c r="HF63" s="615" t="s">
        <v>1208</v>
      </c>
      <c r="HG63" s="615" t="s">
        <v>1208</v>
      </c>
      <c r="HH63" s="615" t="s">
        <v>1208</v>
      </c>
      <c r="HI63" s="615" t="s">
        <v>1208</v>
      </c>
      <c r="HJ63" s="615" t="s">
        <v>1208</v>
      </c>
      <c r="HK63" s="615" t="s">
        <v>1208</v>
      </c>
      <c r="HL63" s="615" t="s">
        <v>1208</v>
      </c>
      <c r="HM63" s="615" t="s">
        <v>1208</v>
      </c>
      <c r="HN63" s="615" t="s">
        <v>1208</v>
      </c>
      <c r="HO63" s="611" t="str">
        <f t="shared" si="37"/>
        <v/>
      </c>
      <c r="HP63" s="611" t="str">
        <f t="shared" si="38"/>
        <v/>
      </c>
      <c r="HQ63" s="611" t="str">
        <f t="shared" si="39"/>
        <v/>
      </c>
      <c r="HR63" s="611" t="str">
        <f t="shared" si="40"/>
        <v/>
      </c>
      <c r="HS63" s="611" t="str">
        <f t="shared" si="41"/>
        <v/>
      </c>
      <c r="HT63" s="611" t="str">
        <f t="shared" si="42"/>
        <v/>
      </c>
      <c r="HU63" s="611" t="str">
        <f t="shared" si="43"/>
        <v/>
      </c>
      <c r="HV63" s="611" t="str">
        <f t="shared" si="44"/>
        <v/>
      </c>
      <c r="HW63" s="611" t="str">
        <f t="shared" si="45"/>
        <v/>
      </c>
      <c r="HX63" s="611" t="str">
        <f t="shared" si="46"/>
        <v/>
      </c>
      <c r="HY63" s="611" t="str">
        <f t="shared" si="47"/>
        <v/>
      </c>
      <c r="HZ63" s="611" t="str">
        <f t="shared" si="48"/>
        <v/>
      </c>
      <c r="IA63" s="619" t="s">
        <v>1295</v>
      </c>
    </row>
    <row r="64" spans="2:235">
      <c r="B64" s="625"/>
      <c r="C64" s="626"/>
      <c r="D64" s="627"/>
      <c r="E64" s="612"/>
      <c r="F64" s="612"/>
      <c r="G64" s="612"/>
      <c r="H64" s="612"/>
      <c r="I64" s="612"/>
      <c r="J64" s="612"/>
      <c r="K64" s="612"/>
      <c r="L64" s="612"/>
      <c r="M64" s="612"/>
      <c r="N64" s="612"/>
      <c r="O64" s="612"/>
      <c r="P64" s="612"/>
      <c r="Q64" s="612"/>
      <c r="R64" s="612"/>
      <c r="S64" s="612"/>
      <c r="T64" s="612"/>
      <c r="U64" s="612"/>
      <c r="V64" s="612"/>
      <c r="W64" s="612"/>
      <c r="X64" s="612"/>
      <c r="Y64" s="612"/>
      <c r="Z64" s="612"/>
      <c r="AA64" s="612"/>
      <c r="AB64" s="612"/>
      <c r="AC64" s="612"/>
      <c r="AD64" s="612"/>
      <c r="AE64" s="612"/>
      <c r="AF64" s="612"/>
      <c r="AG64" s="612"/>
      <c r="AH64" s="612"/>
      <c r="AI64" s="612"/>
      <c r="AJ64" s="612"/>
      <c r="AK64" s="612"/>
      <c r="AL64" s="612"/>
      <c r="AM64" s="613"/>
      <c r="AN64" s="613"/>
      <c r="AO64" s="613"/>
      <c r="AP64" s="612"/>
      <c r="AQ64" s="612"/>
      <c r="AR64" s="628"/>
      <c r="AS64" s="628"/>
      <c r="AT64" s="628"/>
      <c r="AU64" s="628"/>
      <c r="AV64" s="628"/>
      <c r="AW64" s="628"/>
      <c r="AX64" s="628"/>
      <c r="AY64" s="628"/>
      <c r="AZ64" s="628"/>
      <c r="BA64" s="628"/>
      <c r="BB64" s="628"/>
      <c r="BC64" s="628"/>
      <c r="BD64" s="628"/>
      <c r="BE64" s="628"/>
      <c r="BF64" s="628"/>
      <c r="BG64" s="628"/>
      <c r="BH64" s="628"/>
      <c r="BI64" s="628"/>
      <c r="BJ64" s="628"/>
      <c r="BK64" s="628"/>
      <c r="BL64" s="628"/>
      <c r="BM64" s="628"/>
      <c r="BN64" s="628"/>
      <c r="BO64" s="628"/>
      <c r="BP64" s="628"/>
      <c r="BQ64" s="628"/>
      <c r="BR64" s="628"/>
      <c r="BS64" s="628"/>
      <c r="BT64" s="628"/>
      <c r="BU64" s="628"/>
      <c r="BV64" s="628"/>
      <c r="BW64" s="628"/>
      <c r="BX64" s="628"/>
      <c r="BY64" s="628"/>
      <c r="BZ64" s="628"/>
      <c r="CA64" s="628"/>
      <c r="CB64" s="628"/>
      <c r="CC64" s="628"/>
      <c r="CD64" s="628"/>
      <c r="CE64" s="628"/>
      <c r="CF64" s="628"/>
      <c r="CG64" s="628"/>
      <c r="CH64" s="628"/>
      <c r="CI64" s="628"/>
      <c r="CJ64" s="628"/>
      <c r="CK64" s="628"/>
      <c r="CL64" s="628"/>
      <c r="CM64" s="628"/>
      <c r="CN64" s="628"/>
      <c r="CO64" s="628"/>
      <c r="CP64" s="628"/>
      <c r="CQ64" s="628"/>
      <c r="CR64" s="628"/>
      <c r="CS64" s="628"/>
      <c r="CT64" s="628"/>
      <c r="CU64" s="628"/>
      <c r="CV64" s="628"/>
      <c r="CW64" s="628"/>
      <c r="CX64" s="628"/>
      <c r="CY64" s="628"/>
      <c r="CZ64" s="628"/>
      <c r="DA64" s="628"/>
      <c r="DB64" s="629"/>
      <c r="DC64" s="629"/>
      <c r="DD64" s="629"/>
      <c r="DE64" s="629"/>
      <c r="DF64" s="629"/>
      <c r="DG64" s="629"/>
      <c r="DH64" s="629"/>
      <c r="DI64" s="629"/>
      <c r="DJ64" s="629"/>
      <c r="DK64" s="629"/>
      <c r="DL64" s="629"/>
      <c r="DM64" s="629"/>
      <c r="DN64" s="629"/>
      <c r="DO64" s="629"/>
      <c r="DP64" s="629"/>
      <c r="DQ64" s="629"/>
      <c r="DR64" s="629"/>
      <c r="DS64" s="629"/>
      <c r="DT64" s="629"/>
      <c r="DU64" s="629"/>
      <c r="DV64" s="629"/>
      <c r="DW64" s="629"/>
      <c r="DX64" s="629"/>
      <c r="DY64" s="629"/>
      <c r="DZ64" s="629"/>
      <c r="EA64" s="629"/>
      <c r="EB64" s="629"/>
      <c r="EC64" s="629"/>
      <c r="ED64" s="629"/>
      <c r="EE64" s="629"/>
      <c r="EF64" s="629"/>
      <c r="EG64" s="629"/>
      <c r="EH64" s="629"/>
      <c r="EI64" s="629"/>
      <c r="EJ64" s="629"/>
      <c r="EK64" s="629"/>
      <c r="EL64" s="628"/>
      <c r="EM64" s="628"/>
      <c r="EN64" s="628"/>
      <c r="EO64" s="628"/>
      <c r="EP64" s="628"/>
      <c r="EQ64" s="628"/>
      <c r="ER64" s="628"/>
      <c r="ES64" s="628"/>
      <c r="ET64" s="628"/>
      <c r="EU64" s="628"/>
      <c r="EV64" s="628"/>
      <c r="EW64" s="628"/>
      <c r="EX64" s="628"/>
      <c r="EY64" s="628"/>
      <c r="EZ64" s="628"/>
      <c r="FA64" s="628"/>
      <c r="FB64" s="628"/>
      <c r="FC64" s="628"/>
      <c r="FD64" s="628"/>
      <c r="FE64" s="628"/>
      <c r="FF64" s="628"/>
      <c r="FG64" s="628"/>
      <c r="FH64" s="628"/>
      <c r="FI64" s="628"/>
      <c r="FJ64" s="628"/>
      <c r="FK64" s="628"/>
      <c r="FL64" s="628"/>
      <c r="FM64" s="628"/>
      <c r="FN64" s="628"/>
      <c r="FO64" s="628"/>
      <c r="FP64" s="628"/>
      <c r="FQ64" s="628"/>
      <c r="FR64" s="628"/>
      <c r="FS64" s="628"/>
      <c r="FT64" s="628"/>
      <c r="FU64" s="628"/>
      <c r="FV64" s="628"/>
      <c r="FW64" s="628"/>
      <c r="FX64" s="628"/>
      <c r="FY64" s="628"/>
      <c r="FZ64" s="628"/>
      <c r="GA64" s="628"/>
      <c r="GB64" s="628"/>
      <c r="GC64" s="628"/>
      <c r="GD64" s="628"/>
      <c r="GE64" s="628"/>
      <c r="GF64" s="628"/>
      <c r="GG64" s="628"/>
      <c r="GH64" s="628"/>
      <c r="GI64" s="628"/>
      <c r="GJ64" s="628"/>
      <c r="GK64" s="628"/>
      <c r="GL64" s="628"/>
      <c r="GM64" s="628"/>
      <c r="GN64" s="628"/>
      <c r="GO64" s="628"/>
      <c r="GP64" s="628"/>
      <c r="GQ64" s="628"/>
      <c r="GR64" s="628"/>
      <c r="GS64" s="628"/>
      <c r="GT64" s="628"/>
      <c r="GU64" s="628"/>
      <c r="GV64" s="628"/>
      <c r="GW64" s="628"/>
      <c r="GX64" s="628"/>
      <c r="GY64" s="628"/>
      <c r="GZ64" s="628"/>
      <c r="HA64" s="628"/>
      <c r="HB64" s="628"/>
      <c r="HC64" s="628"/>
      <c r="HD64" s="628"/>
      <c r="HE64" s="628"/>
      <c r="HF64" s="628"/>
      <c r="HG64" s="628"/>
      <c r="HH64" s="628"/>
      <c r="HI64" s="628"/>
      <c r="HJ64" s="628"/>
      <c r="HK64" s="628"/>
      <c r="HL64" s="628"/>
      <c r="HM64" s="628"/>
      <c r="HN64" s="628"/>
      <c r="HO64" s="611"/>
      <c r="HP64" s="611"/>
      <c r="HQ64" s="611"/>
      <c r="HR64" s="611"/>
      <c r="HS64" s="611"/>
      <c r="HT64" s="611"/>
      <c r="HU64" s="611"/>
      <c r="HV64" s="611"/>
      <c r="HW64" s="611"/>
      <c r="HX64" s="611"/>
      <c r="HY64" s="611"/>
      <c r="HZ64" s="611"/>
      <c r="IA64" s="612"/>
    </row>
    <row r="65" spans="4:211">
      <c r="D65" s="584" t="s">
        <v>630</v>
      </c>
      <c r="E65" s="584" t="s">
        <v>11</v>
      </c>
      <c r="AQ65" s="600" t="s">
        <v>11</v>
      </c>
      <c r="AR65" s="600" t="s">
        <v>1047</v>
      </c>
      <c r="BD65" s="600" t="s">
        <v>1048</v>
      </c>
      <c r="CZ65" s="600" t="s">
        <v>1048</v>
      </c>
      <c r="DB65" s="600" t="s">
        <v>1048</v>
      </c>
      <c r="DN65" s="600" t="s">
        <v>1117</v>
      </c>
      <c r="DZ65" s="600" t="s">
        <v>1117</v>
      </c>
      <c r="EL65" s="600" t="s">
        <v>1048</v>
      </c>
      <c r="HC65" s="600" t="s">
        <v>1115</v>
      </c>
    </row>
    <row r="66" spans="4:211">
      <c r="E66" s="584" t="s">
        <v>13</v>
      </c>
      <c r="AQ66" s="600" t="s">
        <v>13</v>
      </c>
      <c r="AR66" s="600" t="s">
        <v>1046</v>
      </c>
      <c r="BD66" s="600" t="s">
        <v>1049</v>
      </c>
      <c r="CZ66" s="600" t="s">
        <v>1049</v>
      </c>
      <c r="DB66" s="600" t="s">
        <v>1049</v>
      </c>
      <c r="DN66" s="600" t="s">
        <v>1118</v>
      </c>
      <c r="DZ66" s="600" t="s">
        <v>1118</v>
      </c>
      <c r="EL66" s="600" t="s">
        <v>1049</v>
      </c>
      <c r="HC66" s="600" t="s">
        <v>1116</v>
      </c>
    </row>
    <row r="67" spans="4:211">
      <c r="E67" s="584" t="s">
        <v>647</v>
      </c>
      <c r="AR67" s="600" t="s">
        <v>629</v>
      </c>
      <c r="BD67" s="600" t="s">
        <v>629</v>
      </c>
      <c r="DN67" s="600" t="s">
        <v>629</v>
      </c>
      <c r="DZ67" s="600" t="s">
        <v>629</v>
      </c>
      <c r="HC67" s="600" t="s">
        <v>1114</v>
      </c>
    </row>
    <row r="68" spans="4:211">
      <c r="HC68" s="600" t="s">
        <v>255</v>
      </c>
    </row>
  </sheetData>
  <sheetProtection algorithmName="SHA-512" hashValue="OWZj3AGvOGqcB6Wq9tGejVVKXUaKevfbCBvggcGGPhSV9Z0p8+HfZrIQ5vR68krDXPbU2Qi/pm0lHg9hhEquyg==" saltValue="s98l84eLodoD9bhohWKOpQ==" spinCount="100000" sheet="1" selectLockedCells="1" selectUnlockedCells="1"/>
  <autoFilter ref="A4:HW58" xr:uid="{F1C85610-AB69-4229-AB1E-DCE4EF9836A9}"/>
  <mergeCells count="1">
    <mergeCell ref="HP3:HS3"/>
  </mergeCells>
  <phoneticPr fontId="1"/>
  <dataValidations count="10">
    <dataValidation type="list" allowBlank="1" showInputMessage="1" showErrorMessage="1" sqref="DO24:DY24 EA24:EK24 DM24 DN5:EK23 DN25:EK64" xr:uid="{1250E751-84CB-4CE9-BED5-2FDF2C02EF53}">
      <formula1>$DN$65:$DN$67</formula1>
    </dataValidation>
    <dataValidation type="list" allowBlank="1" showInputMessage="1" showErrorMessage="1" sqref="HC5:HN64" xr:uid="{D0203416-0FD3-4C5D-A886-0D0D7842E997}">
      <formula1>$HC$65:$HC$68</formula1>
    </dataValidation>
    <dataValidation type="list" allowBlank="1" showInputMessage="1" showErrorMessage="1" sqref="E5:E64" xr:uid="{8508BA59-7AA3-48CF-BE8E-19BEC7AD80E8}">
      <formula1>$E$65:$E$67</formula1>
    </dataValidation>
    <dataValidation type="list" allowBlank="1" showInputMessage="1" showErrorMessage="1" sqref="DB5:DM64" xr:uid="{31455074-AE90-4F5B-816E-5FEB902058B4}">
      <formula1>$DB$65:$DB$66</formula1>
    </dataValidation>
    <dataValidation type="list" allowBlank="1" showInputMessage="1" showErrorMessage="1" sqref="CZ5:CZ64" xr:uid="{1833B4B9-A3A1-4C6E-A06B-26B7A2666730}">
      <formula1>$CZ$65:$CZ$66</formula1>
    </dataValidation>
    <dataValidation type="list" allowBlank="1" showInputMessage="1" showErrorMessage="1" sqref="EL5:EW64" xr:uid="{33F16ADA-E88B-4709-BE0B-CE58617DE6F0}">
      <formula1>$EL$65:$EL$66</formula1>
    </dataValidation>
    <dataValidation type="list" allowBlank="1" showInputMessage="1" showErrorMessage="1" sqref="BD5:BO64" xr:uid="{44EAB723-3624-4D84-B164-5C060ED3F25C}">
      <formula1>$BD$65:$BD$67</formula1>
    </dataValidation>
    <dataValidation type="list" allowBlank="1" showInputMessage="1" showErrorMessage="1" sqref="AR5:BC64" xr:uid="{687246FC-BF0F-4BCC-96EA-47D2B3118429}">
      <formula1>$AR$65:$AR$67</formula1>
    </dataValidation>
    <dataValidation type="list" allowBlank="1" showInputMessage="1" showErrorMessage="1" sqref="AQ5:AQ64" xr:uid="{44676FA8-5B80-41CA-9E4C-7D90B2DE86EA}">
      <formula1>$AQ$65:$AQ$66</formula1>
    </dataValidation>
    <dataValidation type="list" allowBlank="1" showInputMessage="1" showErrorMessage="1" sqref="GG5:GR5" xr:uid="{6B8915E4-7855-44B0-B960-A465DB6A00A3}">
      <formula1>$EL$197:$EL$198</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4584B-4C44-4C00-BF03-7B4DD799F462}">
  <sheetPr>
    <tabColor rgb="FFFF0000"/>
  </sheetPr>
  <dimension ref="B1:L63"/>
  <sheetViews>
    <sheetView showGridLines="0" view="pageBreakPreview" zoomScaleNormal="100" zoomScaleSheetLayoutView="100" workbookViewId="0">
      <selection activeCell="E53" sqref="E53"/>
    </sheetView>
  </sheetViews>
  <sheetFormatPr defaultColWidth="9" defaultRowHeight="15"/>
  <cols>
    <col min="1" max="1" width="1.5" style="336" customWidth="1"/>
    <col min="2" max="2" width="9" style="336"/>
    <col min="3" max="3" width="27" style="336" customWidth="1"/>
    <col min="4" max="4" width="18" style="336" customWidth="1"/>
    <col min="5" max="5" width="76.6640625" style="336" customWidth="1"/>
    <col min="6" max="6" width="1.5" style="336" customWidth="1"/>
    <col min="7" max="7" width="1.25" style="336" customWidth="1"/>
    <col min="8" max="16384" width="9" style="336"/>
  </cols>
  <sheetData>
    <row r="1" spans="2:6" ht="16">
      <c r="B1" s="345" t="s">
        <v>280</v>
      </c>
    </row>
    <row r="2" spans="2:6" ht="3.5" customHeight="1">
      <c r="B2" s="346"/>
      <c r="C2" s="347"/>
      <c r="D2" s="347"/>
      <c r="E2" s="347"/>
      <c r="F2" s="347"/>
    </row>
    <row r="3" spans="2:6">
      <c r="C3" s="348" t="s">
        <v>282</v>
      </c>
      <c r="D3" s="349" t="s">
        <v>350</v>
      </c>
      <c r="E3" s="350" t="s">
        <v>281</v>
      </c>
      <c r="F3" s="351"/>
    </row>
    <row r="4" spans="2:6">
      <c r="B4" s="352"/>
      <c r="C4" s="353"/>
      <c r="D4" s="354"/>
      <c r="E4" s="355"/>
      <c r="F4" s="356"/>
    </row>
    <row r="5" spans="2:6" ht="13.5" customHeight="1">
      <c r="B5" s="655" t="s">
        <v>283</v>
      </c>
      <c r="C5" s="357"/>
      <c r="D5" s="358" t="s">
        <v>961</v>
      </c>
      <c r="F5" s="356"/>
    </row>
    <row r="6" spans="2:6">
      <c r="B6" s="655"/>
      <c r="C6" s="357"/>
      <c r="D6" s="358"/>
      <c r="F6" s="356"/>
    </row>
    <row r="7" spans="2:6">
      <c r="B7" s="655"/>
      <c r="C7" s="357"/>
      <c r="D7" s="358"/>
      <c r="F7" s="356"/>
    </row>
    <row r="8" spans="2:6">
      <c r="B8" s="655"/>
      <c r="C8" s="357"/>
      <c r="D8" s="358"/>
      <c r="F8" s="356"/>
    </row>
    <row r="9" spans="2:6">
      <c r="B9" s="655"/>
      <c r="C9" s="357"/>
      <c r="D9" s="358"/>
      <c r="F9" s="356"/>
    </row>
    <row r="10" spans="2:6">
      <c r="B10" s="655"/>
      <c r="C10" s="357"/>
      <c r="D10" s="358"/>
      <c r="F10" s="356"/>
    </row>
    <row r="11" spans="2:6">
      <c r="B11" s="655"/>
      <c r="C11" s="357"/>
      <c r="D11" s="358"/>
      <c r="F11" s="356"/>
    </row>
    <row r="12" spans="2:6">
      <c r="B12" s="655"/>
      <c r="C12" s="357"/>
      <c r="D12" s="358"/>
      <c r="F12" s="356"/>
    </row>
    <row r="13" spans="2:6">
      <c r="B13" s="655"/>
      <c r="C13" s="357"/>
      <c r="D13" s="358"/>
      <c r="F13" s="356"/>
    </row>
    <row r="14" spans="2:6">
      <c r="B14" s="359"/>
      <c r="C14" s="357"/>
      <c r="D14" s="358"/>
      <c r="F14" s="356"/>
    </row>
    <row r="15" spans="2:6">
      <c r="B15" s="359"/>
      <c r="C15" s="357"/>
      <c r="D15" s="358"/>
      <c r="F15" s="356"/>
    </row>
    <row r="16" spans="2:6">
      <c r="B16" s="359"/>
      <c r="C16" s="357"/>
      <c r="D16" s="358"/>
      <c r="F16" s="356"/>
    </row>
    <row r="17" spans="2:6">
      <c r="B17" s="359"/>
      <c r="C17" s="357"/>
      <c r="D17" s="358"/>
      <c r="F17" s="356"/>
    </row>
    <row r="18" spans="2:6">
      <c r="B18" s="360"/>
      <c r="C18" s="361"/>
      <c r="D18" s="362"/>
      <c r="E18" s="363"/>
      <c r="F18" s="356"/>
    </row>
    <row r="19" spans="2:6">
      <c r="B19" s="352"/>
      <c r="C19" s="353"/>
      <c r="D19" s="364"/>
      <c r="F19" s="365"/>
    </row>
    <row r="20" spans="2:6">
      <c r="B20" s="656" t="s">
        <v>284</v>
      </c>
      <c r="C20" s="357"/>
      <c r="D20" s="358"/>
      <c r="F20" s="356"/>
    </row>
    <row r="21" spans="2:6">
      <c r="B21" s="656"/>
      <c r="C21" s="357"/>
      <c r="D21" s="358"/>
      <c r="F21" s="356"/>
    </row>
    <row r="22" spans="2:6">
      <c r="B22" s="656"/>
      <c r="C22" s="357"/>
      <c r="D22" s="358"/>
      <c r="F22" s="356"/>
    </row>
    <row r="23" spans="2:6">
      <c r="B23" s="656"/>
      <c r="C23" s="357"/>
      <c r="D23" s="358"/>
      <c r="F23" s="356"/>
    </row>
    <row r="24" spans="2:6">
      <c r="B24" s="656"/>
      <c r="C24" s="357"/>
      <c r="D24" s="358"/>
      <c r="F24" s="356"/>
    </row>
    <row r="25" spans="2:6">
      <c r="B25" s="656"/>
      <c r="C25" s="357"/>
      <c r="D25" s="358"/>
      <c r="F25" s="356"/>
    </row>
    <row r="26" spans="2:6">
      <c r="B26" s="656"/>
      <c r="C26" s="357"/>
      <c r="D26" s="358"/>
      <c r="F26" s="356"/>
    </row>
    <row r="27" spans="2:6">
      <c r="B27" s="656"/>
      <c r="C27" s="357"/>
      <c r="D27" s="358"/>
      <c r="F27" s="356"/>
    </row>
    <row r="28" spans="2:6">
      <c r="B28" s="656"/>
      <c r="C28" s="357"/>
      <c r="D28" s="358"/>
      <c r="F28" s="356"/>
    </row>
    <row r="29" spans="2:6">
      <c r="B29" s="366"/>
      <c r="C29" s="357"/>
      <c r="D29" s="358"/>
      <c r="F29" s="356"/>
    </row>
    <row r="30" spans="2:6">
      <c r="B30" s="366"/>
      <c r="C30" s="357"/>
      <c r="D30" s="358"/>
      <c r="F30" s="356"/>
    </row>
    <row r="31" spans="2:6">
      <c r="B31" s="366"/>
      <c r="C31" s="357"/>
      <c r="D31" s="358"/>
      <c r="F31" s="356"/>
    </row>
    <row r="32" spans="2:6">
      <c r="B32" s="360"/>
      <c r="C32" s="361"/>
      <c r="D32" s="362"/>
      <c r="E32" s="363"/>
      <c r="F32" s="367"/>
    </row>
    <row r="37" spans="3:12">
      <c r="E37" s="368" t="s">
        <v>1215</v>
      </c>
      <c r="F37" s="369"/>
    </row>
    <row r="38" spans="3:12">
      <c r="E38" s="370"/>
    </row>
    <row r="39" spans="3:12" ht="15" customHeight="1">
      <c r="C39" s="371" t="s">
        <v>282</v>
      </c>
      <c r="E39" s="372" t="s">
        <v>1368</v>
      </c>
      <c r="F39" s="373"/>
      <c r="G39" s="373"/>
      <c r="H39" s="373"/>
      <c r="I39" s="373"/>
      <c r="J39" s="373"/>
      <c r="K39" s="373"/>
      <c r="L39" s="373"/>
    </row>
    <row r="40" spans="3:12">
      <c r="C40" s="371"/>
      <c r="E40" s="370" t="s">
        <v>1369</v>
      </c>
      <c r="G40" s="373"/>
      <c r="H40" s="373"/>
      <c r="I40" s="373"/>
      <c r="J40" s="373"/>
      <c r="K40" s="373"/>
      <c r="L40" s="373"/>
    </row>
    <row r="41" spans="3:12">
      <c r="C41" s="371" t="s">
        <v>285</v>
      </c>
      <c r="E41" s="370" t="s">
        <v>1370</v>
      </c>
      <c r="G41" s="373"/>
      <c r="H41" s="373"/>
      <c r="I41" s="373"/>
      <c r="J41" s="373"/>
      <c r="K41" s="373"/>
      <c r="L41" s="373"/>
    </row>
    <row r="42" spans="3:12">
      <c r="C42" s="371" t="s">
        <v>286</v>
      </c>
      <c r="E42" s="370" t="s">
        <v>1371</v>
      </c>
      <c r="G42" s="373"/>
      <c r="H42" s="373"/>
      <c r="I42" s="373"/>
      <c r="J42" s="373"/>
      <c r="K42" s="373"/>
      <c r="L42" s="373"/>
    </row>
    <row r="43" spans="3:12">
      <c r="C43" s="371" t="s">
        <v>287</v>
      </c>
      <c r="E43" s="370" t="s">
        <v>1372</v>
      </c>
      <c r="G43" s="373"/>
      <c r="H43" s="373"/>
      <c r="I43" s="373"/>
      <c r="J43" s="373"/>
      <c r="K43" s="373"/>
      <c r="L43" s="373"/>
    </row>
    <row r="44" spans="3:12">
      <c r="C44" s="371" t="s">
        <v>288</v>
      </c>
      <c r="E44" s="370" t="s">
        <v>1373</v>
      </c>
      <c r="G44" s="373"/>
      <c r="H44" s="373"/>
      <c r="I44" s="373"/>
      <c r="J44" s="373"/>
      <c r="K44" s="373"/>
      <c r="L44" s="373"/>
    </row>
    <row r="45" spans="3:12">
      <c r="C45" s="371" t="s">
        <v>289</v>
      </c>
      <c r="E45" s="370" t="s">
        <v>1374</v>
      </c>
      <c r="G45" s="373"/>
      <c r="H45" s="373"/>
      <c r="I45" s="373"/>
      <c r="J45" s="373"/>
      <c r="K45" s="373"/>
      <c r="L45" s="373"/>
    </row>
    <row r="46" spans="3:12">
      <c r="C46" s="371" t="s">
        <v>290</v>
      </c>
      <c r="E46" s="370" t="s">
        <v>1375</v>
      </c>
      <c r="G46" s="373"/>
      <c r="H46" s="373"/>
      <c r="I46" s="373"/>
      <c r="J46" s="373"/>
      <c r="K46" s="373"/>
      <c r="L46" s="373"/>
    </row>
    <row r="47" spans="3:12">
      <c r="C47" s="371" t="s">
        <v>834</v>
      </c>
      <c r="E47" s="373" t="s">
        <v>1376</v>
      </c>
      <c r="F47" s="373"/>
      <c r="G47" s="373"/>
      <c r="H47" s="373"/>
      <c r="I47" s="373"/>
      <c r="J47" s="373"/>
      <c r="K47" s="373"/>
      <c r="L47" s="373"/>
    </row>
    <row r="48" spans="3:12">
      <c r="C48" s="371" t="s">
        <v>835</v>
      </c>
      <c r="E48" s="373" t="s">
        <v>1377</v>
      </c>
      <c r="F48" s="373"/>
      <c r="G48" s="373"/>
      <c r="H48" s="373"/>
      <c r="I48" s="373"/>
      <c r="J48" s="373"/>
      <c r="K48" s="373"/>
      <c r="L48" s="373"/>
    </row>
    <row r="49" spans="3:12">
      <c r="C49" s="371" t="s">
        <v>836</v>
      </c>
      <c r="E49" s="336" t="s">
        <v>1596</v>
      </c>
      <c r="F49" s="373"/>
      <c r="G49" s="373"/>
      <c r="H49" s="373"/>
      <c r="I49" s="373"/>
      <c r="J49" s="373"/>
      <c r="K49" s="373"/>
      <c r="L49" s="373"/>
    </row>
    <row r="50" spans="3:12">
      <c r="C50" s="371" t="s">
        <v>837</v>
      </c>
      <c r="E50" s="373" t="s">
        <v>1597</v>
      </c>
      <c r="F50" s="373"/>
      <c r="G50" s="373"/>
      <c r="H50" s="373"/>
      <c r="I50" s="373"/>
      <c r="J50" s="373"/>
      <c r="K50" s="373"/>
      <c r="L50" s="373"/>
    </row>
    <row r="51" spans="3:12">
      <c r="C51" s="371" t="s">
        <v>838</v>
      </c>
      <c r="E51" s="373"/>
      <c r="F51" s="373"/>
      <c r="G51" s="373"/>
      <c r="H51" s="373"/>
      <c r="I51" s="373"/>
      <c r="J51" s="373"/>
      <c r="K51" s="373"/>
      <c r="L51" s="373"/>
    </row>
    <row r="52" spans="3:12">
      <c r="C52" s="371" t="s">
        <v>839</v>
      </c>
      <c r="E52" s="373"/>
      <c r="F52" s="373"/>
      <c r="G52" s="373"/>
      <c r="H52" s="373"/>
      <c r="I52" s="373"/>
      <c r="J52" s="373"/>
      <c r="K52" s="373"/>
      <c r="L52" s="373"/>
    </row>
    <row r="53" spans="3:12">
      <c r="C53" s="371" t="s">
        <v>840</v>
      </c>
      <c r="E53" s="373"/>
      <c r="F53" s="373"/>
      <c r="G53" s="373"/>
      <c r="H53" s="373"/>
      <c r="I53" s="373"/>
      <c r="J53" s="373"/>
      <c r="K53" s="373"/>
      <c r="L53" s="373"/>
    </row>
    <row r="54" spans="3:12">
      <c r="C54" s="371" t="s">
        <v>841</v>
      </c>
      <c r="E54" s="373"/>
      <c r="F54" s="373"/>
      <c r="G54" s="373"/>
      <c r="H54" s="373"/>
      <c r="I54" s="373"/>
      <c r="J54" s="373"/>
      <c r="K54" s="373"/>
      <c r="L54" s="373"/>
    </row>
    <row r="55" spans="3:12">
      <c r="C55" s="371" t="s">
        <v>842</v>
      </c>
      <c r="E55" s="373"/>
      <c r="F55" s="373"/>
      <c r="G55" s="373"/>
      <c r="H55" s="373"/>
      <c r="I55" s="373"/>
      <c r="J55" s="373"/>
      <c r="K55" s="373"/>
      <c r="L55" s="373"/>
    </row>
    <row r="56" spans="3:12">
      <c r="C56" s="371" t="s">
        <v>1595</v>
      </c>
      <c r="E56" s="373"/>
      <c r="F56" s="373"/>
      <c r="G56" s="373"/>
      <c r="H56" s="373"/>
      <c r="I56" s="373"/>
      <c r="J56" s="373"/>
      <c r="K56" s="373"/>
      <c r="L56" s="373"/>
    </row>
    <row r="57" spans="3:12">
      <c r="C57" s="371" t="s">
        <v>1211</v>
      </c>
      <c r="E57" s="373"/>
      <c r="F57" s="373"/>
      <c r="G57" s="373"/>
      <c r="H57" s="373"/>
      <c r="I57" s="373"/>
      <c r="J57" s="373"/>
      <c r="K57" s="373"/>
      <c r="L57" s="373"/>
    </row>
    <row r="58" spans="3:12">
      <c r="C58" s="371" t="s">
        <v>1212</v>
      </c>
      <c r="E58" s="373"/>
      <c r="F58" s="373"/>
      <c r="G58" s="373"/>
      <c r="H58" s="373"/>
      <c r="I58" s="373"/>
      <c r="J58" s="373"/>
      <c r="K58" s="373"/>
      <c r="L58" s="373"/>
    </row>
    <row r="59" spans="3:12">
      <c r="C59" s="371" t="s">
        <v>1213</v>
      </c>
      <c r="E59" s="373"/>
      <c r="F59" s="373"/>
      <c r="G59" s="373"/>
      <c r="H59" s="373"/>
      <c r="I59" s="373"/>
      <c r="J59" s="373"/>
      <c r="K59" s="373"/>
      <c r="L59" s="373"/>
    </row>
    <row r="60" spans="3:12">
      <c r="C60" s="371" t="s">
        <v>1214</v>
      </c>
      <c r="E60" s="373"/>
      <c r="F60" s="373"/>
      <c r="G60" s="373"/>
      <c r="H60" s="373"/>
      <c r="I60" s="373"/>
      <c r="J60" s="373"/>
      <c r="K60" s="373"/>
      <c r="L60" s="373"/>
    </row>
    <row r="61" spans="3:12">
      <c r="E61" s="373"/>
      <c r="F61" s="373"/>
      <c r="G61" s="373"/>
      <c r="H61" s="373"/>
      <c r="I61" s="373"/>
      <c r="J61" s="373"/>
      <c r="K61" s="373"/>
      <c r="L61" s="373"/>
    </row>
    <row r="62" spans="3:12">
      <c r="E62" s="373"/>
      <c r="F62" s="373"/>
      <c r="G62" s="373"/>
      <c r="H62" s="373"/>
      <c r="I62" s="373"/>
      <c r="J62" s="373"/>
      <c r="K62" s="373"/>
      <c r="L62" s="373"/>
    </row>
    <row r="63" spans="3:12">
      <c r="E63" s="373"/>
      <c r="F63" s="373"/>
      <c r="G63" s="373"/>
      <c r="H63" s="373"/>
      <c r="I63" s="373"/>
      <c r="J63" s="373"/>
      <c r="K63" s="373"/>
      <c r="L63" s="373"/>
    </row>
  </sheetData>
  <sheetProtection algorithmName="SHA-512" hashValue="2OCT93wPYYlc15WWNmyTKgxNXRWUUGQsVeXkM0PSQpW2AWpbFOiA/7sMEkjJVSLewuQfhO01OJL8UIh8S41RuQ==" saltValue="aD1b/cm972fVcw5hXR2RlA==" spinCount="100000" sheet="1" objects="1" scenarios="1" formatCells="0"/>
  <protectedRanges>
    <protectedRange sqref="C4:E32" name="範囲1"/>
    <protectedRange sqref="E49" name="範囲1_1"/>
  </protectedRanges>
  <mergeCells count="2">
    <mergeCell ref="B5:B13"/>
    <mergeCell ref="B20:B28"/>
  </mergeCells>
  <phoneticPr fontId="1"/>
  <dataValidations count="1">
    <dataValidation type="list" allowBlank="1" showInputMessage="1" showErrorMessage="1" sqref="C4:C32" xr:uid="{8549C2D4-8C02-4E69-8D8A-7FC7756C10B6}">
      <formula1>$C$41:$C$62</formula1>
    </dataValidation>
  </dataValidations>
  <pageMargins left="0.70866141732283472" right="0.70866141732283472" top="0.74803149606299213" bottom="0.74803149606299213" header="0.31496062992125984" footer="0.31496062992125984"/>
  <pageSetup paperSize="9" scale="67"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D2DF9-EC73-4991-8F38-27853365CD76}">
  <dimension ref="B1:AU30"/>
  <sheetViews>
    <sheetView showGridLines="0" zoomScaleNormal="100" zoomScaleSheetLayoutView="100" workbookViewId="0">
      <pane ySplit="4" topLeftCell="A5" activePane="bottomLeft" state="frozen"/>
      <selection activeCell="L9" sqref="L9:Q9"/>
      <selection pane="bottomLeft" activeCell="R7" sqref="R7"/>
    </sheetView>
  </sheetViews>
  <sheetFormatPr defaultColWidth="9" defaultRowHeight="15"/>
  <cols>
    <col min="1" max="1" width="0.5" style="374" customWidth="1"/>
    <col min="2" max="2" width="6.58203125" style="374" customWidth="1"/>
    <col min="3" max="13" width="5.58203125" style="374" customWidth="1"/>
    <col min="14" max="15" width="7.08203125" style="374" customWidth="1"/>
    <col min="16" max="17" width="6.25" style="374" customWidth="1"/>
    <col min="18" max="28" width="6.08203125" style="374" customWidth="1"/>
    <col min="29" max="30" width="5.58203125" style="374" customWidth="1"/>
    <col min="31" max="31" width="3.33203125" style="374" customWidth="1"/>
    <col min="32" max="32" width="9" style="400"/>
    <col min="33" max="35" width="9" style="374"/>
    <col min="36" max="39" width="7.25" style="374" customWidth="1"/>
    <col min="40" max="16384" width="9" style="374"/>
  </cols>
  <sheetData>
    <row r="1" spans="2:47" ht="5.25" customHeight="1"/>
    <row r="2" spans="2:47" ht="18.75" customHeight="1">
      <c r="B2" s="667" t="s">
        <v>947</v>
      </c>
      <c r="C2" s="670" t="s">
        <v>948</v>
      </c>
      <c r="D2" s="671"/>
      <c r="E2" s="671"/>
      <c r="F2" s="671"/>
      <c r="G2" s="672"/>
      <c r="H2" s="673" t="s">
        <v>949</v>
      </c>
      <c r="I2" s="674"/>
      <c r="J2" s="670" t="s">
        <v>909</v>
      </c>
      <c r="K2" s="671"/>
      <c r="L2" s="672"/>
      <c r="M2" s="675" t="s">
        <v>910</v>
      </c>
      <c r="N2" s="403"/>
      <c r="O2" s="404"/>
      <c r="P2" s="682" t="s">
        <v>1493</v>
      </c>
      <c r="Q2" s="685" t="s">
        <v>1232</v>
      </c>
      <c r="R2" s="677" t="s">
        <v>911</v>
      </c>
      <c r="S2" s="677"/>
      <c r="T2" s="677"/>
      <c r="U2" s="677"/>
      <c r="V2" s="677"/>
      <c r="W2" s="677"/>
      <c r="X2" s="673"/>
      <c r="Y2" s="673"/>
      <c r="Z2" s="673"/>
      <c r="AA2" s="673"/>
      <c r="AB2" s="401"/>
      <c r="AC2" s="672" t="s">
        <v>912</v>
      </c>
      <c r="AD2" s="667" t="s">
        <v>913</v>
      </c>
      <c r="AF2" s="400" t="s">
        <v>914</v>
      </c>
    </row>
    <row r="3" spans="2:47" ht="24" customHeight="1">
      <c r="B3" s="668"/>
      <c r="C3" s="667" t="s">
        <v>915</v>
      </c>
      <c r="D3" s="678" t="s">
        <v>950</v>
      </c>
      <c r="E3" s="667" t="s">
        <v>917</v>
      </c>
      <c r="F3" s="680" t="s">
        <v>1316</v>
      </c>
      <c r="G3" s="668" t="s">
        <v>920</v>
      </c>
      <c r="H3" s="667" t="s">
        <v>951</v>
      </c>
      <c r="I3" s="672" t="s">
        <v>952</v>
      </c>
      <c r="J3" s="667" t="s">
        <v>918</v>
      </c>
      <c r="K3" s="667" t="s">
        <v>919</v>
      </c>
      <c r="L3" s="668" t="s">
        <v>920</v>
      </c>
      <c r="M3" s="676"/>
      <c r="N3" s="678" t="s">
        <v>953</v>
      </c>
      <c r="O3" s="678" t="s">
        <v>954</v>
      </c>
      <c r="P3" s="668"/>
      <c r="Q3" s="686"/>
      <c r="R3" s="667" t="s">
        <v>921</v>
      </c>
      <c r="S3" s="667" t="s">
        <v>922</v>
      </c>
      <c r="T3" s="667" t="s">
        <v>923</v>
      </c>
      <c r="U3" s="667" t="s">
        <v>924</v>
      </c>
      <c r="V3" s="667" t="s">
        <v>925</v>
      </c>
      <c r="W3" s="684" t="s">
        <v>955</v>
      </c>
      <c r="X3" s="684" t="s">
        <v>956</v>
      </c>
      <c r="Y3" s="684" t="s">
        <v>957</v>
      </c>
      <c r="Z3" s="402"/>
      <c r="AA3" s="670" t="s">
        <v>926</v>
      </c>
      <c r="AB3" s="402"/>
      <c r="AC3" s="679"/>
      <c r="AD3" s="668"/>
    </row>
    <row r="4" spans="2:47" ht="24" customHeight="1">
      <c r="B4" s="669"/>
      <c r="C4" s="669"/>
      <c r="D4" s="669"/>
      <c r="E4" s="669"/>
      <c r="F4" s="681"/>
      <c r="G4" s="668"/>
      <c r="H4" s="668"/>
      <c r="I4" s="679"/>
      <c r="J4" s="669"/>
      <c r="K4" s="669"/>
      <c r="L4" s="668"/>
      <c r="M4" s="676"/>
      <c r="N4" s="683"/>
      <c r="O4" s="683"/>
      <c r="P4" s="668"/>
      <c r="Q4" s="687"/>
      <c r="R4" s="669"/>
      <c r="S4" s="669"/>
      <c r="T4" s="669"/>
      <c r="U4" s="669"/>
      <c r="V4" s="669"/>
      <c r="W4" s="669"/>
      <c r="X4" s="669"/>
      <c r="Y4" s="669"/>
      <c r="Z4" s="405" t="s">
        <v>150</v>
      </c>
      <c r="AA4" s="669"/>
      <c r="AB4" s="405" t="s">
        <v>958</v>
      </c>
      <c r="AC4" s="679"/>
      <c r="AD4" s="668"/>
      <c r="AG4" s="374" t="s">
        <v>959</v>
      </c>
      <c r="AH4" s="374" t="s">
        <v>960</v>
      </c>
      <c r="AJ4" s="407"/>
      <c r="AK4" s="408"/>
      <c r="AL4" s="408"/>
      <c r="AM4" s="663" t="s">
        <v>986</v>
      </c>
      <c r="AO4" s="374" t="s">
        <v>987</v>
      </c>
      <c r="AP4" s="374" t="s">
        <v>994</v>
      </c>
      <c r="AT4" s="374" t="s">
        <v>1401</v>
      </c>
      <c r="AU4" s="374" t="s">
        <v>1402</v>
      </c>
    </row>
    <row r="5" spans="2:47" ht="13.5" customHeight="1">
      <c r="B5" s="657" t="s">
        <v>988</v>
      </c>
      <c r="C5" s="658"/>
      <c r="D5" s="658"/>
      <c r="E5" s="658"/>
      <c r="F5" s="658"/>
      <c r="G5" s="658"/>
      <c r="H5" s="658"/>
      <c r="I5" s="658"/>
      <c r="J5" s="658"/>
      <c r="K5" s="658"/>
      <c r="L5" s="658"/>
      <c r="M5" s="658"/>
      <c r="N5" s="658"/>
      <c r="O5" s="658"/>
      <c r="P5" s="658"/>
      <c r="Q5" s="659"/>
      <c r="R5" s="409">
        <f>⑤基本加算１!I6</f>
        <v>233166.66666667</v>
      </c>
      <c r="S5" s="406">
        <f>⑥基本加算２!I6</f>
        <v>345166.66666667</v>
      </c>
      <c r="T5" s="406">
        <f>S5</f>
        <v>345166.66666667</v>
      </c>
      <c r="U5" s="406">
        <f>⑧一般加算１!M6</f>
        <v>236166.66666667</v>
      </c>
      <c r="V5" s="406">
        <f>U5</f>
        <v>236166.66666667</v>
      </c>
      <c r="W5" s="406">
        <f>⑩特定加算１!I6</f>
        <v>288666.66666667</v>
      </c>
      <c r="X5" s="406">
        <f>W5</f>
        <v>288666.66666667</v>
      </c>
      <c r="Y5" s="406">
        <f>W5</f>
        <v>288666.66666667</v>
      </c>
      <c r="Z5" s="406" t="s">
        <v>255</v>
      </c>
      <c r="AA5" s="406">
        <f>Y5</f>
        <v>288666.66666667</v>
      </c>
      <c r="AB5" s="406" t="s">
        <v>255</v>
      </c>
      <c r="AC5" s="679"/>
      <c r="AD5" s="668"/>
      <c r="AJ5" s="666" t="s">
        <v>989</v>
      </c>
      <c r="AK5" s="666" t="s">
        <v>990</v>
      </c>
      <c r="AL5" s="666" t="s">
        <v>991</v>
      </c>
      <c r="AM5" s="664"/>
      <c r="AT5" s="374" t="s">
        <v>1403</v>
      </c>
    </row>
    <row r="6" spans="2:47" ht="13.5" customHeight="1" thickBot="1">
      <c r="B6" s="660" t="s">
        <v>992</v>
      </c>
      <c r="C6" s="661"/>
      <c r="D6" s="661"/>
      <c r="E6" s="661"/>
      <c r="F6" s="661"/>
      <c r="G6" s="661"/>
      <c r="H6" s="661"/>
      <c r="I6" s="661"/>
      <c r="J6" s="661"/>
      <c r="K6" s="661"/>
      <c r="L6" s="661"/>
      <c r="M6" s="661"/>
      <c r="N6" s="661"/>
      <c r="O6" s="661"/>
      <c r="P6" s="661"/>
      <c r="Q6" s="662"/>
      <c r="R6" s="409">
        <f>R5-(個別データ!$HO$3-10000)</f>
        <v>163216.66666667</v>
      </c>
      <c r="S6" s="406" t="s">
        <v>255</v>
      </c>
      <c r="T6" s="406" t="s">
        <v>255</v>
      </c>
      <c r="U6" s="409">
        <f>U5-(個別データ!$HO$3-10000)</f>
        <v>166216.66666667</v>
      </c>
      <c r="V6" s="409">
        <f>V5-(個別データ!$HO$3-10000)</f>
        <v>166216.66666667</v>
      </c>
      <c r="W6" s="406" t="s">
        <v>255</v>
      </c>
      <c r="X6" s="406" t="s">
        <v>255</v>
      </c>
      <c r="Y6" s="406" t="s">
        <v>255</v>
      </c>
      <c r="Z6" s="406" t="s">
        <v>255</v>
      </c>
      <c r="AA6" s="406" t="s">
        <v>255</v>
      </c>
      <c r="AB6" s="406" t="s">
        <v>255</v>
      </c>
      <c r="AC6" s="688"/>
      <c r="AD6" s="689"/>
      <c r="AJ6" s="665"/>
      <c r="AK6" s="665"/>
      <c r="AL6" s="665"/>
      <c r="AM6" s="665"/>
      <c r="AR6" s="374" t="s">
        <v>1006</v>
      </c>
    </row>
    <row r="7" spans="2:47" ht="15.75" customHeight="1" thickTop="1">
      <c r="B7" s="410" t="s">
        <v>927</v>
      </c>
      <c r="C7" s="410" t="e">
        <f>'④-1月別配置内訳書(2)-(2)-(A)'!AB9</f>
        <v>#DIV/0!</v>
      </c>
      <c r="D7" s="410" t="e">
        <f>'④-1月別配置内訳書(2)-(2)-(A)'!AD9</f>
        <v>#N/A</v>
      </c>
      <c r="E7" s="410" t="e">
        <f>'④-1月別配置内訳書(2)-(2)-(A)'!AE9</f>
        <v>#DIV/0!</v>
      </c>
      <c r="F7" s="411" t="e">
        <f>SUM(C7:E7)</f>
        <v>#DIV/0!</v>
      </c>
      <c r="G7" s="412" t="e">
        <f>'④-1月別配置内訳書(2)-(2)-(A)'!AI9</f>
        <v>#DIV/0!</v>
      </c>
      <c r="H7" s="413" t="e">
        <f>'④-2月別配置内訳書(2)-(2)-(B)'!AF9-'④-2月別配置内訳書(2)-(2)-(B)'!AG9</f>
        <v>#DIV/0!</v>
      </c>
      <c r="I7" s="414" t="e">
        <f>'④-3月別配置内訳書(2)-(2)-(C)・(D)'!AB9-'④-3月別配置内訳書(2)-(2)-(C)・(D)'!AC9</f>
        <v>#DIV/0!</v>
      </c>
      <c r="J7" s="415" t="e">
        <f>'④-3月別配置内訳書(2)-(2)-(C)・(D)'!AF9</f>
        <v>#N/A</v>
      </c>
      <c r="K7" s="630" t="e">
        <f>'④-3月別配置内訳書(2)-(2)-(C)・(D)'!BF9</f>
        <v>#DIV/0!</v>
      </c>
      <c r="L7" s="416" t="e">
        <f>IF(K7-J7&lt;0,0,K7-J7)</f>
        <v>#DIV/0!</v>
      </c>
      <c r="M7" s="414" t="e">
        <f>'④-４月別配置内訳書(2)-(2)-(E)'!V9</f>
        <v>#DIV/0!</v>
      </c>
      <c r="N7" s="417" t="e">
        <f>SUM(L7:M7,C7:E7,H7:I7)</f>
        <v>#DIV/0!</v>
      </c>
      <c r="O7" s="418">
        <f>AG7</f>
        <v>4</v>
      </c>
      <c r="P7" s="419" t="e">
        <f>MIN(N7:O7)</f>
        <v>#DIV/0!</v>
      </c>
      <c r="Q7" s="420" t="e">
        <f>N7-L7-AC7</f>
        <v>#DIV/0!</v>
      </c>
      <c r="R7" s="551"/>
      <c r="S7" s="551"/>
      <c r="T7" s="551"/>
      <c r="U7" s="552"/>
      <c r="V7" s="551"/>
      <c r="W7" s="551"/>
      <c r="X7" s="551"/>
      <c r="Y7" s="551"/>
      <c r="Z7" s="421">
        <f>①基本情報!F27</f>
        <v>0</v>
      </c>
      <c r="AA7" s="552"/>
      <c r="AB7" s="421">
        <f>SUM('③児童数及び職員定数 (2)-(1)'!C10:D10)</f>
        <v>0</v>
      </c>
      <c r="AC7" s="418">
        <f>COUNTA(R7:Y7,AA7)</f>
        <v>0</v>
      </c>
      <c r="AD7" s="422" t="e">
        <f>IF(ROUNDDOWN(P7,0)=AC7,"○","✕")</f>
        <v>#DIV/0!</v>
      </c>
      <c r="AE7" s="374" t="str">
        <f t="shared" ref="AE7:AE18" si="0">IF(AR7=5,"✕","○")</f>
        <v>○</v>
      </c>
      <c r="AG7" s="374">
        <f>IF(AH7="〇",4+Z7+1,4+Z7)</f>
        <v>4</v>
      </c>
      <c r="AH7" s="374" t="str">
        <f>IF(AB7&gt;=36,"〇","✕")</f>
        <v>✕</v>
      </c>
      <c r="AJ7" s="423" t="str">
        <f>IF(Z7=0,"","〇")</f>
        <v/>
      </c>
      <c r="AK7" s="423" t="str">
        <f>IF(R7="","","〇")</f>
        <v/>
      </c>
      <c r="AL7" s="423" t="str">
        <f>IF(AND(S7="",T7="",U7="",V7="",W7=""),"〇","")</f>
        <v>〇</v>
      </c>
      <c r="AM7" s="423" t="str">
        <f>IF(AND(AJ7="〇",AK7="〇",AL7="〇"),"〇","")</f>
        <v/>
      </c>
      <c r="AO7" s="374" t="str">
        <f>IF(R7="","〇","")</f>
        <v>〇</v>
      </c>
      <c r="AP7" s="374" t="e">
        <f>SUM(C7:E7)</f>
        <v>#DIV/0!</v>
      </c>
      <c r="AQ7" s="374" t="e">
        <f>IF(AP7&lt;0,"✕","〇")</f>
        <v>#DIV/0!</v>
      </c>
      <c r="AR7" s="374">
        <f t="shared" ref="AR7:AR18" si="1">COUNTA(R7:V7)</f>
        <v>0</v>
      </c>
      <c r="AT7" s="336" t="e">
        <f>(F7-INT(F7)) +H7+I7+(M7-INT(M7))</f>
        <v>#DIV/0!</v>
      </c>
      <c r="AU7" s="374" t="e">
        <f>AT7-INT(AT7)</f>
        <v>#DIV/0!</v>
      </c>
    </row>
    <row r="8" spans="2:47" ht="15.75" customHeight="1">
      <c r="B8" s="410" t="s">
        <v>928</v>
      </c>
      <c r="C8" s="410" t="e">
        <f>'④-1月別配置内訳書(2)-(2)-(A)'!AB10</f>
        <v>#DIV/0!</v>
      </c>
      <c r="D8" s="410" t="e">
        <f>'④-1月別配置内訳書(2)-(2)-(A)'!AD10</f>
        <v>#N/A</v>
      </c>
      <c r="E8" s="410" t="e">
        <f>'④-1月別配置内訳書(2)-(2)-(A)'!AE10</f>
        <v>#DIV/0!</v>
      </c>
      <c r="F8" s="424" t="e">
        <f t="shared" ref="F8:F18" si="2">SUM(C8:E8)</f>
        <v>#DIV/0!</v>
      </c>
      <c r="G8" s="425" t="e">
        <f>'④-1月別配置内訳書(2)-(2)-(A)'!AI10</f>
        <v>#DIV/0!</v>
      </c>
      <c r="H8" s="426" t="e">
        <f>'④-2月別配置内訳書(2)-(2)-(B)'!AF10-'④-2月別配置内訳書(2)-(2)-(B)'!AG10</f>
        <v>#DIV/0!</v>
      </c>
      <c r="I8" s="427" t="e">
        <f>'④-3月別配置内訳書(2)-(2)-(C)・(D)'!AB10-'④-3月別配置内訳書(2)-(2)-(C)・(D)'!AC10</f>
        <v>#DIV/0!</v>
      </c>
      <c r="J8" s="415" t="e">
        <f>'④-3月別配置内訳書(2)-(2)-(C)・(D)'!AF10</f>
        <v>#N/A</v>
      </c>
      <c r="K8" s="630" t="e">
        <f>'④-3月別配置内訳書(2)-(2)-(C)・(D)'!BF10</f>
        <v>#DIV/0!</v>
      </c>
      <c r="L8" s="428" t="e">
        <f t="shared" ref="L8:L18" si="3">IF(K8-J8&lt;0,0,K8-J8)</f>
        <v>#DIV/0!</v>
      </c>
      <c r="M8" s="427" t="e">
        <f>'④-４月別配置内訳書(2)-(2)-(E)'!V10</f>
        <v>#DIV/0!</v>
      </c>
      <c r="N8" s="415" t="e">
        <f>SUM(L8:M8,C8:E8,H8:I8)</f>
        <v>#DIV/0!</v>
      </c>
      <c r="O8" s="429">
        <f t="shared" ref="O8:O18" si="4">AG8</f>
        <v>4</v>
      </c>
      <c r="P8" s="430" t="e">
        <f t="shared" ref="P8:P18" si="5">MIN(N8:O8)</f>
        <v>#DIV/0!</v>
      </c>
      <c r="Q8" s="420" t="e">
        <f t="shared" ref="Q8:Q18" si="6">N8-L8-AC8</f>
        <v>#DIV/0!</v>
      </c>
      <c r="R8" s="551" t="str">
        <f>IF(R7="","",R7)</f>
        <v/>
      </c>
      <c r="S8" s="551" t="str">
        <f t="shared" ref="S8:Y8" si="7">IF(S7="","",S7)</f>
        <v/>
      </c>
      <c r="T8" s="551" t="str">
        <f t="shared" si="7"/>
        <v/>
      </c>
      <c r="U8" s="552" t="str">
        <f t="shared" si="7"/>
        <v/>
      </c>
      <c r="V8" s="551" t="str">
        <f t="shared" si="7"/>
        <v/>
      </c>
      <c r="W8" s="551" t="str">
        <f t="shared" si="7"/>
        <v/>
      </c>
      <c r="X8" s="551" t="str">
        <f t="shared" si="7"/>
        <v/>
      </c>
      <c r="Y8" s="551" t="str">
        <f t="shared" si="7"/>
        <v/>
      </c>
      <c r="Z8" s="421">
        <f>①基本情報!G27</f>
        <v>0</v>
      </c>
      <c r="AA8" s="552" t="str">
        <f t="shared" ref="AA8" si="8">IF(AA7="","",AA7)</f>
        <v/>
      </c>
      <c r="AB8" s="421">
        <f>SUM('③児童数及び職員定数 (2)-(1)'!C11:D11)</f>
        <v>0</v>
      </c>
      <c r="AC8" s="418">
        <f t="shared" ref="AC8:AC18" si="9">COUNTA(R8:Y8,AA8)</f>
        <v>9</v>
      </c>
      <c r="AD8" s="431" t="e">
        <f t="shared" ref="AD8:AD18" si="10">IF(ROUNDDOWN(P8,0)=AC8,"○","✕")</f>
        <v>#DIV/0!</v>
      </c>
      <c r="AE8" s="374" t="str">
        <f t="shared" si="0"/>
        <v>✕</v>
      </c>
      <c r="AG8" s="374">
        <f t="shared" ref="AG8:AG18" si="11">IF(AH8="〇",4+Z8+1,4+Z8)</f>
        <v>4</v>
      </c>
      <c r="AH8" s="374" t="str">
        <f t="shared" ref="AH8:AH18" si="12">IF(AB8&gt;=36,"〇","✕")</f>
        <v>✕</v>
      </c>
      <c r="AJ8" s="423" t="str">
        <f t="shared" ref="AJ8:AJ18" si="13">IF(Z8=0,"","〇")</f>
        <v/>
      </c>
      <c r="AK8" s="423" t="str">
        <f>IF(R8="","","〇")</f>
        <v/>
      </c>
      <c r="AL8" s="423" t="str">
        <f t="shared" ref="AL8:AL18" si="14">IF(AND(S8="",T8="",U8="",V8="",W8=""),"〇","")</f>
        <v>〇</v>
      </c>
      <c r="AM8" s="423" t="str">
        <f>IF(AND(AJ8="〇",AK8="〇",AL8="〇"),"〇","")</f>
        <v/>
      </c>
      <c r="AO8" s="374" t="str">
        <f t="shared" ref="AO8:AO18" si="15">IF(R8="","〇","")</f>
        <v>〇</v>
      </c>
      <c r="AP8" s="374" t="e">
        <f t="shared" ref="AP8:AP18" si="16">SUM(C8:E8)</f>
        <v>#DIV/0!</v>
      </c>
      <c r="AQ8" s="374" t="e">
        <f t="shared" ref="AQ8:AQ18" si="17">IF(AP8&lt;0,"✕","〇")</f>
        <v>#DIV/0!</v>
      </c>
      <c r="AR8" s="374">
        <f t="shared" si="1"/>
        <v>5</v>
      </c>
      <c r="AT8" s="336" t="e">
        <f t="shared" ref="AT8:AT18" si="18">(F8-INT(F8)) +H8+I8+(M8-INT(M8))</f>
        <v>#DIV/0!</v>
      </c>
      <c r="AU8" s="374" t="e">
        <f t="shared" ref="AU8:AU18" si="19">AT8-INT(AT8)</f>
        <v>#DIV/0!</v>
      </c>
    </row>
    <row r="9" spans="2:47" ht="15.75" customHeight="1">
      <c r="B9" s="410" t="s">
        <v>929</v>
      </c>
      <c r="C9" s="410" t="e">
        <f>'④-1月別配置内訳書(2)-(2)-(A)'!AB11</f>
        <v>#DIV/0!</v>
      </c>
      <c r="D9" s="410" t="e">
        <f>'④-1月別配置内訳書(2)-(2)-(A)'!AD11</f>
        <v>#N/A</v>
      </c>
      <c r="E9" s="410" t="e">
        <f>'④-1月別配置内訳書(2)-(2)-(A)'!AE11</f>
        <v>#DIV/0!</v>
      </c>
      <c r="F9" s="424" t="e">
        <f t="shared" si="2"/>
        <v>#DIV/0!</v>
      </c>
      <c r="G9" s="425" t="e">
        <f>'④-1月別配置内訳書(2)-(2)-(A)'!AI11</f>
        <v>#DIV/0!</v>
      </c>
      <c r="H9" s="426" t="e">
        <f>'④-2月別配置内訳書(2)-(2)-(B)'!AF11-'④-2月別配置内訳書(2)-(2)-(B)'!AG11</f>
        <v>#DIV/0!</v>
      </c>
      <c r="I9" s="427" t="e">
        <f>'④-3月別配置内訳書(2)-(2)-(C)・(D)'!AB11-'④-3月別配置内訳書(2)-(2)-(C)・(D)'!AC11</f>
        <v>#DIV/0!</v>
      </c>
      <c r="J9" s="415" t="e">
        <f>'④-3月別配置内訳書(2)-(2)-(C)・(D)'!AF11</f>
        <v>#N/A</v>
      </c>
      <c r="K9" s="630" t="e">
        <f>'④-3月別配置内訳書(2)-(2)-(C)・(D)'!BF11</f>
        <v>#DIV/0!</v>
      </c>
      <c r="L9" s="428" t="e">
        <f t="shared" si="3"/>
        <v>#DIV/0!</v>
      </c>
      <c r="M9" s="427" t="e">
        <f>'④-４月別配置内訳書(2)-(2)-(E)'!V11</f>
        <v>#DIV/0!</v>
      </c>
      <c r="N9" s="415" t="e">
        <f t="shared" ref="N9:N18" si="20">SUM(L9:M9,C9:E9,H9:I9)</f>
        <v>#DIV/0!</v>
      </c>
      <c r="O9" s="429">
        <f t="shared" si="4"/>
        <v>4</v>
      </c>
      <c r="P9" s="430" t="e">
        <f t="shared" si="5"/>
        <v>#DIV/0!</v>
      </c>
      <c r="Q9" s="420" t="e">
        <f t="shared" si="6"/>
        <v>#DIV/0!</v>
      </c>
      <c r="R9" s="551" t="str">
        <f>R8</f>
        <v/>
      </c>
      <c r="S9" s="551" t="str">
        <f t="shared" ref="S9:Y18" si="21">S8</f>
        <v/>
      </c>
      <c r="T9" s="551" t="str">
        <f t="shared" si="21"/>
        <v/>
      </c>
      <c r="U9" s="552" t="str">
        <f t="shared" si="21"/>
        <v/>
      </c>
      <c r="V9" s="551" t="str">
        <f t="shared" si="21"/>
        <v/>
      </c>
      <c r="W9" s="551" t="str">
        <f t="shared" si="21"/>
        <v/>
      </c>
      <c r="X9" s="551" t="str">
        <f t="shared" si="21"/>
        <v/>
      </c>
      <c r="Y9" s="551" t="str">
        <f t="shared" si="21"/>
        <v/>
      </c>
      <c r="Z9" s="421">
        <f>①基本情報!H27</f>
        <v>0</v>
      </c>
      <c r="AA9" s="552" t="str">
        <f t="shared" ref="AA9:AA18" si="22">AA8</f>
        <v/>
      </c>
      <c r="AB9" s="421">
        <f>SUM('③児童数及び職員定数 (2)-(1)'!C12:D12)</f>
        <v>0</v>
      </c>
      <c r="AC9" s="418">
        <f t="shared" si="9"/>
        <v>9</v>
      </c>
      <c r="AD9" s="431" t="e">
        <f t="shared" si="10"/>
        <v>#DIV/0!</v>
      </c>
      <c r="AE9" s="374" t="str">
        <f t="shared" si="0"/>
        <v>✕</v>
      </c>
      <c r="AG9" s="374">
        <f t="shared" si="11"/>
        <v>4</v>
      </c>
      <c r="AH9" s="374" t="str">
        <f t="shared" si="12"/>
        <v>✕</v>
      </c>
      <c r="AJ9" s="423" t="str">
        <f t="shared" si="13"/>
        <v/>
      </c>
      <c r="AK9" s="423" t="str">
        <f t="shared" ref="AK9:AK18" si="23">IF(R9="","","〇")</f>
        <v/>
      </c>
      <c r="AL9" s="423" t="str">
        <f t="shared" si="14"/>
        <v>〇</v>
      </c>
      <c r="AM9" s="423" t="str">
        <f t="shared" ref="AM9:AM17" si="24">IF(AND(AJ9="〇",AK9="〇",AL9="〇"),"〇","")</f>
        <v/>
      </c>
      <c r="AO9" s="374" t="str">
        <f t="shared" si="15"/>
        <v>〇</v>
      </c>
      <c r="AP9" s="374" t="e">
        <f t="shared" si="16"/>
        <v>#DIV/0!</v>
      </c>
      <c r="AQ9" s="374" t="e">
        <f t="shared" si="17"/>
        <v>#DIV/0!</v>
      </c>
      <c r="AR9" s="374">
        <f t="shared" si="1"/>
        <v>5</v>
      </c>
      <c r="AT9" s="336" t="e">
        <f t="shared" si="18"/>
        <v>#DIV/0!</v>
      </c>
      <c r="AU9" s="374" t="e">
        <f t="shared" si="19"/>
        <v>#DIV/0!</v>
      </c>
    </row>
    <row r="10" spans="2:47" ht="15.75" customHeight="1">
      <c r="B10" s="410" t="s">
        <v>930</v>
      </c>
      <c r="C10" s="410" t="e">
        <f>'④-1月別配置内訳書(2)-(2)-(A)'!AB12</f>
        <v>#DIV/0!</v>
      </c>
      <c r="D10" s="410" t="e">
        <f>'④-1月別配置内訳書(2)-(2)-(A)'!AD12</f>
        <v>#N/A</v>
      </c>
      <c r="E10" s="410" t="e">
        <f>'④-1月別配置内訳書(2)-(2)-(A)'!AE12</f>
        <v>#DIV/0!</v>
      </c>
      <c r="F10" s="424" t="e">
        <f t="shared" si="2"/>
        <v>#DIV/0!</v>
      </c>
      <c r="G10" s="425" t="e">
        <f>'④-1月別配置内訳書(2)-(2)-(A)'!AI12</f>
        <v>#DIV/0!</v>
      </c>
      <c r="H10" s="426" t="e">
        <f>'④-2月別配置内訳書(2)-(2)-(B)'!AF12-'④-2月別配置内訳書(2)-(2)-(B)'!AG12</f>
        <v>#DIV/0!</v>
      </c>
      <c r="I10" s="427" t="e">
        <f>'④-3月別配置内訳書(2)-(2)-(C)・(D)'!AB12-'④-3月別配置内訳書(2)-(2)-(C)・(D)'!AC12</f>
        <v>#DIV/0!</v>
      </c>
      <c r="J10" s="415" t="e">
        <f>'④-3月別配置内訳書(2)-(2)-(C)・(D)'!AF12</f>
        <v>#N/A</v>
      </c>
      <c r="K10" s="630" t="e">
        <f>'④-3月別配置内訳書(2)-(2)-(C)・(D)'!BF12</f>
        <v>#DIV/0!</v>
      </c>
      <c r="L10" s="428" t="e">
        <f t="shared" si="3"/>
        <v>#DIV/0!</v>
      </c>
      <c r="M10" s="427" t="e">
        <f>'④-４月別配置内訳書(2)-(2)-(E)'!V12</f>
        <v>#DIV/0!</v>
      </c>
      <c r="N10" s="415" t="e">
        <f t="shared" si="20"/>
        <v>#DIV/0!</v>
      </c>
      <c r="O10" s="429">
        <f t="shared" si="4"/>
        <v>4</v>
      </c>
      <c r="P10" s="430" t="e">
        <f t="shared" si="5"/>
        <v>#DIV/0!</v>
      </c>
      <c r="Q10" s="420" t="e">
        <f t="shared" si="6"/>
        <v>#DIV/0!</v>
      </c>
      <c r="R10" s="551" t="str">
        <f t="shared" ref="R10:R18" si="25">R9</f>
        <v/>
      </c>
      <c r="S10" s="551" t="str">
        <f t="shared" si="21"/>
        <v/>
      </c>
      <c r="T10" s="551" t="str">
        <f t="shared" si="21"/>
        <v/>
      </c>
      <c r="U10" s="552" t="str">
        <f t="shared" si="21"/>
        <v/>
      </c>
      <c r="V10" s="551" t="str">
        <f t="shared" si="21"/>
        <v/>
      </c>
      <c r="W10" s="551" t="str">
        <f t="shared" si="21"/>
        <v/>
      </c>
      <c r="X10" s="551" t="str">
        <f t="shared" si="21"/>
        <v/>
      </c>
      <c r="Y10" s="551" t="str">
        <f t="shared" si="21"/>
        <v/>
      </c>
      <c r="Z10" s="421">
        <f>①基本情報!I27</f>
        <v>0</v>
      </c>
      <c r="AA10" s="552" t="str">
        <f t="shared" si="22"/>
        <v/>
      </c>
      <c r="AB10" s="421">
        <f>SUM('③児童数及び職員定数 (2)-(1)'!C13:D13)</f>
        <v>0</v>
      </c>
      <c r="AC10" s="418">
        <f t="shared" si="9"/>
        <v>9</v>
      </c>
      <c r="AD10" s="431" t="e">
        <f t="shared" si="10"/>
        <v>#DIV/0!</v>
      </c>
      <c r="AE10" s="374" t="str">
        <f t="shared" si="0"/>
        <v>✕</v>
      </c>
      <c r="AG10" s="374">
        <f t="shared" si="11"/>
        <v>4</v>
      </c>
      <c r="AH10" s="374" t="str">
        <f t="shared" si="12"/>
        <v>✕</v>
      </c>
      <c r="AJ10" s="423" t="str">
        <f t="shared" si="13"/>
        <v/>
      </c>
      <c r="AK10" s="423" t="str">
        <f t="shared" si="23"/>
        <v/>
      </c>
      <c r="AL10" s="423" t="str">
        <f t="shared" si="14"/>
        <v>〇</v>
      </c>
      <c r="AM10" s="423" t="str">
        <f t="shared" si="24"/>
        <v/>
      </c>
      <c r="AO10" s="374" t="str">
        <f t="shared" si="15"/>
        <v>〇</v>
      </c>
      <c r="AP10" s="374" t="e">
        <f t="shared" si="16"/>
        <v>#DIV/0!</v>
      </c>
      <c r="AQ10" s="374" t="e">
        <f t="shared" si="17"/>
        <v>#DIV/0!</v>
      </c>
      <c r="AR10" s="374">
        <f t="shared" si="1"/>
        <v>5</v>
      </c>
      <c r="AT10" s="336" t="e">
        <f t="shared" si="18"/>
        <v>#DIV/0!</v>
      </c>
      <c r="AU10" s="374" t="e">
        <f t="shared" si="19"/>
        <v>#DIV/0!</v>
      </c>
    </row>
    <row r="11" spans="2:47" ht="15.75" customHeight="1">
      <c r="B11" s="410" t="s">
        <v>931</v>
      </c>
      <c r="C11" s="410" t="e">
        <f>'④-1月別配置内訳書(2)-(2)-(A)'!AB13</f>
        <v>#DIV/0!</v>
      </c>
      <c r="D11" s="410" t="e">
        <f>'④-1月別配置内訳書(2)-(2)-(A)'!AD13</f>
        <v>#N/A</v>
      </c>
      <c r="E11" s="410" t="e">
        <f>'④-1月別配置内訳書(2)-(2)-(A)'!AE13</f>
        <v>#DIV/0!</v>
      </c>
      <c r="F11" s="424" t="e">
        <f t="shared" si="2"/>
        <v>#DIV/0!</v>
      </c>
      <c r="G11" s="425" t="e">
        <f>'④-1月別配置内訳書(2)-(2)-(A)'!AI13</f>
        <v>#DIV/0!</v>
      </c>
      <c r="H11" s="426" t="e">
        <f>'④-2月別配置内訳書(2)-(2)-(B)'!AF13-'④-2月別配置内訳書(2)-(2)-(B)'!AG13</f>
        <v>#DIV/0!</v>
      </c>
      <c r="I11" s="427" t="e">
        <f>'④-3月別配置内訳書(2)-(2)-(C)・(D)'!AB13-'④-3月別配置内訳書(2)-(2)-(C)・(D)'!AC13</f>
        <v>#DIV/0!</v>
      </c>
      <c r="J11" s="415" t="e">
        <f>'④-3月別配置内訳書(2)-(2)-(C)・(D)'!AF13</f>
        <v>#N/A</v>
      </c>
      <c r="K11" s="630" t="e">
        <f>'④-3月別配置内訳書(2)-(2)-(C)・(D)'!BF13</f>
        <v>#DIV/0!</v>
      </c>
      <c r="L11" s="428" t="e">
        <f t="shared" si="3"/>
        <v>#DIV/0!</v>
      </c>
      <c r="M11" s="427" t="e">
        <f>'④-４月別配置内訳書(2)-(2)-(E)'!V13</f>
        <v>#DIV/0!</v>
      </c>
      <c r="N11" s="415" t="e">
        <f t="shared" si="20"/>
        <v>#DIV/0!</v>
      </c>
      <c r="O11" s="429">
        <f t="shared" si="4"/>
        <v>4</v>
      </c>
      <c r="P11" s="430" t="e">
        <f t="shared" si="5"/>
        <v>#DIV/0!</v>
      </c>
      <c r="Q11" s="420" t="e">
        <f t="shared" si="6"/>
        <v>#DIV/0!</v>
      </c>
      <c r="R11" s="551" t="str">
        <f t="shared" si="25"/>
        <v/>
      </c>
      <c r="S11" s="551" t="str">
        <f t="shared" si="21"/>
        <v/>
      </c>
      <c r="T11" s="551" t="str">
        <f t="shared" si="21"/>
        <v/>
      </c>
      <c r="U11" s="552" t="str">
        <f t="shared" si="21"/>
        <v/>
      </c>
      <c r="V11" s="551" t="str">
        <f t="shared" si="21"/>
        <v/>
      </c>
      <c r="W11" s="551" t="str">
        <f t="shared" si="21"/>
        <v/>
      </c>
      <c r="X11" s="551" t="str">
        <f t="shared" si="21"/>
        <v/>
      </c>
      <c r="Y11" s="551" t="str">
        <f t="shared" si="21"/>
        <v/>
      </c>
      <c r="Z11" s="421">
        <f>①基本情報!J27</f>
        <v>0</v>
      </c>
      <c r="AA11" s="552" t="str">
        <f t="shared" si="22"/>
        <v/>
      </c>
      <c r="AB11" s="421">
        <f>SUM('③児童数及び職員定数 (2)-(1)'!C14:D14)</f>
        <v>0</v>
      </c>
      <c r="AC11" s="418">
        <f t="shared" si="9"/>
        <v>9</v>
      </c>
      <c r="AD11" s="431" t="e">
        <f t="shared" si="10"/>
        <v>#DIV/0!</v>
      </c>
      <c r="AE11" s="374" t="str">
        <f t="shared" si="0"/>
        <v>✕</v>
      </c>
      <c r="AG11" s="374">
        <f t="shared" si="11"/>
        <v>4</v>
      </c>
      <c r="AH11" s="374" t="str">
        <f t="shared" si="12"/>
        <v>✕</v>
      </c>
      <c r="AJ11" s="423" t="str">
        <f t="shared" si="13"/>
        <v/>
      </c>
      <c r="AK11" s="423" t="str">
        <f t="shared" si="23"/>
        <v/>
      </c>
      <c r="AL11" s="423" t="str">
        <f t="shared" si="14"/>
        <v>〇</v>
      </c>
      <c r="AM11" s="423" t="str">
        <f t="shared" si="24"/>
        <v/>
      </c>
      <c r="AO11" s="374" t="str">
        <f t="shared" si="15"/>
        <v>〇</v>
      </c>
      <c r="AP11" s="374" t="e">
        <f t="shared" si="16"/>
        <v>#DIV/0!</v>
      </c>
      <c r="AQ11" s="374" t="e">
        <f t="shared" si="17"/>
        <v>#DIV/0!</v>
      </c>
      <c r="AR11" s="374">
        <f t="shared" si="1"/>
        <v>5</v>
      </c>
      <c r="AT11" s="336" t="e">
        <f t="shared" si="18"/>
        <v>#DIV/0!</v>
      </c>
      <c r="AU11" s="374" t="e">
        <f t="shared" si="19"/>
        <v>#DIV/0!</v>
      </c>
    </row>
    <row r="12" spans="2:47" ht="15.75" customHeight="1">
      <c r="B12" s="410" t="s">
        <v>932</v>
      </c>
      <c r="C12" s="410" t="e">
        <f>'④-1月別配置内訳書(2)-(2)-(A)'!AB14</f>
        <v>#DIV/0!</v>
      </c>
      <c r="D12" s="410" t="e">
        <f>'④-1月別配置内訳書(2)-(2)-(A)'!AD14</f>
        <v>#N/A</v>
      </c>
      <c r="E12" s="410" t="e">
        <f>'④-1月別配置内訳書(2)-(2)-(A)'!AE14</f>
        <v>#DIV/0!</v>
      </c>
      <c r="F12" s="424" t="e">
        <f t="shared" si="2"/>
        <v>#DIV/0!</v>
      </c>
      <c r="G12" s="425" t="e">
        <f>'④-1月別配置内訳書(2)-(2)-(A)'!AI14</f>
        <v>#DIV/0!</v>
      </c>
      <c r="H12" s="426" t="e">
        <f>'④-2月別配置内訳書(2)-(2)-(B)'!AF14-'④-2月別配置内訳書(2)-(2)-(B)'!AG14</f>
        <v>#DIV/0!</v>
      </c>
      <c r="I12" s="427" t="e">
        <f>'④-3月別配置内訳書(2)-(2)-(C)・(D)'!AB14-'④-3月別配置内訳書(2)-(2)-(C)・(D)'!AC14</f>
        <v>#DIV/0!</v>
      </c>
      <c r="J12" s="415" t="e">
        <f>'④-3月別配置内訳書(2)-(2)-(C)・(D)'!AF14</f>
        <v>#N/A</v>
      </c>
      <c r="K12" s="630" t="e">
        <f>'④-3月別配置内訳書(2)-(2)-(C)・(D)'!BF14</f>
        <v>#DIV/0!</v>
      </c>
      <c r="L12" s="428" t="e">
        <f t="shared" si="3"/>
        <v>#DIV/0!</v>
      </c>
      <c r="M12" s="427" t="e">
        <f>'④-４月別配置内訳書(2)-(2)-(E)'!V14</f>
        <v>#DIV/0!</v>
      </c>
      <c r="N12" s="415" t="e">
        <f t="shared" si="20"/>
        <v>#DIV/0!</v>
      </c>
      <c r="O12" s="429">
        <f t="shared" si="4"/>
        <v>4</v>
      </c>
      <c r="P12" s="430" t="e">
        <f t="shared" si="5"/>
        <v>#DIV/0!</v>
      </c>
      <c r="Q12" s="420" t="e">
        <f t="shared" si="6"/>
        <v>#DIV/0!</v>
      </c>
      <c r="R12" s="551" t="str">
        <f t="shared" si="25"/>
        <v/>
      </c>
      <c r="S12" s="551" t="str">
        <f t="shared" si="21"/>
        <v/>
      </c>
      <c r="T12" s="551" t="str">
        <f t="shared" si="21"/>
        <v/>
      </c>
      <c r="U12" s="552" t="str">
        <f t="shared" si="21"/>
        <v/>
      </c>
      <c r="V12" s="551" t="str">
        <f t="shared" si="21"/>
        <v/>
      </c>
      <c r="W12" s="551" t="str">
        <f t="shared" si="21"/>
        <v/>
      </c>
      <c r="X12" s="551" t="str">
        <f t="shared" si="21"/>
        <v/>
      </c>
      <c r="Y12" s="551" t="str">
        <f t="shared" si="21"/>
        <v/>
      </c>
      <c r="Z12" s="421">
        <f>①基本情報!K27</f>
        <v>0</v>
      </c>
      <c r="AA12" s="552" t="str">
        <f t="shared" si="22"/>
        <v/>
      </c>
      <c r="AB12" s="421">
        <f>SUM('③児童数及び職員定数 (2)-(1)'!C15:D15)</f>
        <v>0</v>
      </c>
      <c r="AC12" s="418">
        <f t="shared" si="9"/>
        <v>9</v>
      </c>
      <c r="AD12" s="431" t="e">
        <f t="shared" si="10"/>
        <v>#DIV/0!</v>
      </c>
      <c r="AE12" s="374" t="str">
        <f t="shared" si="0"/>
        <v>✕</v>
      </c>
      <c r="AG12" s="374">
        <f t="shared" si="11"/>
        <v>4</v>
      </c>
      <c r="AH12" s="374" t="str">
        <f t="shared" si="12"/>
        <v>✕</v>
      </c>
      <c r="AJ12" s="423" t="str">
        <f t="shared" si="13"/>
        <v/>
      </c>
      <c r="AK12" s="423" t="str">
        <f t="shared" si="23"/>
        <v/>
      </c>
      <c r="AL12" s="423" t="str">
        <f t="shared" si="14"/>
        <v>〇</v>
      </c>
      <c r="AM12" s="423" t="str">
        <f t="shared" si="24"/>
        <v/>
      </c>
      <c r="AO12" s="374" t="str">
        <f t="shared" si="15"/>
        <v>〇</v>
      </c>
      <c r="AP12" s="374" t="e">
        <f t="shared" si="16"/>
        <v>#DIV/0!</v>
      </c>
      <c r="AQ12" s="374" t="e">
        <f t="shared" si="17"/>
        <v>#DIV/0!</v>
      </c>
      <c r="AR12" s="374">
        <f t="shared" si="1"/>
        <v>5</v>
      </c>
      <c r="AT12" s="336" t="e">
        <f t="shared" si="18"/>
        <v>#DIV/0!</v>
      </c>
      <c r="AU12" s="374" t="e">
        <f t="shared" si="19"/>
        <v>#DIV/0!</v>
      </c>
    </row>
    <row r="13" spans="2:47" ht="15.75" customHeight="1">
      <c r="B13" s="410" t="s">
        <v>933</v>
      </c>
      <c r="C13" s="410" t="e">
        <f>'④-1月別配置内訳書(2)-(2)-(A)'!AB15</f>
        <v>#DIV/0!</v>
      </c>
      <c r="D13" s="410" t="e">
        <f>'④-1月別配置内訳書(2)-(2)-(A)'!AD15</f>
        <v>#N/A</v>
      </c>
      <c r="E13" s="410" t="e">
        <f>'④-1月別配置内訳書(2)-(2)-(A)'!AE15</f>
        <v>#DIV/0!</v>
      </c>
      <c r="F13" s="424" t="e">
        <f t="shared" si="2"/>
        <v>#DIV/0!</v>
      </c>
      <c r="G13" s="425" t="e">
        <f>'④-1月別配置内訳書(2)-(2)-(A)'!AI15</f>
        <v>#DIV/0!</v>
      </c>
      <c r="H13" s="426" t="e">
        <f>'④-2月別配置内訳書(2)-(2)-(B)'!AF15-'④-2月別配置内訳書(2)-(2)-(B)'!AG15</f>
        <v>#DIV/0!</v>
      </c>
      <c r="I13" s="427" t="e">
        <f>'④-3月別配置内訳書(2)-(2)-(C)・(D)'!AB15-'④-3月別配置内訳書(2)-(2)-(C)・(D)'!AC15</f>
        <v>#DIV/0!</v>
      </c>
      <c r="J13" s="415" t="e">
        <f>'④-3月別配置内訳書(2)-(2)-(C)・(D)'!AF15</f>
        <v>#N/A</v>
      </c>
      <c r="K13" s="630" t="e">
        <f>'④-3月別配置内訳書(2)-(2)-(C)・(D)'!BF15</f>
        <v>#DIV/0!</v>
      </c>
      <c r="L13" s="428" t="e">
        <f t="shared" si="3"/>
        <v>#DIV/0!</v>
      </c>
      <c r="M13" s="427" t="e">
        <f>'④-４月別配置内訳書(2)-(2)-(E)'!V15</f>
        <v>#DIV/0!</v>
      </c>
      <c r="N13" s="415" t="e">
        <f t="shared" si="20"/>
        <v>#DIV/0!</v>
      </c>
      <c r="O13" s="429">
        <f t="shared" si="4"/>
        <v>4</v>
      </c>
      <c r="P13" s="430" t="e">
        <f t="shared" si="5"/>
        <v>#DIV/0!</v>
      </c>
      <c r="Q13" s="420" t="e">
        <f t="shared" si="6"/>
        <v>#DIV/0!</v>
      </c>
      <c r="R13" s="551" t="str">
        <f t="shared" si="25"/>
        <v/>
      </c>
      <c r="S13" s="551" t="str">
        <f t="shared" si="21"/>
        <v/>
      </c>
      <c r="T13" s="551" t="str">
        <f t="shared" si="21"/>
        <v/>
      </c>
      <c r="U13" s="552" t="str">
        <f t="shared" si="21"/>
        <v/>
      </c>
      <c r="V13" s="551" t="str">
        <f t="shared" si="21"/>
        <v/>
      </c>
      <c r="W13" s="551" t="str">
        <f t="shared" si="21"/>
        <v/>
      </c>
      <c r="X13" s="551" t="str">
        <f t="shared" si="21"/>
        <v/>
      </c>
      <c r="Y13" s="551" t="str">
        <f t="shared" si="21"/>
        <v/>
      </c>
      <c r="Z13" s="421">
        <f>①基本情報!L27</f>
        <v>0</v>
      </c>
      <c r="AA13" s="552" t="str">
        <f t="shared" si="22"/>
        <v/>
      </c>
      <c r="AB13" s="421">
        <f>SUM('③児童数及び職員定数 (2)-(1)'!C16:D16)</f>
        <v>0</v>
      </c>
      <c r="AC13" s="418">
        <f t="shared" si="9"/>
        <v>9</v>
      </c>
      <c r="AD13" s="431" t="e">
        <f t="shared" si="10"/>
        <v>#DIV/0!</v>
      </c>
      <c r="AE13" s="374" t="str">
        <f t="shared" si="0"/>
        <v>✕</v>
      </c>
      <c r="AG13" s="374">
        <f t="shared" si="11"/>
        <v>4</v>
      </c>
      <c r="AH13" s="374" t="str">
        <f t="shared" si="12"/>
        <v>✕</v>
      </c>
      <c r="AJ13" s="423" t="str">
        <f t="shared" si="13"/>
        <v/>
      </c>
      <c r="AK13" s="423" t="str">
        <f t="shared" si="23"/>
        <v/>
      </c>
      <c r="AL13" s="423" t="str">
        <f t="shared" si="14"/>
        <v>〇</v>
      </c>
      <c r="AM13" s="423" t="str">
        <f t="shared" si="24"/>
        <v/>
      </c>
      <c r="AO13" s="374" t="str">
        <f t="shared" si="15"/>
        <v>〇</v>
      </c>
      <c r="AP13" s="374" t="e">
        <f t="shared" si="16"/>
        <v>#DIV/0!</v>
      </c>
      <c r="AQ13" s="374" t="e">
        <f t="shared" si="17"/>
        <v>#DIV/0!</v>
      </c>
      <c r="AR13" s="374">
        <f t="shared" si="1"/>
        <v>5</v>
      </c>
      <c r="AT13" s="336" t="e">
        <f t="shared" si="18"/>
        <v>#DIV/0!</v>
      </c>
      <c r="AU13" s="374" t="e">
        <f t="shared" si="19"/>
        <v>#DIV/0!</v>
      </c>
    </row>
    <row r="14" spans="2:47" ht="15.75" customHeight="1">
      <c r="B14" s="410" t="s">
        <v>934</v>
      </c>
      <c r="C14" s="410" t="e">
        <f>'④-1月別配置内訳書(2)-(2)-(A)'!AB16</f>
        <v>#DIV/0!</v>
      </c>
      <c r="D14" s="410" t="e">
        <f>'④-1月別配置内訳書(2)-(2)-(A)'!AD16</f>
        <v>#N/A</v>
      </c>
      <c r="E14" s="410" t="e">
        <f>'④-1月別配置内訳書(2)-(2)-(A)'!AE16</f>
        <v>#DIV/0!</v>
      </c>
      <c r="F14" s="424" t="e">
        <f t="shared" si="2"/>
        <v>#DIV/0!</v>
      </c>
      <c r="G14" s="425" t="e">
        <f>'④-1月別配置内訳書(2)-(2)-(A)'!AI16</f>
        <v>#DIV/0!</v>
      </c>
      <c r="H14" s="426" t="e">
        <f>'④-2月別配置内訳書(2)-(2)-(B)'!AF16-'④-2月別配置内訳書(2)-(2)-(B)'!AG16</f>
        <v>#DIV/0!</v>
      </c>
      <c r="I14" s="427" t="e">
        <f>'④-3月別配置内訳書(2)-(2)-(C)・(D)'!AB16-'④-3月別配置内訳書(2)-(2)-(C)・(D)'!AC16</f>
        <v>#DIV/0!</v>
      </c>
      <c r="J14" s="415" t="e">
        <f>'④-3月別配置内訳書(2)-(2)-(C)・(D)'!AF16</f>
        <v>#N/A</v>
      </c>
      <c r="K14" s="630" t="e">
        <f>'④-3月別配置内訳書(2)-(2)-(C)・(D)'!BF16</f>
        <v>#DIV/0!</v>
      </c>
      <c r="L14" s="428" t="e">
        <f t="shared" si="3"/>
        <v>#DIV/0!</v>
      </c>
      <c r="M14" s="427" t="e">
        <f>'④-４月別配置内訳書(2)-(2)-(E)'!V16</f>
        <v>#DIV/0!</v>
      </c>
      <c r="N14" s="415" t="e">
        <f t="shared" si="20"/>
        <v>#DIV/0!</v>
      </c>
      <c r="O14" s="429">
        <f t="shared" si="4"/>
        <v>4</v>
      </c>
      <c r="P14" s="430" t="e">
        <f t="shared" si="5"/>
        <v>#DIV/0!</v>
      </c>
      <c r="Q14" s="420" t="e">
        <f t="shared" si="6"/>
        <v>#DIV/0!</v>
      </c>
      <c r="R14" s="551" t="str">
        <f t="shared" si="25"/>
        <v/>
      </c>
      <c r="S14" s="551" t="str">
        <f t="shared" si="21"/>
        <v/>
      </c>
      <c r="T14" s="551" t="str">
        <f t="shared" si="21"/>
        <v/>
      </c>
      <c r="U14" s="552" t="str">
        <f t="shared" si="21"/>
        <v/>
      </c>
      <c r="V14" s="551" t="str">
        <f t="shared" si="21"/>
        <v/>
      </c>
      <c r="W14" s="551" t="str">
        <f t="shared" si="21"/>
        <v/>
      </c>
      <c r="X14" s="551" t="str">
        <f t="shared" si="21"/>
        <v/>
      </c>
      <c r="Y14" s="551" t="str">
        <f t="shared" si="21"/>
        <v/>
      </c>
      <c r="Z14" s="421">
        <f>①基本情報!M27</f>
        <v>0</v>
      </c>
      <c r="AA14" s="552" t="str">
        <f t="shared" si="22"/>
        <v/>
      </c>
      <c r="AB14" s="421">
        <f>SUM('③児童数及び職員定数 (2)-(1)'!C17:D17)</f>
        <v>0</v>
      </c>
      <c r="AC14" s="418">
        <f t="shared" si="9"/>
        <v>9</v>
      </c>
      <c r="AD14" s="431" t="e">
        <f t="shared" si="10"/>
        <v>#DIV/0!</v>
      </c>
      <c r="AE14" s="374" t="str">
        <f t="shared" si="0"/>
        <v>✕</v>
      </c>
      <c r="AG14" s="374">
        <f t="shared" si="11"/>
        <v>4</v>
      </c>
      <c r="AH14" s="374" t="str">
        <f t="shared" si="12"/>
        <v>✕</v>
      </c>
      <c r="AJ14" s="423" t="str">
        <f t="shared" si="13"/>
        <v/>
      </c>
      <c r="AK14" s="423" t="str">
        <f t="shared" si="23"/>
        <v/>
      </c>
      <c r="AL14" s="423" t="str">
        <f t="shared" si="14"/>
        <v>〇</v>
      </c>
      <c r="AM14" s="423" t="str">
        <f t="shared" si="24"/>
        <v/>
      </c>
      <c r="AO14" s="374" t="str">
        <f t="shared" si="15"/>
        <v>〇</v>
      </c>
      <c r="AP14" s="374" t="e">
        <f t="shared" si="16"/>
        <v>#DIV/0!</v>
      </c>
      <c r="AQ14" s="374" t="e">
        <f t="shared" si="17"/>
        <v>#DIV/0!</v>
      </c>
      <c r="AR14" s="374">
        <f t="shared" si="1"/>
        <v>5</v>
      </c>
      <c r="AT14" s="336" t="e">
        <f t="shared" si="18"/>
        <v>#DIV/0!</v>
      </c>
      <c r="AU14" s="374" t="e">
        <f t="shared" si="19"/>
        <v>#DIV/0!</v>
      </c>
    </row>
    <row r="15" spans="2:47" ht="15.75" customHeight="1">
      <c r="B15" s="410" t="s">
        <v>935</v>
      </c>
      <c r="C15" s="410" t="e">
        <f>'④-1月別配置内訳書(2)-(2)-(A)'!AB17</f>
        <v>#DIV/0!</v>
      </c>
      <c r="D15" s="410" t="e">
        <f>'④-1月別配置内訳書(2)-(2)-(A)'!AD17</f>
        <v>#N/A</v>
      </c>
      <c r="E15" s="410" t="e">
        <f>'④-1月別配置内訳書(2)-(2)-(A)'!AE17</f>
        <v>#DIV/0!</v>
      </c>
      <c r="F15" s="424" t="e">
        <f t="shared" si="2"/>
        <v>#DIV/0!</v>
      </c>
      <c r="G15" s="425" t="e">
        <f>'④-1月別配置内訳書(2)-(2)-(A)'!AI17</f>
        <v>#DIV/0!</v>
      </c>
      <c r="H15" s="426" t="e">
        <f>'④-2月別配置内訳書(2)-(2)-(B)'!AF17-'④-2月別配置内訳書(2)-(2)-(B)'!AG17</f>
        <v>#DIV/0!</v>
      </c>
      <c r="I15" s="427" t="e">
        <f>'④-3月別配置内訳書(2)-(2)-(C)・(D)'!AB17-'④-3月別配置内訳書(2)-(2)-(C)・(D)'!AC17</f>
        <v>#DIV/0!</v>
      </c>
      <c r="J15" s="415" t="e">
        <f>'④-3月別配置内訳書(2)-(2)-(C)・(D)'!AF17</f>
        <v>#N/A</v>
      </c>
      <c r="K15" s="630" t="e">
        <f>'④-3月別配置内訳書(2)-(2)-(C)・(D)'!BF17</f>
        <v>#DIV/0!</v>
      </c>
      <c r="L15" s="428" t="e">
        <f t="shared" si="3"/>
        <v>#DIV/0!</v>
      </c>
      <c r="M15" s="427" t="e">
        <f>'④-４月別配置内訳書(2)-(2)-(E)'!V17</f>
        <v>#DIV/0!</v>
      </c>
      <c r="N15" s="415" t="e">
        <f t="shared" si="20"/>
        <v>#DIV/0!</v>
      </c>
      <c r="O15" s="429">
        <f t="shared" si="4"/>
        <v>4</v>
      </c>
      <c r="P15" s="430" t="e">
        <f t="shared" si="5"/>
        <v>#DIV/0!</v>
      </c>
      <c r="Q15" s="420" t="e">
        <f t="shared" si="6"/>
        <v>#DIV/0!</v>
      </c>
      <c r="R15" s="551" t="str">
        <f t="shared" si="25"/>
        <v/>
      </c>
      <c r="S15" s="551" t="str">
        <f t="shared" si="21"/>
        <v/>
      </c>
      <c r="T15" s="551" t="str">
        <f t="shared" si="21"/>
        <v/>
      </c>
      <c r="U15" s="552" t="str">
        <f t="shared" si="21"/>
        <v/>
      </c>
      <c r="V15" s="551" t="str">
        <f t="shared" si="21"/>
        <v/>
      </c>
      <c r="W15" s="551" t="str">
        <f t="shared" si="21"/>
        <v/>
      </c>
      <c r="X15" s="551" t="str">
        <f t="shared" si="21"/>
        <v/>
      </c>
      <c r="Y15" s="551" t="str">
        <f t="shared" si="21"/>
        <v/>
      </c>
      <c r="Z15" s="421">
        <f>①基本情報!N27</f>
        <v>0</v>
      </c>
      <c r="AA15" s="552" t="str">
        <f t="shared" si="22"/>
        <v/>
      </c>
      <c r="AB15" s="421">
        <f>SUM('③児童数及び職員定数 (2)-(1)'!C18:D18)</f>
        <v>0</v>
      </c>
      <c r="AC15" s="418">
        <f t="shared" si="9"/>
        <v>9</v>
      </c>
      <c r="AD15" s="431" t="e">
        <f t="shared" si="10"/>
        <v>#DIV/0!</v>
      </c>
      <c r="AE15" s="374" t="str">
        <f t="shared" si="0"/>
        <v>✕</v>
      </c>
      <c r="AG15" s="374">
        <f t="shared" si="11"/>
        <v>4</v>
      </c>
      <c r="AH15" s="374" t="str">
        <f t="shared" si="12"/>
        <v>✕</v>
      </c>
      <c r="AJ15" s="423" t="str">
        <f t="shared" si="13"/>
        <v/>
      </c>
      <c r="AK15" s="423" t="str">
        <f t="shared" si="23"/>
        <v/>
      </c>
      <c r="AL15" s="423" t="str">
        <f t="shared" si="14"/>
        <v>〇</v>
      </c>
      <c r="AM15" s="423" t="str">
        <f t="shared" si="24"/>
        <v/>
      </c>
      <c r="AO15" s="374" t="str">
        <f t="shared" si="15"/>
        <v>〇</v>
      </c>
      <c r="AP15" s="374" t="e">
        <f t="shared" si="16"/>
        <v>#DIV/0!</v>
      </c>
      <c r="AQ15" s="374" t="e">
        <f t="shared" si="17"/>
        <v>#DIV/0!</v>
      </c>
      <c r="AR15" s="374">
        <f t="shared" si="1"/>
        <v>5</v>
      </c>
      <c r="AT15" s="336" t="e">
        <f t="shared" si="18"/>
        <v>#DIV/0!</v>
      </c>
      <c r="AU15" s="374" t="e">
        <f t="shared" si="19"/>
        <v>#DIV/0!</v>
      </c>
    </row>
    <row r="16" spans="2:47" ht="15.75" customHeight="1">
      <c r="B16" s="410" t="s">
        <v>936</v>
      </c>
      <c r="C16" s="410" t="e">
        <f>'④-1月別配置内訳書(2)-(2)-(A)'!AB18</f>
        <v>#DIV/0!</v>
      </c>
      <c r="D16" s="410" t="e">
        <f>'④-1月別配置内訳書(2)-(2)-(A)'!AD18</f>
        <v>#N/A</v>
      </c>
      <c r="E16" s="410" t="e">
        <f>'④-1月別配置内訳書(2)-(2)-(A)'!AE18</f>
        <v>#DIV/0!</v>
      </c>
      <c r="F16" s="424" t="e">
        <f t="shared" si="2"/>
        <v>#DIV/0!</v>
      </c>
      <c r="G16" s="425" t="e">
        <f>'④-1月別配置内訳書(2)-(2)-(A)'!AI18</f>
        <v>#DIV/0!</v>
      </c>
      <c r="H16" s="426" t="e">
        <f>'④-2月別配置内訳書(2)-(2)-(B)'!AF18-'④-2月別配置内訳書(2)-(2)-(B)'!AG18</f>
        <v>#DIV/0!</v>
      </c>
      <c r="I16" s="427" t="e">
        <f>'④-3月別配置内訳書(2)-(2)-(C)・(D)'!AB18-'④-3月別配置内訳書(2)-(2)-(C)・(D)'!AC18</f>
        <v>#DIV/0!</v>
      </c>
      <c r="J16" s="415" t="e">
        <f>'④-3月別配置内訳書(2)-(2)-(C)・(D)'!AF18</f>
        <v>#N/A</v>
      </c>
      <c r="K16" s="630" t="e">
        <f>'④-3月別配置内訳書(2)-(2)-(C)・(D)'!BF18</f>
        <v>#DIV/0!</v>
      </c>
      <c r="L16" s="428" t="e">
        <f t="shared" si="3"/>
        <v>#DIV/0!</v>
      </c>
      <c r="M16" s="427" t="e">
        <f>'④-４月別配置内訳書(2)-(2)-(E)'!V18</f>
        <v>#DIV/0!</v>
      </c>
      <c r="N16" s="415" t="e">
        <f t="shared" si="20"/>
        <v>#DIV/0!</v>
      </c>
      <c r="O16" s="429">
        <f t="shared" si="4"/>
        <v>4</v>
      </c>
      <c r="P16" s="430" t="e">
        <f t="shared" si="5"/>
        <v>#DIV/0!</v>
      </c>
      <c r="Q16" s="420" t="e">
        <f t="shared" si="6"/>
        <v>#DIV/0!</v>
      </c>
      <c r="R16" s="551" t="str">
        <f t="shared" si="25"/>
        <v/>
      </c>
      <c r="S16" s="551" t="str">
        <f t="shared" si="21"/>
        <v/>
      </c>
      <c r="T16" s="551" t="str">
        <f t="shared" si="21"/>
        <v/>
      </c>
      <c r="U16" s="552" t="str">
        <f t="shared" si="21"/>
        <v/>
      </c>
      <c r="V16" s="551" t="str">
        <f t="shared" si="21"/>
        <v/>
      </c>
      <c r="W16" s="551" t="str">
        <f t="shared" si="21"/>
        <v/>
      </c>
      <c r="X16" s="551" t="str">
        <f t="shared" si="21"/>
        <v/>
      </c>
      <c r="Y16" s="551" t="str">
        <f t="shared" si="21"/>
        <v/>
      </c>
      <c r="Z16" s="421">
        <f>①基本情報!O27</f>
        <v>0</v>
      </c>
      <c r="AA16" s="552" t="str">
        <f t="shared" si="22"/>
        <v/>
      </c>
      <c r="AB16" s="421">
        <f>SUM('③児童数及び職員定数 (2)-(1)'!C19:D19)</f>
        <v>0</v>
      </c>
      <c r="AC16" s="418">
        <f t="shared" si="9"/>
        <v>9</v>
      </c>
      <c r="AD16" s="431" t="e">
        <f t="shared" si="10"/>
        <v>#DIV/0!</v>
      </c>
      <c r="AE16" s="374" t="str">
        <f t="shared" si="0"/>
        <v>✕</v>
      </c>
      <c r="AG16" s="374">
        <f t="shared" si="11"/>
        <v>4</v>
      </c>
      <c r="AH16" s="374" t="str">
        <f t="shared" si="12"/>
        <v>✕</v>
      </c>
      <c r="AJ16" s="423" t="str">
        <f t="shared" si="13"/>
        <v/>
      </c>
      <c r="AK16" s="423" t="str">
        <f t="shared" si="23"/>
        <v/>
      </c>
      <c r="AL16" s="423" t="str">
        <f t="shared" si="14"/>
        <v>〇</v>
      </c>
      <c r="AM16" s="423" t="str">
        <f t="shared" si="24"/>
        <v/>
      </c>
      <c r="AO16" s="374" t="str">
        <f t="shared" si="15"/>
        <v>〇</v>
      </c>
      <c r="AP16" s="374" t="e">
        <f t="shared" si="16"/>
        <v>#DIV/0!</v>
      </c>
      <c r="AQ16" s="374" t="e">
        <f t="shared" si="17"/>
        <v>#DIV/0!</v>
      </c>
      <c r="AR16" s="374">
        <f t="shared" si="1"/>
        <v>5</v>
      </c>
      <c r="AT16" s="336" t="e">
        <f t="shared" si="18"/>
        <v>#DIV/0!</v>
      </c>
      <c r="AU16" s="374" t="e">
        <f t="shared" si="19"/>
        <v>#DIV/0!</v>
      </c>
    </row>
    <row r="17" spans="2:47" ht="15.75" customHeight="1">
      <c r="B17" s="410" t="s">
        <v>937</v>
      </c>
      <c r="C17" s="410" t="e">
        <f>'④-1月別配置内訳書(2)-(2)-(A)'!AB19</f>
        <v>#DIV/0!</v>
      </c>
      <c r="D17" s="410" t="e">
        <f>'④-1月別配置内訳書(2)-(2)-(A)'!AD19</f>
        <v>#N/A</v>
      </c>
      <c r="E17" s="410" t="e">
        <f>'④-1月別配置内訳書(2)-(2)-(A)'!AE19</f>
        <v>#DIV/0!</v>
      </c>
      <c r="F17" s="424" t="e">
        <f t="shared" si="2"/>
        <v>#DIV/0!</v>
      </c>
      <c r="G17" s="425" t="e">
        <f>'④-1月別配置内訳書(2)-(2)-(A)'!AI19</f>
        <v>#DIV/0!</v>
      </c>
      <c r="H17" s="426" t="e">
        <f>'④-2月別配置内訳書(2)-(2)-(B)'!AF19-'④-2月別配置内訳書(2)-(2)-(B)'!AG19</f>
        <v>#DIV/0!</v>
      </c>
      <c r="I17" s="427" t="e">
        <f>'④-3月別配置内訳書(2)-(2)-(C)・(D)'!AB19-'④-3月別配置内訳書(2)-(2)-(C)・(D)'!AC19</f>
        <v>#DIV/0!</v>
      </c>
      <c r="J17" s="415" t="e">
        <f>'④-3月別配置内訳書(2)-(2)-(C)・(D)'!AF19</f>
        <v>#N/A</v>
      </c>
      <c r="K17" s="630" t="e">
        <f>'④-3月別配置内訳書(2)-(2)-(C)・(D)'!BF19</f>
        <v>#DIV/0!</v>
      </c>
      <c r="L17" s="428" t="e">
        <f t="shared" si="3"/>
        <v>#DIV/0!</v>
      </c>
      <c r="M17" s="427" t="e">
        <f>'④-４月別配置内訳書(2)-(2)-(E)'!V19</f>
        <v>#DIV/0!</v>
      </c>
      <c r="N17" s="415" t="e">
        <f t="shared" si="20"/>
        <v>#DIV/0!</v>
      </c>
      <c r="O17" s="429">
        <f t="shared" si="4"/>
        <v>4</v>
      </c>
      <c r="P17" s="430" t="e">
        <f t="shared" si="5"/>
        <v>#DIV/0!</v>
      </c>
      <c r="Q17" s="420" t="e">
        <f t="shared" si="6"/>
        <v>#DIV/0!</v>
      </c>
      <c r="R17" s="551" t="str">
        <f t="shared" si="25"/>
        <v/>
      </c>
      <c r="S17" s="551" t="str">
        <f t="shared" si="21"/>
        <v/>
      </c>
      <c r="T17" s="551" t="str">
        <f t="shared" si="21"/>
        <v/>
      </c>
      <c r="U17" s="552" t="str">
        <f t="shared" si="21"/>
        <v/>
      </c>
      <c r="V17" s="551" t="str">
        <f t="shared" si="21"/>
        <v/>
      </c>
      <c r="W17" s="551" t="str">
        <f t="shared" si="21"/>
        <v/>
      </c>
      <c r="X17" s="551" t="str">
        <f t="shared" si="21"/>
        <v/>
      </c>
      <c r="Y17" s="551" t="str">
        <f t="shared" si="21"/>
        <v/>
      </c>
      <c r="Z17" s="421">
        <f>①基本情報!P27</f>
        <v>0</v>
      </c>
      <c r="AA17" s="552" t="str">
        <f t="shared" si="22"/>
        <v/>
      </c>
      <c r="AB17" s="421">
        <f>SUM('③児童数及び職員定数 (2)-(1)'!C20:D20)</f>
        <v>0</v>
      </c>
      <c r="AC17" s="418">
        <f t="shared" si="9"/>
        <v>9</v>
      </c>
      <c r="AD17" s="431" t="e">
        <f t="shared" si="10"/>
        <v>#DIV/0!</v>
      </c>
      <c r="AE17" s="374" t="str">
        <f t="shared" si="0"/>
        <v>✕</v>
      </c>
      <c r="AG17" s="374">
        <f t="shared" si="11"/>
        <v>4</v>
      </c>
      <c r="AH17" s="374" t="str">
        <f t="shared" si="12"/>
        <v>✕</v>
      </c>
      <c r="AJ17" s="423" t="str">
        <f t="shared" si="13"/>
        <v/>
      </c>
      <c r="AK17" s="423" t="str">
        <f t="shared" si="23"/>
        <v/>
      </c>
      <c r="AL17" s="423" t="str">
        <f t="shared" si="14"/>
        <v>〇</v>
      </c>
      <c r="AM17" s="423" t="str">
        <f t="shared" si="24"/>
        <v/>
      </c>
      <c r="AO17" s="374" t="str">
        <f t="shared" si="15"/>
        <v>〇</v>
      </c>
      <c r="AP17" s="374" t="e">
        <f t="shared" si="16"/>
        <v>#DIV/0!</v>
      </c>
      <c r="AQ17" s="374" t="e">
        <f t="shared" si="17"/>
        <v>#DIV/0!</v>
      </c>
      <c r="AR17" s="374">
        <f t="shared" si="1"/>
        <v>5</v>
      </c>
      <c r="AT17" s="336" t="e">
        <f t="shared" si="18"/>
        <v>#DIV/0!</v>
      </c>
      <c r="AU17" s="374" t="e">
        <f t="shared" si="19"/>
        <v>#DIV/0!</v>
      </c>
    </row>
    <row r="18" spans="2:47" ht="15.75" customHeight="1" thickBot="1">
      <c r="B18" s="410" t="s">
        <v>938</v>
      </c>
      <c r="C18" s="410" t="e">
        <f>'④-1月別配置内訳書(2)-(2)-(A)'!AB20</f>
        <v>#DIV/0!</v>
      </c>
      <c r="D18" s="410" t="e">
        <f>'④-1月別配置内訳書(2)-(2)-(A)'!AD20</f>
        <v>#N/A</v>
      </c>
      <c r="E18" s="410" t="e">
        <f>'④-1月別配置内訳書(2)-(2)-(A)'!AE20</f>
        <v>#DIV/0!</v>
      </c>
      <c r="F18" s="437" t="e">
        <f t="shared" si="2"/>
        <v>#DIV/0!</v>
      </c>
      <c r="G18" s="438" t="e">
        <f>'④-1月別配置内訳書(2)-(2)-(A)'!AI20</f>
        <v>#DIV/0!</v>
      </c>
      <c r="H18" s="439" t="e">
        <f>'④-2月別配置内訳書(2)-(2)-(B)'!AF20-'④-2月別配置内訳書(2)-(2)-(B)'!AG20</f>
        <v>#DIV/0!</v>
      </c>
      <c r="I18" s="440" t="e">
        <f>'④-3月別配置内訳書(2)-(2)-(C)・(D)'!AB20-'④-3月別配置内訳書(2)-(2)-(C)・(D)'!AC20</f>
        <v>#DIV/0!</v>
      </c>
      <c r="J18" s="415" t="e">
        <f>'④-3月別配置内訳書(2)-(2)-(C)・(D)'!AF20</f>
        <v>#N/A</v>
      </c>
      <c r="K18" s="630" t="e">
        <f>'④-3月別配置内訳書(2)-(2)-(C)・(D)'!BF20</f>
        <v>#DIV/0!</v>
      </c>
      <c r="L18" s="441" t="e">
        <f t="shared" si="3"/>
        <v>#DIV/0!</v>
      </c>
      <c r="M18" s="440" t="e">
        <f>'④-４月別配置内訳書(2)-(2)-(E)'!V20</f>
        <v>#DIV/0!</v>
      </c>
      <c r="N18" s="415" t="e">
        <f t="shared" si="20"/>
        <v>#DIV/0!</v>
      </c>
      <c r="O18" s="429">
        <f t="shared" si="4"/>
        <v>4</v>
      </c>
      <c r="P18" s="442" t="e">
        <f t="shared" si="5"/>
        <v>#DIV/0!</v>
      </c>
      <c r="Q18" s="420" t="e">
        <f t="shared" si="6"/>
        <v>#DIV/0!</v>
      </c>
      <c r="R18" s="551" t="str">
        <f t="shared" si="25"/>
        <v/>
      </c>
      <c r="S18" s="551" t="str">
        <f t="shared" si="21"/>
        <v/>
      </c>
      <c r="T18" s="551" t="str">
        <f t="shared" si="21"/>
        <v/>
      </c>
      <c r="U18" s="552" t="str">
        <f t="shared" si="21"/>
        <v/>
      </c>
      <c r="V18" s="551" t="str">
        <f t="shared" si="21"/>
        <v/>
      </c>
      <c r="W18" s="551" t="str">
        <f t="shared" si="21"/>
        <v/>
      </c>
      <c r="X18" s="551" t="str">
        <f t="shared" si="21"/>
        <v/>
      </c>
      <c r="Y18" s="551" t="str">
        <f t="shared" si="21"/>
        <v/>
      </c>
      <c r="Z18" s="421">
        <f>①基本情報!Q27</f>
        <v>0</v>
      </c>
      <c r="AA18" s="552" t="str">
        <f t="shared" si="22"/>
        <v/>
      </c>
      <c r="AB18" s="421">
        <f>SUM('③児童数及び職員定数 (2)-(1)'!C21:D21)</f>
        <v>0</v>
      </c>
      <c r="AC18" s="418">
        <f t="shared" si="9"/>
        <v>9</v>
      </c>
      <c r="AD18" s="432" t="e">
        <f t="shared" si="10"/>
        <v>#DIV/0!</v>
      </c>
      <c r="AE18" s="374" t="str">
        <f t="shared" si="0"/>
        <v>✕</v>
      </c>
      <c r="AG18" s="374">
        <f t="shared" si="11"/>
        <v>4</v>
      </c>
      <c r="AH18" s="374" t="str">
        <f t="shared" si="12"/>
        <v>✕</v>
      </c>
      <c r="AJ18" s="423" t="str">
        <f t="shared" si="13"/>
        <v/>
      </c>
      <c r="AK18" s="423" t="str">
        <f t="shared" si="23"/>
        <v/>
      </c>
      <c r="AL18" s="423" t="str">
        <f t="shared" si="14"/>
        <v>〇</v>
      </c>
      <c r="AM18" s="423" t="str">
        <f>IF(AND(AJ18="〇",AK18="〇",AL18="〇"),"〇","")</f>
        <v/>
      </c>
      <c r="AO18" s="374" t="str">
        <f t="shared" si="15"/>
        <v>〇</v>
      </c>
      <c r="AP18" s="374" t="e">
        <f t="shared" si="16"/>
        <v>#DIV/0!</v>
      </c>
      <c r="AQ18" s="374" t="e">
        <f t="shared" si="17"/>
        <v>#DIV/0!</v>
      </c>
      <c r="AR18" s="374">
        <f t="shared" si="1"/>
        <v>5</v>
      </c>
      <c r="AT18" s="336" t="e">
        <f t="shared" si="18"/>
        <v>#DIV/0!</v>
      </c>
      <c r="AU18" s="374" t="e">
        <f t="shared" si="19"/>
        <v>#DIV/0!</v>
      </c>
    </row>
    <row r="19" spans="2:47" ht="16.5" customHeight="1" thickTop="1">
      <c r="B19" s="433" t="s">
        <v>995</v>
      </c>
      <c r="C19" s="433" t="e">
        <f>精算書!D23</f>
        <v>#N/A</v>
      </c>
      <c r="D19" s="433"/>
      <c r="E19" s="433"/>
      <c r="F19" s="433"/>
      <c r="G19" s="433"/>
      <c r="H19" s="433"/>
      <c r="I19" s="433"/>
      <c r="J19" s="433"/>
      <c r="K19" s="434"/>
      <c r="L19" s="433"/>
      <c r="M19" s="433"/>
      <c r="N19" s="433"/>
      <c r="O19" s="433"/>
      <c r="P19" s="433"/>
      <c r="Q19" s="433"/>
      <c r="R19" s="435">
        <f>ROUNDDOWN(R$5*R$29-R$30*(個別データ!$HO$3-10000),-3)</f>
        <v>0</v>
      </c>
      <c r="S19" s="435">
        <f>ROUNDDOWN(S$5*S$29-S$30*(個別データ!$HO$3-10000),-3)</f>
        <v>0</v>
      </c>
      <c r="T19" s="435">
        <f>ROUNDDOWN(T$5*T$29-T$30*(個別データ!$HO$3-10000),-3)</f>
        <v>0</v>
      </c>
      <c r="U19" s="435">
        <f>ROUNDDOWN(U$5*U$29-U$30*(個別データ!$HO$3-10000),-3)</f>
        <v>0</v>
      </c>
      <c r="V19" s="435">
        <f>ROUNDDOWN(V$5*V$29-V$30*(個別データ!$HO$3-10000),-3)</f>
        <v>0</v>
      </c>
      <c r="W19" s="435">
        <f>ROUNDDOWN(W$5*W$29-W$30*(個別データ!$HO$3-10000),-3)</f>
        <v>0</v>
      </c>
      <c r="X19" s="435">
        <f>ROUNDDOWN(X$5*X$29-X$30*(個別データ!$HO$3-10000),-3)</f>
        <v>0</v>
      </c>
      <c r="Y19" s="435">
        <f>ROUNDDOWN(Y$5*Y$29-Y$30*(個別データ!$HO$3-10000),-3)</f>
        <v>0</v>
      </c>
      <c r="Z19" s="435"/>
      <c r="AA19" s="435">
        <f>ROUNDDOWN(AA$5*AA$29-AA$30*(個別データ!$HO$3-10000),-3)</f>
        <v>0</v>
      </c>
      <c r="AB19" s="435"/>
      <c r="AC19" s="435"/>
      <c r="AD19" s="435"/>
      <c r="AJ19" s="436"/>
      <c r="AK19" s="436"/>
      <c r="AL19" s="436"/>
      <c r="AM19" s="436"/>
    </row>
    <row r="20" spans="2:47" ht="16.5" customHeight="1">
      <c r="B20" s="433"/>
      <c r="C20" s="433"/>
      <c r="D20" s="433"/>
      <c r="E20" s="433"/>
      <c r="F20" s="433"/>
      <c r="G20" s="433"/>
      <c r="H20" s="433"/>
      <c r="I20" s="433"/>
      <c r="J20" s="433"/>
      <c r="K20" s="434"/>
      <c r="L20" s="433"/>
      <c r="M20" s="433"/>
      <c r="N20" s="433"/>
      <c r="O20" s="433"/>
      <c r="P20" s="433"/>
      <c r="Q20" s="433"/>
      <c r="R20" s="435">
        <f>様式１!J22</f>
        <v>0</v>
      </c>
      <c r="S20" s="435">
        <f>様式１!J23</f>
        <v>0</v>
      </c>
      <c r="T20" s="435">
        <f>様式１!J24</f>
        <v>0</v>
      </c>
      <c r="U20" s="435">
        <f>様式１!J25</f>
        <v>0</v>
      </c>
      <c r="V20" s="435">
        <f>様式１!J26</f>
        <v>0</v>
      </c>
      <c r="W20" s="435">
        <f>様式１!J27</f>
        <v>0</v>
      </c>
      <c r="X20" s="435"/>
      <c r="Y20" s="435"/>
      <c r="Z20" s="435"/>
      <c r="AA20" s="435">
        <f>様式１!J28</f>
        <v>0</v>
      </c>
      <c r="AB20" s="435"/>
      <c r="AC20" s="435"/>
      <c r="AD20" s="435"/>
      <c r="AJ20" s="436"/>
      <c r="AK20" s="436"/>
      <c r="AL20" s="436"/>
      <c r="AM20" s="436"/>
    </row>
    <row r="21" spans="2:47" ht="15" customHeight="1">
      <c r="R21" s="374" t="str">
        <f>IF(R19=R20,"〇","✕")</f>
        <v>〇</v>
      </c>
      <c r="S21" s="374" t="str">
        <f t="shared" ref="S21:V21" si="26">IF(S19=S20,"〇","✕")</f>
        <v>〇</v>
      </c>
      <c r="T21" s="374" t="str">
        <f t="shared" si="26"/>
        <v>〇</v>
      </c>
      <c r="U21" s="374" t="str">
        <f t="shared" si="26"/>
        <v>〇</v>
      </c>
      <c r="V21" s="374" t="str">
        <f t="shared" si="26"/>
        <v>〇</v>
      </c>
      <c r="W21" s="374" t="str">
        <f>IF(SUM(W19:Y19)=W20,"〇","✕")</f>
        <v>〇</v>
      </c>
      <c r="AA21" s="374" t="str">
        <f t="shared" ref="AA21" si="27">IF(AA19=AA20,"〇","✕")</f>
        <v>〇</v>
      </c>
    </row>
    <row r="22" spans="2:47" ht="16.5" customHeight="1">
      <c r="AJ22" s="436"/>
      <c r="AK22" s="436"/>
      <c r="AL22" s="436"/>
      <c r="AM22" s="436"/>
    </row>
    <row r="23" spans="2:47" ht="16.5" customHeight="1">
      <c r="P23" s="564"/>
      <c r="Q23" s="564"/>
      <c r="R23" s="564"/>
      <c r="S23" s="564" t="s">
        <v>915</v>
      </c>
      <c r="T23" s="564"/>
      <c r="U23" s="564"/>
      <c r="V23" s="564"/>
      <c r="W23" s="564"/>
      <c r="X23" s="564"/>
      <c r="Y23" s="564"/>
      <c r="Z23" s="564"/>
      <c r="AA23" s="564"/>
      <c r="AJ23" s="436"/>
      <c r="AK23" s="436"/>
      <c r="AL23" s="436"/>
      <c r="AM23" s="436"/>
    </row>
    <row r="24" spans="2:47">
      <c r="P24" s="564"/>
      <c r="Q24" s="564"/>
      <c r="R24" s="564"/>
      <c r="S24" s="564" t="s">
        <v>916</v>
      </c>
      <c r="T24" s="564"/>
      <c r="U24" s="564"/>
      <c r="V24" s="564"/>
      <c r="W24" s="564"/>
      <c r="X24" s="564"/>
      <c r="Y24" s="564"/>
      <c r="Z24" s="564"/>
      <c r="AA24" s="564"/>
    </row>
    <row r="25" spans="2:47">
      <c r="P25" s="564"/>
      <c r="Q25" s="564"/>
      <c r="R25" s="564"/>
      <c r="S25" s="564" t="s">
        <v>917</v>
      </c>
      <c r="T25" s="564"/>
      <c r="U25" s="564"/>
      <c r="V25" s="564"/>
      <c r="W25" s="564"/>
      <c r="X25" s="564"/>
      <c r="Y25" s="564"/>
      <c r="Z25" s="564"/>
      <c r="AA25" s="564"/>
    </row>
    <row r="26" spans="2:47">
      <c r="P26" s="564"/>
      <c r="Q26" s="564"/>
      <c r="R26" s="564"/>
      <c r="S26" s="564" t="s">
        <v>940</v>
      </c>
      <c r="T26" s="564"/>
      <c r="U26" s="564"/>
      <c r="V26" s="564"/>
      <c r="W26" s="564"/>
      <c r="X26" s="564"/>
      <c r="Y26" s="564"/>
      <c r="Z26" s="564"/>
      <c r="AA26" s="564"/>
    </row>
    <row r="27" spans="2:47">
      <c r="P27" s="564"/>
      <c r="Q27" s="564"/>
      <c r="R27" s="564"/>
      <c r="S27" s="564" t="s">
        <v>941</v>
      </c>
      <c r="T27" s="564"/>
      <c r="U27" s="564"/>
      <c r="V27" s="564"/>
      <c r="W27" s="564"/>
      <c r="X27" s="564"/>
      <c r="Y27" s="564"/>
      <c r="Z27" s="564"/>
      <c r="AA27" s="564"/>
    </row>
    <row r="28" spans="2:47">
      <c r="P28" s="564"/>
      <c r="Q28" s="564"/>
      <c r="R28" s="564"/>
      <c r="S28" s="564"/>
      <c r="T28" s="564"/>
      <c r="U28" s="564"/>
      <c r="V28" s="564"/>
      <c r="W28" s="564"/>
      <c r="X28" s="564"/>
      <c r="Y28" s="564"/>
      <c r="Z28" s="564"/>
      <c r="AA28" s="564"/>
    </row>
    <row r="29" spans="2:47">
      <c r="P29" s="564" t="s">
        <v>993</v>
      </c>
      <c r="Q29" s="564"/>
      <c r="R29" s="564">
        <f>COUNTA(R7:R18)-COUNTBLANK(R8:R18)</f>
        <v>0</v>
      </c>
      <c r="S29" s="564">
        <f t="shared" ref="S29:AA29" si="28">COUNTA(S7:S18)-COUNTBLANK(S8:S18)</f>
        <v>0</v>
      </c>
      <c r="T29" s="564">
        <f t="shared" si="28"/>
        <v>0</v>
      </c>
      <c r="U29" s="564">
        <f t="shared" si="28"/>
        <v>0</v>
      </c>
      <c r="V29" s="564">
        <f t="shared" si="28"/>
        <v>0</v>
      </c>
      <c r="W29" s="564">
        <f t="shared" si="28"/>
        <v>0</v>
      </c>
      <c r="X29" s="564">
        <f t="shared" si="28"/>
        <v>0</v>
      </c>
      <c r="Y29" s="564">
        <f t="shared" si="28"/>
        <v>0</v>
      </c>
      <c r="Z29" s="564"/>
      <c r="AA29" s="564">
        <f t="shared" si="28"/>
        <v>0</v>
      </c>
    </row>
    <row r="30" spans="2:47">
      <c r="P30" s="564" t="s">
        <v>584</v>
      </c>
      <c r="Q30" s="564"/>
      <c r="R30" s="564">
        <f>COUNTIF(R7:R18,"調理員等")</f>
        <v>0</v>
      </c>
      <c r="S30" s="564"/>
      <c r="T30" s="564"/>
      <c r="U30" s="564">
        <f t="shared" ref="U30:V30" si="29">COUNTIF(U7:U18,"調理員等")</f>
        <v>0</v>
      </c>
      <c r="V30" s="564">
        <f t="shared" si="29"/>
        <v>0</v>
      </c>
      <c r="W30" s="564"/>
      <c r="X30" s="564"/>
      <c r="Y30" s="564"/>
      <c r="Z30" s="564"/>
      <c r="AA30" s="564"/>
    </row>
  </sheetData>
  <sheetProtection sheet="1" objects="1" scenarios="1" insertColumns="0"/>
  <dataConsolidate/>
  <mergeCells count="37">
    <mergeCell ref="AC2:AC6"/>
    <mergeCell ref="AD2:AD6"/>
    <mergeCell ref="X3:X4"/>
    <mergeCell ref="Y3:Y4"/>
    <mergeCell ref="AA3:AA4"/>
    <mergeCell ref="P2:P4"/>
    <mergeCell ref="N3:N4"/>
    <mergeCell ref="O3:O4"/>
    <mergeCell ref="W3:W4"/>
    <mergeCell ref="R3:R4"/>
    <mergeCell ref="S3:S4"/>
    <mergeCell ref="T3:T4"/>
    <mergeCell ref="U3:U4"/>
    <mergeCell ref="V3:V4"/>
    <mergeCell ref="Q2:Q4"/>
    <mergeCell ref="E3:E4"/>
    <mergeCell ref="G3:G4"/>
    <mergeCell ref="H3:H4"/>
    <mergeCell ref="I3:I4"/>
    <mergeCell ref="J3:J4"/>
    <mergeCell ref="F3:F4"/>
    <mergeCell ref="B5:Q5"/>
    <mergeCell ref="B6:Q6"/>
    <mergeCell ref="AM4:AM6"/>
    <mergeCell ref="AJ5:AJ6"/>
    <mergeCell ref="AK5:AK6"/>
    <mergeCell ref="AL5:AL6"/>
    <mergeCell ref="B2:B4"/>
    <mergeCell ref="C2:G2"/>
    <mergeCell ref="H2:I2"/>
    <mergeCell ref="J2:L2"/>
    <mergeCell ref="M2:M4"/>
    <mergeCell ref="K3:K4"/>
    <mergeCell ref="L3:L4"/>
    <mergeCell ref="R2:AA2"/>
    <mergeCell ref="C3:C4"/>
    <mergeCell ref="D3:D4"/>
  </mergeCells>
  <phoneticPr fontId="1"/>
  <conditionalFormatting sqref="C19">
    <cfRule type="expression" dxfId="105" priority="38">
      <formula>$C$19&lt;0</formula>
    </cfRule>
  </conditionalFormatting>
  <conditionalFormatting sqref="C20">
    <cfRule type="cellIs" dxfId="104" priority="24" operator="equal">
      <formula>"×"</formula>
    </cfRule>
  </conditionalFormatting>
  <conditionalFormatting sqref="R7:R18 R19:Y20">
    <cfRule type="expression" dxfId="103" priority="9">
      <formula>AM7="〇"</formula>
    </cfRule>
  </conditionalFormatting>
  <conditionalFormatting sqref="R7:R18">
    <cfRule type="expression" dxfId="102" priority="8">
      <formula>AQ7="✕"</formula>
    </cfRule>
  </conditionalFormatting>
  <conditionalFormatting sqref="S7:T18 V7:V18">
    <cfRule type="expression" dxfId="101" priority="7">
      <formula>AQ7="✕"</formula>
    </cfRule>
  </conditionalFormatting>
  <conditionalFormatting sqref="U7:U18">
    <cfRule type="expression" dxfId="100" priority="6">
      <formula>AO7="〇"</formula>
    </cfRule>
  </conditionalFormatting>
  <conditionalFormatting sqref="W7:W18">
    <cfRule type="expression" dxfId="99" priority="13">
      <formula>$Z7&gt;0</formula>
    </cfRule>
    <cfRule type="expression" dxfId="98" priority="14">
      <formula>AQ7="×"</formula>
    </cfRule>
    <cfRule type="expression" dxfId="97" priority="15">
      <formula>AM7="〇"</formula>
    </cfRule>
  </conditionalFormatting>
  <conditionalFormatting sqref="X7:X18">
    <cfRule type="expression" dxfId="96" priority="16">
      <formula>$Z7&gt;1</formula>
    </cfRule>
    <cfRule type="expression" dxfId="95" priority="17">
      <formula>AQ7="✕"</formula>
    </cfRule>
    <cfRule type="expression" dxfId="94" priority="18">
      <formula>AM7="〇"</formula>
    </cfRule>
  </conditionalFormatting>
  <conditionalFormatting sqref="Y7:Y18">
    <cfRule type="expression" dxfId="93" priority="10">
      <formula>$Z7&gt;2</formula>
    </cfRule>
    <cfRule type="expression" dxfId="92" priority="11">
      <formula>AQ7="×"</formula>
    </cfRule>
    <cfRule type="expression" dxfId="91" priority="12">
      <formula>AM7="〇"</formula>
    </cfRule>
  </conditionalFormatting>
  <conditionalFormatting sqref="AA7:AA18">
    <cfRule type="expression" dxfId="90" priority="4">
      <formula>$AB7&gt;35</formula>
    </cfRule>
    <cfRule type="expression" dxfId="89" priority="5">
      <formula>AY7="✕"</formula>
    </cfRule>
  </conditionalFormatting>
  <conditionalFormatting sqref="AA19:AA20">
    <cfRule type="expression" dxfId="88" priority="1">
      <formula>AV19="〇"</formula>
    </cfRule>
  </conditionalFormatting>
  <conditionalFormatting sqref="AE7:AE18">
    <cfRule type="containsText" dxfId="87" priority="37" operator="containsText" text="✕">
      <formula>NOT(ISERROR(SEARCH("✕",AE7)))</formula>
    </cfRule>
  </conditionalFormatting>
  <dataValidations count="1">
    <dataValidation type="list" allowBlank="1" showInputMessage="1" showErrorMessage="1" sqref="R7:Y18 AA7:AA18" xr:uid="{5E594C5A-7F28-431D-8039-5D951A8D691A}">
      <formula1>$S$23:$S$27</formula1>
    </dataValidation>
  </dataValidations>
  <pageMargins left="0.7" right="0.7" top="0.75" bottom="0.75" header="0.3" footer="0.3"/>
  <pageSetup paperSize="9" scale="45"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72318-C1CC-4B26-ABC1-F4778C34C9EC}">
  <dimension ref="A1:K27"/>
  <sheetViews>
    <sheetView view="pageBreakPreview" zoomScaleNormal="85" zoomScaleSheetLayoutView="100" workbookViewId="0">
      <selection activeCell="L1" sqref="L1"/>
    </sheetView>
  </sheetViews>
  <sheetFormatPr defaultRowHeight="19.5"/>
  <cols>
    <col min="1" max="1" width="5.08203125" style="443" customWidth="1"/>
    <col min="2" max="3" width="9" style="443"/>
    <col min="4" max="4" width="5.08203125" style="443" customWidth="1"/>
    <col min="5" max="10" width="9" style="443"/>
    <col min="11" max="11" width="8.25" style="443" customWidth="1"/>
    <col min="12" max="16" width="9" style="443"/>
    <col min="17" max="16384" width="8.6640625" style="443"/>
  </cols>
  <sheetData>
    <row r="1" spans="1:11" ht="39.75" customHeight="1">
      <c r="A1" s="690" t="s">
        <v>946</v>
      </c>
      <c r="B1" s="690"/>
      <c r="C1" s="690"/>
      <c r="D1" s="690"/>
      <c r="E1" s="690"/>
      <c r="F1" s="690"/>
      <c r="G1" s="690"/>
      <c r="H1" s="690"/>
      <c r="I1" s="690"/>
      <c r="J1" s="690"/>
      <c r="K1" s="690"/>
    </row>
    <row r="2" spans="1:11" ht="20.149999999999999" customHeight="1">
      <c r="A2" s="444"/>
      <c r="B2" s="444"/>
      <c r="C2" s="444"/>
      <c r="D2" s="444"/>
      <c r="E2" s="444"/>
      <c r="F2" s="444"/>
      <c r="G2" s="444"/>
      <c r="H2" s="445"/>
      <c r="I2" s="691" t="s">
        <v>1494</v>
      </c>
      <c r="J2" s="691"/>
      <c r="K2" s="691"/>
    </row>
    <row r="3" spans="1:11" ht="33.75" customHeight="1">
      <c r="A3" s="692" t="s">
        <v>344</v>
      </c>
      <c r="B3" s="692"/>
      <c r="C3" s="692"/>
      <c r="D3" s="692"/>
      <c r="E3" s="692"/>
      <c r="F3" s="692"/>
      <c r="G3" s="444"/>
      <c r="H3" s="444"/>
      <c r="I3" s="444"/>
      <c r="J3" s="444"/>
      <c r="K3" s="444"/>
    </row>
    <row r="4" spans="1:11" ht="5.15" customHeight="1">
      <c r="A4" s="444"/>
      <c r="B4" s="444"/>
      <c r="C4" s="444"/>
      <c r="D4" s="444"/>
      <c r="E4" s="444"/>
      <c r="F4" s="444"/>
      <c r="G4" s="444"/>
      <c r="H4" s="444"/>
      <c r="I4" s="444"/>
      <c r="J4" s="444"/>
      <c r="K4" s="444"/>
    </row>
    <row r="5" spans="1:11" ht="20.149999999999999" customHeight="1">
      <c r="A5" s="446"/>
      <c r="B5" s="447"/>
      <c r="C5" s="444" t="s">
        <v>962</v>
      </c>
      <c r="D5" s="444"/>
      <c r="E5" s="444"/>
      <c r="F5" s="444"/>
      <c r="G5" s="444"/>
      <c r="H5" s="444"/>
      <c r="I5" s="444"/>
      <c r="J5" s="444"/>
      <c r="K5" s="444"/>
    </row>
    <row r="6" spans="1:11" ht="5.15" customHeight="1">
      <c r="A6" s="444"/>
      <c r="B6" s="444"/>
      <c r="C6" s="444"/>
      <c r="D6" s="444"/>
      <c r="E6" s="444"/>
      <c r="F6" s="444"/>
      <c r="G6" s="444"/>
      <c r="H6" s="444"/>
      <c r="I6" s="444"/>
      <c r="J6" s="444"/>
      <c r="K6" s="444"/>
    </row>
    <row r="7" spans="1:11" ht="20.149999999999999" customHeight="1">
      <c r="A7" s="448"/>
      <c r="B7" s="449"/>
      <c r="C7" s="693" t="s">
        <v>963</v>
      </c>
      <c r="D7" s="693"/>
      <c r="E7" s="693"/>
      <c r="F7" s="693"/>
      <c r="G7" s="693"/>
      <c r="H7" s="693"/>
      <c r="I7" s="693"/>
      <c r="J7" s="693"/>
      <c r="K7" s="693"/>
    </row>
    <row r="8" spans="1:11" ht="51.75" customHeight="1">
      <c r="A8" s="444"/>
      <c r="B8" s="444"/>
      <c r="C8" s="693"/>
      <c r="D8" s="693"/>
      <c r="E8" s="693"/>
      <c r="F8" s="693"/>
      <c r="G8" s="693"/>
      <c r="H8" s="693"/>
      <c r="I8" s="693"/>
      <c r="J8" s="693"/>
      <c r="K8" s="693"/>
    </row>
    <row r="9" spans="1:11" ht="28.5" customHeight="1">
      <c r="A9" s="694" t="s">
        <v>964</v>
      </c>
      <c r="B9" s="694"/>
      <c r="C9" s="694"/>
      <c r="D9" s="694"/>
      <c r="E9" s="694"/>
      <c r="F9" s="694"/>
      <c r="G9" s="694"/>
      <c r="H9" s="694"/>
      <c r="I9" s="694"/>
      <c r="J9" s="694"/>
      <c r="K9" s="444"/>
    </row>
    <row r="10" spans="1:11" ht="23" customHeight="1">
      <c r="A10" s="695" t="s">
        <v>1553</v>
      </c>
      <c r="B10" s="695"/>
      <c r="C10" s="695"/>
      <c r="D10" s="695"/>
      <c r="E10" s="695"/>
      <c r="F10" s="695"/>
      <c r="G10" s="695"/>
      <c r="H10" s="695"/>
      <c r="I10" s="695"/>
      <c r="J10" s="695"/>
      <c r="K10" s="695"/>
    </row>
    <row r="11" spans="1:11" ht="30.75" customHeight="1">
      <c r="A11" s="692" t="s">
        <v>965</v>
      </c>
      <c r="B11" s="692"/>
      <c r="C11" s="692"/>
      <c r="D11" s="692"/>
      <c r="E11" s="692"/>
      <c r="F11" s="692"/>
      <c r="G11" s="444"/>
      <c r="H11" s="444"/>
      <c r="I11" s="444"/>
      <c r="J11" s="444"/>
      <c r="K11" s="444"/>
    </row>
    <row r="12" spans="1:11" ht="51.75" customHeight="1">
      <c r="A12" s="698" t="s">
        <v>966</v>
      </c>
      <c r="B12" s="698"/>
      <c r="C12" s="698"/>
      <c r="D12" s="698"/>
      <c r="E12" s="698"/>
      <c r="F12" s="698"/>
      <c r="G12" s="698"/>
      <c r="H12" s="698"/>
      <c r="I12" s="698"/>
      <c r="J12" s="698"/>
      <c r="K12" s="698"/>
    </row>
    <row r="13" spans="1:11" ht="33.75" customHeight="1">
      <c r="A13" s="692" t="s">
        <v>967</v>
      </c>
      <c r="B13" s="692"/>
      <c r="C13" s="692"/>
      <c r="D13" s="692"/>
      <c r="E13" s="692"/>
      <c r="F13" s="692"/>
      <c r="G13" s="444"/>
      <c r="H13" s="444"/>
      <c r="I13" s="444"/>
      <c r="J13" s="444"/>
      <c r="K13" s="444"/>
    </row>
    <row r="14" spans="1:11" ht="20.149999999999999" customHeight="1">
      <c r="A14" s="699" t="s">
        <v>1495</v>
      </c>
      <c r="B14" s="699"/>
      <c r="C14" s="699"/>
      <c r="D14" s="699"/>
      <c r="E14" s="699"/>
      <c r="F14" s="699"/>
      <c r="G14" s="450" t="s">
        <v>346</v>
      </c>
      <c r="H14" s="700" t="s">
        <v>348</v>
      </c>
      <c r="I14" s="701"/>
      <c r="J14" s="701"/>
      <c r="K14" s="701"/>
    </row>
    <row r="15" spans="1:11" ht="37" customHeight="1">
      <c r="A15" s="702" t="s">
        <v>1496</v>
      </c>
      <c r="B15" s="702"/>
      <c r="C15" s="702"/>
      <c r="D15" s="702"/>
      <c r="E15" s="702"/>
      <c r="F15" s="702"/>
      <c r="G15" s="702"/>
      <c r="H15" s="702"/>
      <c r="I15" s="702"/>
      <c r="J15" s="702"/>
      <c r="K15" s="702"/>
    </row>
    <row r="16" spans="1:11" ht="8.25" customHeight="1">
      <c r="A16" s="444"/>
      <c r="B16" s="444"/>
      <c r="C16" s="444"/>
      <c r="D16" s="444"/>
      <c r="E16" s="444"/>
      <c r="F16" s="444"/>
      <c r="G16" s="444"/>
      <c r="H16" s="444"/>
      <c r="I16" s="444"/>
      <c r="J16" s="444"/>
      <c r="K16" s="444"/>
    </row>
    <row r="17" spans="1:11" ht="21.75" customHeight="1">
      <c r="A17" s="444"/>
      <c r="B17" s="444"/>
      <c r="C17" s="696" t="s">
        <v>1119</v>
      </c>
      <c r="D17" s="696"/>
      <c r="E17" s="696"/>
      <c r="F17" s="696"/>
      <c r="G17" s="696"/>
      <c r="H17" s="696"/>
      <c r="I17" s="696"/>
      <c r="J17" s="696"/>
      <c r="K17" s="696"/>
    </row>
    <row r="18" spans="1:11" ht="21.75" customHeight="1">
      <c r="A18" s="444"/>
      <c r="B18" s="444"/>
      <c r="C18" s="696" t="s">
        <v>1120</v>
      </c>
      <c r="D18" s="696"/>
      <c r="E18" s="696"/>
      <c r="F18" s="696"/>
      <c r="G18" s="696"/>
      <c r="H18" s="696"/>
      <c r="I18" s="696"/>
      <c r="J18" s="696"/>
      <c r="K18" s="696"/>
    </row>
    <row r="19" spans="1:11" ht="21.75" customHeight="1">
      <c r="A19" s="444"/>
      <c r="B19" s="444"/>
      <c r="C19" s="444" t="s">
        <v>1551</v>
      </c>
      <c r="D19" s="444"/>
      <c r="E19" s="444"/>
      <c r="F19" s="444"/>
      <c r="G19" s="444"/>
      <c r="H19" s="451"/>
      <c r="I19" s="451"/>
      <c r="J19" s="451"/>
      <c r="K19" s="444"/>
    </row>
    <row r="20" spans="1:11" ht="21.75" customHeight="1">
      <c r="A20" s="444"/>
      <c r="B20" s="444"/>
      <c r="C20" s="696" t="s">
        <v>347</v>
      </c>
      <c r="D20" s="696"/>
      <c r="E20" s="696"/>
      <c r="F20" s="696"/>
      <c r="G20" s="696"/>
      <c r="H20" s="696"/>
      <c r="I20" s="696"/>
      <c r="J20" s="696"/>
      <c r="K20" s="696"/>
    </row>
    <row r="21" spans="1:11" ht="21.75" customHeight="1">
      <c r="A21" s="444"/>
      <c r="B21" s="444"/>
      <c r="C21" s="452" t="s">
        <v>349</v>
      </c>
      <c r="D21" s="697" t="s">
        <v>348</v>
      </c>
      <c r="E21" s="697"/>
      <c r="F21" s="697"/>
      <c r="G21" s="697"/>
      <c r="H21" s="697"/>
      <c r="I21" s="697"/>
      <c r="J21" s="697"/>
      <c r="K21" s="697"/>
    </row>
    <row r="22" spans="1:11" ht="21.75" customHeight="1">
      <c r="A22" s="444"/>
      <c r="B22" s="444"/>
      <c r="D22" s="444"/>
      <c r="E22" s="444"/>
      <c r="F22" s="444"/>
      <c r="G22" s="444"/>
      <c r="H22" s="444"/>
      <c r="I22" s="444"/>
      <c r="J22" s="444"/>
      <c r="K22" s="444"/>
    </row>
    <row r="23" spans="1:11" ht="21.75" customHeight="1"/>
    <row r="24" spans="1:11" ht="20.149999999999999" customHeight="1"/>
    <row r="25" spans="1:11" ht="20.149999999999999" customHeight="1"/>
    <row r="26" spans="1:11" ht="20.149999999999999" customHeight="1"/>
    <row r="27" spans="1:11" ht="20.149999999999999" customHeight="1"/>
  </sheetData>
  <sheetProtection algorithmName="SHA-512" hashValue="Qov3vbLVB5kxf9vIttue/q9I+iayg1EHK7xkXZmltnFvQXBzY1Jnip5BuVADAUvkmdcGI9TO2en+Dkhz5c9S3A==" saltValue="nEUGZeS/QdM16qNqByehjA==" spinCount="100000" sheet="1" objects="1" scenarios="1" selectLockedCells="1"/>
  <mergeCells count="16">
    <mergeCell ref="A10:K10"/>
    <mergeCell ref="C18:K18"/>
    <mergeCell ref="C20:K20"/>
    <mergeCell ref="D21:K21"/>
    <mergeCell ref="C17:K17"/>
    <mergeCell ref="A11:F11"/>
    <mergeCell ref="A12:K12"/>
    <mergeCell ref="A13:F13"/>
    <mergeCell ref="A14:F14"/>
    <mergeCell ref="H14:K14"/>
    <mergeCell ref="A15:K15"/>
    <mergeCell ref="A1:K1"/>
    <mergeCell ref="I2:K2"/>
    <mergeCell ref="A3:F3"/>
    <mergeCell ref="C7:K8"/>
    <mergeCell ref="A9:J9"/>
  </mergeCells>
  <phoneticPr fontId="1"/>
  <hyperlinks>
    <hyperlink ref="H14" r:id="rId1" xr:uid="{C189D1FD-0270-4E83-972C-857C2A4B5DAE}"/>
    <hyperlink ref="D21" r:id="rId2" xr:uid="{05B316C1-33BD-4DF1-870C-2B707159ACCF}"/>
  </hyperlinks>
  <printOptions horizontalCentered="1"/>
  <pageMargins left="0.59055118110236227" right="0.59055118110236227" top="0.98425196850393704" bottom="0.98425196850393704" header="0.51181102362204722" footer="0.51181102362204722"/>
  <pageSetup paperSize="9" scale="91" orientation="portrait" r:id="rId3"/>
  <headerFooter alignWithMargins="0"/>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82B96-2F28-4400-A152-CEB4C78D0D7D}">
  <dimension ref="A1:K35"/>
  <sheetViews>
    <sheetView view="pageBreakPreview" zoomScaleNormal="85" zoomScaleSheetLayoutView="100" workbookViewId="0">
      <selection activeCell="M3" sqref="M3"/>
    </sheetView>
  </sheetViews>
  <sheetFormatPr defaultRowHeight="16.5"/>
  <cols>
    <col min="1" max="1" width="5.08203125" style="120" customWidth="1"/>
    <col min="2" max="3" width="9" style="120"/>
    <col min="4" max="4" width="5.08203125" style="120" customWidth="1"/>
    <col min="5" max="10" width="9" style="120"/>
    <col min="11" max="11" width="8.25" style="120" customWidth="1"/>
    <col min="12" max="256" width="9" style="120"/>
    <col min="257" max="257" width="5.08203125" style="120" customWidth="1"/>
    <col min="258" max="259" width="9" style="120"/>
    <col min="260" max="260" width="5.08203125" style="120" customWidth="1"/>
    <col min="261" max="266" width="9" style="120"/>
    <col min="267" max="267" width="8.25" style="120" customWidth="1"/>
    <col min="268" max="512" width="9" style="120"/>
    <col min="513" max="513" width="5.08203125" style="120" customWidth="1"/>
    <col min="514" max="515" width="9" style="120"/>
    <col min="516" max="516" width="5.08203125" style="120" customWidth="1"/>
    <col min="517" max="522" width="9" style="120"/>
    <col min="523" max="523" width="8.25" style="120" customWidth="1"/>
    <col min="524" max="768" width="9" style="120"/>
    <col min="769" max="769" width="5.08203125" style="120" customWidth="1"/>
    <col min="770" max="771" width="9" style="120"/>
    <col min="772" max="772" width="5.08203125" style="120" customWidth="1"/>
    <col min="773" max="778" width="9" style="120"/>
    <col min="779" max="779" width="8.25" style="120" customWidth="1"/>
    <col min="780" max="1024" width="9" style="120"/>
    <col min="1025" max="1025" width="5.08203125" style="120" customWidth="1"/>
    <col min="1026" max="1027" width="9" style="120"/>
    <col min="1028" max="1028" width="5.08203125" style="120" customWidth="1"/>
    <col min="1029" max="1034" width="9" style="120"/>
    <col min="1035" max="1035" width="8.25" style="120" customWidth="1"/>
    <col min="1036" max="1280" width="9" style="120"/>
    <col min="1281" max="1281" width="5.08203125" style="120" customWidth="1"/>
    <col min="1282" max="1283" width="9" style="120"/>
    <col min="1284" max="1284" width="5.08203125" style="120" customWidth="1"/>
    <col min="1285" max="1290" width="9" style="120"/>
    <col min="1291" max="1291" width="8.25" style="120" customWidth="1"/>
    <col min="1292" max="1536" width="9" style="120"/>
    <col min="1537" max="1537" width="5.08203125" style="120" customWidth="1"/>
    <col min="1538" max="1539" width="9" style="120"/>
    <col min="1540" max="1540" width="5.08203125" style="120" customWidth="1"/>
    <col min="1541" max="1546" width="9" style="120"/>
    <col min="1547" max="1547" width="8.25" style="120" customWidth="1"/>
    <col min="1548" max="1792" width="9" style="120"/>
    <col min="1793" max="1793" width="5.08203125" style="120" customWidth="1"/>
    <col min="1794" max="1795" width="9" style="120"/>
    <col min="1796" max="1796" width="5.08203125" style="120" customWidth="1"/>
    <col min="1797" max="1802" width="9" style="120"/>
    <col min="1803" max="1803" width="8.25" style="120" customWidth="1"/>
    <col min="1804" max="2048" width="9" style="120"/>
    <col min="2049" max="2049" width="5.08203125" style="120" customWidth="1"/>
    <col min="2050" max="2051" width="9" style="120"/>
    <col min="2052" max="2052" width="5.08203125" style="120" customWidth="1"/>
    <col min="2053" max="2058" width="9" style="120"/>
    <col min="2059" max="2059" width="8.25" style="120" customWidth="1"/>
    <col min="2060" max="2304" width="9" style="120"/>
    <col min="2305" max="2305" width="5.08203125" style="120" customWidth="1"/>
    <col min="2306" max="2307" width="9" style="120"/>
    <col min="2308" max="2308" width="5.08203125" style="120" customWidth="1"/>
    <col min="2309" max="2314" width="9" style="120"/>
    <col min="2315" max="2315" width="8.25" style="120" customWidth="1"/>
    <col min="2316" max="2560" width="9" style="120"/>
    <col min="2561" max="2561" width="5.08203125" style="120" customWidth="1"/>
    <col min="2562" max="2563" width="9" style="120"/>
    <col min="2564" max="2564" width="5.08203125" style="120" customWidth="1"/>
    <col min="2565" max="2570" width="9" style="120"/>
    <col min="2571" max="2571" width="8.25" style="120" customWidth="1"/>
    <col min="2572" max="2816" width="9" style="120"/>
    <col min="2817" max="2817" width="5.08203125" style="120" customWidth="1"/>
    <col min="2818" max="2819" width="9" style="120"/>
    <col min="2820" max="2820" width="5.08203125" style="120" customWidth="1"/>
    <col min="2821" max="2826" width="9" style="120"/>
    <col min="2827" max="2827" width="8.25" style="120" customWidth="1"/>
    <col min="2828" max="3072" width="9" style="120"/>
    <col min="3073" max="3073" width="5.08203125" style="120" customWidth="1"/>
    <col min="3074" max="3075" width="9" style="120"/>
    <col min="3076" max="3076" width="5.08203125" style="120" customWidth="1"/>
    <col min="3077" max="3082" width="9" style="120"/>
    <col min="3083" max="3083" width="8.25" style="120" customWidth="1"/>
    <col min="3084" max="3328" width="9" style="120"/>
    <col min="3329" max="3329" width="5.08203125" style="120" customWidth="1"/>
    <col min="3330" max="3331" width="9" style="120"/>
    <col min="3332" max="3332" width="5.08203125" style="120" customWidth="1"/>
    <col min="3333" max="3338" width="9" style="120"/>
    <col min="3339" max="3339" width="8.25" style="120" customWidth="1"/>
    <col min="3340" max="3584" width="9" style="120"/>
    <col min="3585" max="3585" width="5.08203125" style="120" customWidth="1"/>
    <col min="3586" max="3587" width="9" style="120"/>
    <col min="3588" max="3588" width="5.08203125" style="120" customWidth="1"/>
    <col min="3589" max="3594" width="9" style="120"/>
    <col min="3595" max="3595" width="8.25" style="120" customWidth="1"/>
    <col min="3596" max="3840" width="9" style="120"/>
    <col min="3841" max="3841" width="5.08203125" style="120" customWidth="1"/>
    <col min="3842" max="3843" width="9" style="120"/>
    <col min="3844" max="3844" width="5.08203125" style="120" customWidth="1"/>
    <col min="3845" max="3850" width="9" style="120"/>
    <col min="3851" max="3851" width="8.25" style="120" customWidth="1"/>
    <col min="3852" max="4096" width="9" style="120"/>
    <col min="4097" max="4097" width="5.08203125" style="120" customWidth="1"/>
    <col min="4098" max="4099" width="9" style="120"/>
    <col min="4100" max="4100" width="5.08203125" style="120" customWidth="1"/>
    <col min="4101" max="4106" width="9" style="120"/>
    <col min="4107" max="4107" width="8.25" style="120" customWidth="1"/>
    <col min="4108" max="4352" width="9" style="120"/>
    <col min="4353" max="4353" width="5.08203125" style="120" customWidth="1"/>
    <col min="4354" max="4355" width="9" style="120"/>
    <col min="4356" max="4356" width="5.08203125" style="120" customWidth="1"/>
    <col min="4357" max="4362" width="9" style="120"/>
    <col min="4363" max="4363" width="8.25" style="120" customWidth="1"/>
    <col min="4364" max="4608" width="9" style="120"/>
    <col min="4609" max="4609" width="5.08203125" style="120" customWidth="1"/>
    <col min="4610" max="4611" width="9" style="120"/>
    <col min="4612" max="4612" width="5.08203125" style="120" customWidth="1"/>
    <col min="4613" max="4618" width="9" style="120"/>
    <col min="4619" max="4619" width="8.25" style="120" customWidth="1"/>
    <col min="4620" max="4864" width="9" style="120"/>
    <col min="4865" max="4865" width="5.08203125" style="120" customWidth="1"/>
    <col min="4866" max="4867" width="9" style="120"/>
    <col min="4868" max="4868" width="5.08203125" style="120" customWidth="1"/>
    <col min="4869" max="4874" width="9" style="120"/>
    <col min="4875" max="4875" width="8.25" style="120" customWidth="1"/>
    <col min="4876" max="5120" width="9" style="120"/>
    <col min="5121" max="5121" width="5.08203125" style="120" customWidth="1"/>
    <col min="5122" max="5123" width="9" style="120"/>
    <col min="5124" max="5124" width="5.08203125" style="120" customWidth="1"/>
    <col min="5125" max="5130" width="9" style="120"/>
    <col min="5131" max="5131" width="8.25" style="120" customWidth="1"/>
    <col min="5132" max="5376" width="9" style="120"/>
    <col min="5377" max="5377" width="5.08203125" style="120" customWidth="1"/>
    <col min="5378" max="5379" width="9" style="120"/>
    <col min="5380" max="5380" width="5.08203125" style="120" customWidth="1"/>
    <col min="5381" max="5386" width="9" style="120"/>
    <col min="5387" max="5387" width="8.25" style="120" customWidth="1"/>
    <col min="5388" max="5632" width="9" style="120"/>
    <col min="5633" max="5633" width="5.08203125" style="120" customWidth="1"/>
    <col min="5634" max="5635" width="9" style="120"/>
    <col min="5636" max="5636" width="5.08203125" style="120" customWidth="1"/>
    <col min="5637" max="5642" width="9" style="120"/>
    <col min="5643" max="5643" width="8.25" style="120" customWidth="1"/>
    <col min="5644" max="5888" width="9" style="120"/>
    <col min="5889" max="5889" width="5.08203125" style="120" customWidth="1"/>
    <col min="5890" max="5891" width="9" style="120"/>
    <col min="5892" max="5892" width="5.08203125" style="120" customWidth="1"/>
    <col min="5893" max="5898" width="9" style="120"/>
    <col min="5899" max="5899" width="8.25" style="120" customWidth="1"/>
    <col min="5900" max="6144" width="9" style="120"/>
    <col min="6145" max="6145" width="5.08203125" style="120" customWidth="1"/>
    <col min="6146" max="6147" width="9" style="120"/>
    <col min="6148" max="6148" width="5.08203125" style="120" customWidth="1"/>
    <col min="6149" max="6154" width="9" style="120"/>
    <col min="6155" max="6155" width="8.25" style="120" customWidth="1"/>
    <col min="6156" max="6400" width="9" style="120"/>
    <col min="6401" max="6401" width="5.08203125" style="120" customWidth="1"/>
    <col min="6402" max="6403" width="9" style="120"/>
    <col min="6404" max="6404" width="5.08203125" style="120" customWidth="1"/>
    <col min="6405" max="6410" width="9" style="120"/>
    <col min="6411" max="6411" width="8.25" style="120" customWidth="1"/>
    <col min="6412" max="6656" width="9" style="120"/>
    <col min="6657" max="6657" width="5.08203125" style="120" customWidth="1"/>
    <col min="6658" max="6659" width="9" style="120"/>
    <col min="6660" max="6660" width="5.08203125" style="120" customWidth="1"/>
    <col min="6661" max="6666" width="9" style="120"/>
    <col min="6667" max="6667" width="8.25" style="120" customWidth="1"/>
    <col min="6668" max="6912" width="9" style="120"/>
    <col min="6913" max="6913" width="5.08203125" style="120" customWidth="1"/>
    <col min="6914" max="6915" width="9" style="120"/>
    <col min="6916" max="6916" width="5.08203125" style="120" customWidth="1"/>
    <col min="6917" max="6922" width="9" style="120"/>
    <col min="6923" max="6923" width="8.25" style="120" customWidth="1"/>
    <col min="6924" max="7168" width="9" style="120"/>
    <col min="7169" max="7169" width="5.08203125" style="120" customWidth="1"/>
    <col min="7170" max="7171" width="9" style="120"/>
    <col min="7172" max="7172" width="5.08203125" style="120" customWidth="1"/>
    <col min="7173" max="7178" width="9" style="120"/>
    <col min="7179" max="7179" width="8.25" style="120" customWidth="1"/>
    <col min="7180" max="7424" width="9" style="120"/>
    <col min="7425" max="7425" width="5.08203125" style="120" customWidth="1"/>
    <col min="7426" max="7427" width="9" style="120"/>
    <col min="7428" max="7428" width="5.08203125" style="120" customWidth="1"/>
    <col min="7429" max="7434" width="9" style="120"/>
    <col min="7435" max="7435" width="8.25" style="120" customWidth="1"/>
    <col min="7436" max="7680" width="9" style="120"/>
    <col min="7681" max="7681" width="5.08203125" style="120" customWidth="1"/>
    <col min="7682" max="7683" width="9" style="120"/>
    <col min="7684" max="7684" width="5.08203125" style="120" customWidth="1"/>
    <col min="7685" max="7690" width="9" style="120"/>
    <col min="7691" max="7691" width="8.25" style="120" customWidth="1"/>
    <col min="7692" max="7936" width="9" style="120"/>
    <col min="7937" max="7937" width="5.08203125" style="120" customWidth="1"/>
    <col min="7938" max="7939" width="9" style="120"/>
    <col min="7940" max="7940" width="5.08203125" style="120" customWidth="1"/>
    <col min="7941" max="7946" width="9" style="120"/>
    <col min="7947" max="7947" width="8.25" style="120" customWidth="1"/>
    <col min="7948" max="8192" width="9" style="120"/>
    <col min="8193" max="8193" width="5.08203125" style="120" customWidth="1"/>
    <col min="8194" max="8195" width="9" style="120"/>
    <col min="8196" max="8196" width="5.08203125" style="120" customWidth="1"/>
    <col min="8197" max="8202" width="9" style="120"/>
    <col min="8203" max="8203" width="8.25" style="120" customWidth="1"/>
    <col min="8204" max="8448" width="9" style="120"/>
    <col min="8449" max="8449" width="5.08203125" style="120" customWidth="1"/>
    <col min="8450" max="8451" width="9" style="120"/>
    <col min="8452" max="8452" width="5.08203125" style="120" customWidth="1"/>
    <col min="8453" max="8458" width="9" style="120"/>
    <col min="8459" max="8459" width="8.25" style="120" customWidth="1"/>
    <col min="8460" max="8704" width="9" style="120"/>
    <col min="8705" max="8705" width="5.08203125" style="120" customWidth="1"/>
    <col min="8706" max="8707" width="9" style="120"/>
    <col min="8708" max="8708" width="5.08203125" style="120" customWidth="1"/>
    <col min="8709" max="8714" width="9" style="120"/>
    <col min="8715" max="8715" width="8.25" style="120" customWidth="1"/>
    <col min="8716" max="8960" width="9" style="120"/>
    <col min="8961" max="8961" width="5.08203125" style="120" customWidth="1"/>
    <col min="8962" max="8963" width="9" style="120"/>
    <col min="8964" max="8964" width="5.08203125" style="120" customWidth="1"/>
    <col min="8965" max="8970" width="9" style="120"/>
    <col min="8971" max="8971" width="8.25" style="120" customWidth="1"/>
    <col min="8972" max="9216" width="9" style="120"/>
    <col min="9217" max="9217" width="5.08203125" style="120" customWidth="1"/>
    <col min="9218" max="9219" width="9" style="120"/>
    <col min="9220" max="9220" width="5.08203125" style="120" customWidth="1"/>
    <col min="9221" max="9226" width="9" style="120"/>
    <col min="9227" max="9227" width="8.25" style="120" customWidth="1"/>
    <col min="9228" max="9472" width="9" style="120"/>
    <col min="9473" max="9473" width="5.08203125" style="120" customWidth="1"/>
    <col min="9474" max="9475" width="9" style="120"/>
    <col min="9476" max="9476" width="5.08203125" style="120" customWidth="1"/>
    <col min="9477" max="9482" width="9" style="120"/>
    <col min="9483" max="9483" width="8.25" style="120" customWidth="1"/>
    <col min="9484" max="9728" width="9" style="120"/>
    <col min="9729" max="9729" width="5.08203125" style="120" customWidth="1"/>
    <col min="9730" max="9731" width="9" style="120"/>
    <col min="9732" max="9732" width="5.08203125" style="120" customWidth="1"/>
    <col min="9733" max="9738" width="9" style="120"/>
    <col min="9739" max="9739" width="8.25" style="120" customWidth="1"/>
    <col min="9740" max="9984" width="9" style="120"/>
    <col min="9985" max="9985" width="5.08203125" style="120" customWidth="1"/>
    <col min="9986" max="9987" width="9" style="120"/>
    <col min="9988" max="9988" width="5.08203125" style="120" customWidth="1"/>
    <col min="9989" max="9994" width="9" style="120"/>
    <col min="9995" max="9995" width="8.25" style="120" customWidth="1"/>
    <col min="9996" max="10240" width="9" style="120"/>
    <col min="10241" max="10241" width="5.08203125" style="120" customWidth="1"/>
    <col min="10242" max="10243" width="9" style="120"/>
    <col min="10244" max="10244" width="5.08203125" style="120" customWidth="1"/>
    <col min="10245" max="10250" width="9" style="120"/>
    <col min="10251" max="10251" width="8.25" style="120" customWidth="1"/>
    <col min="10252" max="10496" width="9" style="120"/>
    <col min="10497" max="10497" width="5.08203125" style="120" customWidth="1"/>
    <col min="10498" max="10499" width="9" style="120"/>
    <col min="10500" max="10500" width="5.08203125" style="120" customWidth="1"/>
    <col min="10501" max="10506" width="9" style="120"/>
    <col min="10507" max="10507" width="8.25" style="120" customWidth="1"/>
    <col min="10508" max="10752" width="9" style="120"/>
    <col min="10753" max="10753" width="5.08203125" style="120" customWidth="1"/>
    <col min="10754" max="10755" width="9" style="120"/>
    <col min="10756" max="10756" width="5.08203125" style="120" customWidth="1"/>
    <col min="10757" max="10762" width="9" style="120"/>
    <col min="10763" max="10763" width="8.25" style="120" customWidth="1"/>
    <col min="10764" max="11008" width="9" style="120"/>
    <col min="11009" max="11009" width="5.08203125" style="120" customWidth="1"/>
    <col min="11010" max="11011" width="9" style="120"/>
    <col min="11012" max="11012" width="5.08203125" style="120" customWidth="1"/>
    <col min="11013" max="11018" width="9" style="120"/>
    <col min="11019" max="11019" width="8.25" style="120" customWidth="1"/>
    <col min="11020" max="11264" width="9" style="120"/>
    <col min="11265" max="11265" width="5.08203125" style="120" customWidth="1"/>
    <col min="11266" max="11267" width="9" style="120"/>
    <col min="11268" max="11268" width="5.08203125" style="120" customWidth="1"/>
    <col min="11269" max="11274" width="9" style="120"/>
    <col min="11275" max="11275" width="8.25" style="120" customWidth="1"/>
    <col min="11276" max="11520" width="9" style="120"/>
    <col min="11521" max="11521" width="5.08203125" style="120" customWidth="1"/>
    <col min="11522" max="11523" width="9" style="120"/>
    <col min="11524" max="11524" width="5.08203125" style="120" customWidth="1"/>
    <col min="11525" max="11530" width="9" style="120"/>
    <col min="11531" max="11531" width="8.25" style="120" customWidth="1"/>
    <col min="11532" max="11776" width="9" style="120"/>
    <col min="11777" max="11777" width="5.08203125" style="120" customWidth="1"/>
    <col min="11778" max="11779" width="9" style="120"/>
    <col min="11780" max="11780" width="5.08203125" style="120" customWidth="1"/>
    <col min="11781" max="11786" width="9" style="120"/>
    <col min="11787" max="11787" width="8.25" style="120" customWidth="1"/>
    <col min="11788" max="12032" width="9" style="120"/>
    <col min="12033" max="12033" width="5.08203125" style="120" customWidth="1"/>
    <col min="12034" max="12035" width="9" style="120"/>
    <col min="12036" max="12036" width="5.08203125" style="120" customWidth="1"/>
    <col min="12037" max="12042" width="9" style="120"/>
    <col min="12043" max="12043" width="8.25" style="120" customWidth="1"/>
    <col min="12044" max="12288" width="9" style="120"/>
    <col min="12289" max="12289" width="5.08203125" style="120" customWidth="1"/>
    <col min="12290" max="12291" width="9" style="120"/>
    <col min="12292" max="12292" width="5.08203125" style="120" customWidth="1"/>
    <col min="12293" max="12298" width="9" style="120"/>
    <col min="12299" max="12299" width="8.25" style="120" customWidth="1"/>
    <col min="12300" max="12544" width="9" style="120"/>
    <col min="12545" max="12545" width="5.08203125" style="120" customWidth="1"/>
    <col min="12546" max="12547" width="9" style="120"/>
    <col min="12548" max="12548" width="5.08203125" style="120" customWidth="1"/>
    <col min="12549" max="12554" width="9" style="120"/>
    <col min="12555" max="12555" width="8.25" style="120" customWidth="1"/>
    <col min="12556" max="12800" width="9" style="120"/>
    <col min="12801" max="12801" width="5.08203125" style="120" customWidth="1"/>
    <col min="12802" max="12803" width="9" style="120"/>
    <col min="12804" max="12804" width="5.08203125" style="120" customWidth="1"/>
    <col min="12805" max="12810" width="9" style="120"/>
    <col min="12811" max="12811" width="8.25" style="120" customWidth="1"/>
    <col min="12812" max="13056" width="9" style="120"/>
    <col min="13057" max="13057" width="5.08203125" style="120" customWidth="1"/>
    <col min="13058" max="13059" width="9" style="120"/>
    <col min="13060" max="13060" width="5.08203125" style="120" customWidth="1"/>
    <col min="13061" max="13066" width="9" style="120"/>
    <col min="13067" max="13067" width="8.25" style="120" customWidth="1"/>
    <col min="13068" max="13312" width="9" style="120"/>
    <col min="13313" max="13313" width="5.08203125" style="120" customWidth="1"/>
    <col min="13314" max="13315" width="9" style="120"/>
    <col min="13316" max="13316" width="5.08203125" style="120" customWidth="1"/>
    <col min="13317" max="13322" width="9" style="120"/>
    <col min="13323" max="13323" width="8.25" style="120" customWidth="1"/>
    <col min="13324" max="13568" width="9" style="120"/>
    <col min="13569" max="13569" width="5.08203125" style="120" customWidth="1"/>
    <col min="13570" max="13571" width="9" style="120"/>
    <col min="13572" max="13572" width="5.08203125" style="120" customWidth="1"/>
    <col min="13573" max="13578" width="9" style="120"/>
    <col min="13579" max="13579" width="8.25" style="120" customWidth="1"/>
    <col min="13580" max="13824" width="9" style="120"/>
    <col min="13825" max="13825" width="5.08203125" style="120" customWidth="1"/>
    <col min="13826" max="13827" width="9" style="120"/>
    <col min="13828" max="13828" width="5.08203125" style="120" customWidth="1"/>
    <col min="13829" max="13834" width="9" style="120"/>
    <col min="13835" max="13835" width="8.25" style="120" customWidth="1"/>
    <col min="13836" max="14080" width="9" style="120"/>
    <col min="14081" max="14081" width="5.08203125" style="120" customWidth="1"/>
    <col min="14082" max="14083" width="9" style="120"/>
    <col min="14084" max="14084" width="5.08203125" style="120" customWidth="1"/>
    <col min="14085" max="14090" width="9" style="120"/>
    <col min="14091" max="14091" width="8.25" style="120" customWidth="1"/>
    <col min="14092" max="14336" width="9" style="120"/>
    <col min="14337" max="14337" width="5.08203125" style="120" customWidth="1"/>
    <col min="14338" max="14339" width="9" style="120"/>
    <col min="14340" max="14340" width="5.08203125" style="120" customWidth="1"/>
    <col min="14341" max="14346" width="9" style="120"/>
    <col min="14347" max="14347" width="8.25" style="120" customWidth="1"/>
    <col min="14348" max="14592" width="9" style="120"/>
    <col min="14593" max="14593" width="5.08203125" style="120" customWidth="1"/>
    <col min="14594" max="14595" width="9" style="120"/>
    <col min="14596" max="14596" width="5.08203125" style="120" customWidth="1"/>
    <col min="14597" max="14602" width="9" style="120"/>
    <col min="14603" max="14603" width="8.25" style="120" customWidth="1"/>
    <col min="14604" max="14848" width="9" style="120"/>
    <col min="14849" max="14849" width="5.08203125" style="120" customWidth="1"/>
    <col min="14850" max="14851" width="9" style="120"/>
    <col min="14852" max="14852" width="5.08203125" style="120" customWidth="1"/>
    <col min="14853" max="14858" width="9" style="120"/>
    <col min="14859" max="14859" width="8.25" style="120" customWidth="1"/>
    <col min="14860" max="15104" width="9" style="120"/>
    <col min="15105" max="15105" width="5.08203125" style="120" customWidth="1"/>
    <col min="15106" max="15107" width="9" style="120"/>
    <col min="15108" max="15108" width="5.08203125" style="120" customWidth="1"/>
    <col min="15109" max="15114" width="9" style="120"/>
    <col min="15115" max="15115" width="8.25" style="120" customWidth="1"/>
    <col min="15116" max="15360" width="9" style="120"/>
    <col min="15361" max="15361" width="5.08203125" style="120" customWidth="1"/>
    <col min="15362" max="15363" width="9" style="120"/>
    <col min="15364" max="15364" width="5.08203125" style="120" customWidth="1"/>
    <col min="15365" max="15370" width="9" style="120"/>
    <col min="15371" max="15371" width="8.25" style="120" customWidth="1"/>
    <col min="15372" max="15616" width="9" style="120"/>
    <col min="15617" max="15617" width="5.08203125" style="120" customWidth="1"/>
    <col min="15618" max="15619" width="9" style="120"/>
    <col min="15620" max="15620" width="5.08203125" style="120" customWidth="1"/>
    <col min="15621" max="15626" width="9" style="120"/>
    <col min="15627" max="15627" width="8.25" style="120" customWidth="1"/>
    <col min="15628" max="15872" width="9" style="120"/>
    <col min="15873" max="15873" width="5.08203125" style="120" customWidth="1"/>
    <col min="15874" max="15875" width="9" style="120"/>
    <col min="15876" max="15876" width="5.08203125" style="120" customWidth="1"/>
    <col min="15877" max="15882" width="9" style="120"/>
    <col min="15883" max="15883" width="8.25" style="120" customWidth="1"/>
    <col min="15884" max="16128" width="9" style="120"/>
    <col min="16129" max="16129" width="5.08203125" style="120" customWidth="1"/>
    <col min="16130" max="16131" width="9" style="120"/>
    <col min="16132" max="16132" width="5.08203125" style="120" customWidth="1"/>
    <col min="16133" max="16138" width="9" style="120"/>
    <col min="16139" max="16139" width="8.25" style="120" customWidth="1"/>
    <col min="16140" max="16384" width="9" style="120"/>
  </cols>
  <sheetData>
    <row r="1" spans="1:11" ht="30" customHeight="1">
      <c r="A1" s="705" t="s">
        <v>996</v>
      </c>
      <c r="B1" s="705"/>
      <c r="C1" s="705"/>
      <c r="D1" s="705"/>
      <c r="E1" s="705"/>
      <c r="F1" s="705"/>
      <c r="G1" s="705"/>
      <c r="H1" s="705"/>
      <c r="I1" s="705"/>
      <c r="J1" s="705"/>
      <c r="K1" s="705"/>
    </row>
    <row r="2" spans="1:11" ht="23.25" customHeight="1" thickBot="1">
      <c r="A2" s="321"/>
      <c r="B2" s="321"/>
      <c r="C2" s="321"/>
      <c r="D2" s="321"/>
      <c r="E2" s="321"/>
      <c r="F2" s="321"/>
      <c r="G2" s="321"/>
      <c r="H2" s="321"/>
      <c r="I2" s="321"/>
      <c r="J2" s="321"/>
      <c r="K2" s="324" t="s">
        <v>1359</v>
      </c>
    </row>
    <row r="3" spans="1:11" ht="211.5" customHeight="1" thickTop="1" thickBot="1">
      <c r="A3" s="706" t="s">
        <v>997</v>
      </c>
      <c r="B3" s="706"/>
      <c r="C3" s="706"/>
      <c r="D3" s="706"/>
      <c r="E3" s="706"/>
      <c r="F3" s="706"/>
      <c r="G3" s="706"/>
      <c r="H3" s="706"/>
      <c r="I3" s="706"/>
      <c r="J3" s="706"/>
      <c r="K3" s="706"/>
    </row>
    <row r="4" spans="1:11" ht="33.75" customHeight="1" thickTop="1">
      <c r="A4" s="707" t="s">
        <v>344</v>
      </c>
      <c r="B4" s="707"/>
      <c r="C4" s="707"/>
      <c r="D4" s="707"/>
      <c r="E4" s="707"/>
      <c r="F4" s="707"/>
      <c r="G4" s="121"/>
      <c r="H4" s="121"/>
      <c r="I4" s="121"/>
      <c r="J4" s="121"/>
      <c r="K4" s="121"/>
    </row>
    <row r="5" spans="1:11" ht="5.15" customHeight="1">
      <c r="A5" s="121"/>
      <c r="B5" s="121"/>
      <c r="C5" s="121"/>
      <c r="D5" s="121"/>
      <c r="E5" s="121"/>
      <c r="F5" s="121"/>
      <c r="G5" s="121"/>
      <c r="H5" s="121"/>
      <c r="I5" s="121"/>
      <c r="J5" s="121"/>
      <c r="K5" s="121"/>
    </row>
    <row r="6" spans="1:11" ht="20.149999999999999" customHeight="1">
      <c r="A6" s="317"/>
      <c r="B6" s="318"/>
      <c r="C6" s="121" t="s">
        <v>962</v>
      </c>
      <c r="D6" s="121"/>
      <c r="E6" s="121"/>
      <c r="F6" s="121"/>
      <c r="G6" s="121"/>
      <c r="H6" s="121"/>
      <c r="I6" s="121"/>
      <c r="J6" s="121"/>
      <c r="K6" s="121"/>
    </row>
    <row r="7" spans="1:11" ht="5.15" customHeight="1">
      <c r="A7" s="121"/>
      <c r="B7" s="121"/>
      <c r="C7" s="121"/>
      <c r="D7" s="121"/>
      <c r="E7" s="121"/>
      <c r="F7" s="121"/>
      <c r="G7" s="121"/>
      <c r="H7" s="121"/>
      <c r="I7" s="121"/>
      <c r="J7" s="121"/>
      <c r="K7" s="121"/>
    </row>
    <row r="8" spans="1:11" ht="20.149999999999999" customHeight="1">
      <c r="A8" s="319"/>
      <c r="B8" s="320"/>
      <c r="C8" s="708" t="s">
        <v>963</v>
      </c>
      <c r="D8" s="708"/>
      <c r="E8" s="708"/>
      <c r="F8" s="708"/>
      <c r="G8" s="708"/>
      <c r="H8" s="708"/>
      <c r="I8" s="708"/>
      <c r="J8" s="708"/>
      <c r="K8" s="708"/>
    </row>
    <row r="9" spans="1:11" ht="51.75" customHeight="1">
      <c r="A9" s="121"/>
      <c r="B9" s="121"/>
      <c r="C9" s="708"/>
      <c r="D9" s="708"/>
      <c r="E9" s="708"/>
      <c r="F9" s="708"/>
      <c r="G9" s="708"/>
      <c r="H9" s="708"/>
      <c r="I9" s="708"/>
      <c r="J9" s="708"/>
      <c r="K9" s="708"/>
    </row>
    <row r="10" spans="1:11" ht="20.25" customHeight="1">
      <c r="A10" s="709" t="s">
        <v>998</v>
      </c>
      <c r="B10" s="709"/>
      <c r="C10" s="709"/>
      <c r="D10" s="709"/>
      <c r="E10" s="709"/>
      <c r="F10" s="709"/>
      <c r="G10" s="709"/>
      <c r="H10" s="709"/>
      <c r="I10" s="709"/>
      <c r="J10" s="709"/>
      <c r="K10" s="121"/>
    </row>
    <row r="11" spans="1:11" ht="5.15" customHeight="1">
      <c r="A11" s="121"/>
      <c r="B11" s="121"/>
      <c r="C11" s="121"/>
      <c r="D11" s="121"/>
      <c r="E11" s="121"/>
      <c r="F11" s="121"/>
      <c r="G11" s="121"/>
      <c r="H11" s="121"/>
      <c r="I11" s="121"/>
      <c r="J11" s="121"/>
      <c r="K11" s="121"/>
    </row>
    <row r="12" spans="1:11" ht="30.75" hidden="1" customHeight="1">
      <c r="A12" s="707" t="s">
        <v>965</v>
      </c>
      <c r="B12" s="707"/>
      <c r="C12" s="707"/>
      <c r="D12" s="707"/>
      <c r="E12" s="707"/>
      <c r="F12" s="707"/>
      <c r="G12" s="121"/>
      <c r="H12" s="121"/>
      <c r="I12" s="121"/>
      <c r="J12" s="121"/>
      <c r="K12" s="121"/>
    </row>
    <row r="13" spans="1:11" ht="51.75" hidden="1" customHeight="1">
      <c r="A13" s="710" t="s">
        <v>966</v>
      </c>
      <c r="B13" s="710"/>
      <c r="C13" s="710"/>
      <c r="D13" s="710"/>
      <c r="E13" s="710"/>
      <c r="F13" s="710"/>
      <c r="G13" s="710"/>
      <c r="H13" s="710"/>
      <c r="I13" s="710"/>
      <c r="J13" s="710"/>
      <c r="K13" s="710"/>
    </row>
    <row r="14" spans="1:11" ht="12" customHeight="1">
      <c r="A14" s="121"/>
      <c r="B14" s="121"/>
      <c r="C14" s="121"/>
      <c r="D14" s="121"/>
      <c r="E14" s="121"/>
      <c r="F14" s="121"/>
      <c r="G14" s="121"/>
      <c r="H14" s="121"/>
      <c r="I14" s="121"/>
      <c r="J14" s="121"/>
      <c r="K14" s="121"/>
    </row>
    <row r="15" spans="1:11" ht="33.75" customHeight="1">
      <c r="A15" s="711" t="s">
        <v>999</v>
      </c>
      <c r="B15" s="711"/>
      <c r="C15" s="711"/>
      <c r="D15" s="711"/>
      <c r="E15" s="711"/>
      <c r="F15" s="711"/>
      <c r="G15" s="711"/>
      <c r="H15" s="711"/>
      <c r="I15" s="711"/>
      <c r="J15" s="711"/>
      <c r="K15" s="121"/>
    </row>
    <row r="16" spans="1:11" ht="23.25" hidden="1" customHeight="1">
      <c r="A16" s="703" t="s">
        <v>345</v>
      </c>
      <c r="B16" s="703"/>
      <c r="C16" s="703"/>
      <c r="D16" s="703"/>
      <c r="E16" s="703"/>
      <c r="F16" s="703"/>
      <c r="G16" s="703"/>
      <c r="H16" s="703"/>
      <c r="I16" s="703"/>
      <c r="J16" s="703"/>
      <c r="K16" s="121"/>
    </row>
    <row r="17" spans="1:11" ht="20.149999999999999" hidden="1" customHeight="1">
      <c r="A17" s="712" t="s">
        <v>1000</v>
      </c>
      <c r="B17" s="712"/>
      <c r="C17" s="712"/>
      <c r="D17" s="712"/>
      <c r="E17" s="712"/>
      <c r="F17" s="712"/>
      <c r="G17" s="322" t="s">
        <v>346</v>
      </c>
      <c r="H17" s="713" t="s">
        <v>348</v>
      </c>
      <c r="I17" s="714"/>
      <c r="J17" s="714"/>
      <c r="K17" s="714"/>
    </row>
    <row r="18" spans="1:11" ht="8.25" hidden="1" customHeight="1">
      <c r="A18" s="121"/>
      <c r="B18" s="121"/>
      <c r="C18" s="121"/>
      <c r="D18" s="121"/>
      <c r="E18" s="121"/>
      <c r="F18" s="121"/>
      <c r="G18" s="121"/>
      <c r="H18" s="121"/>
      <c r="I18" s="121"/>
      <c r="J18" s="121"/>
      <c r="K18" s="121"/>
    </row>
    <row r="19" spans="1:11" ht="19.5" hidden="1" customHeight="1">
      <c r="A19" s="703" t="s">
        <v>981</v>
      </c>
      <c r="B19" s="703"/>
      <c r="C19" s="703"/>
      <c r="D19" s="703"/>
      <c r="E19" s="703"/>
      <c r="F19" s="703"/>
      <c r="G19" s="703"/>
      <c r="H19" s="703"/>
      <c r="I19" s="703"/>
      <c r="J19" s="703"/>
      <c r="K19" s="703"/>
    </row>
    <row r="20" spans="1:11" ht="9" customHeight="1">
      <c r="A20" s="121"/>
      <c r="B20" s="121"/>
      <c r="C20" s="121"/>
      <c r="D20" s="121"/>
      <c r="E20" s="121"/>
      <c r="F20" s="121"/>
      <c r="G20" s="121"/>
      <c r="H20" s="121"/>
      <c r="I20" s="121"/>
      <c r="J20" s="121"/>
      <c r="K20" s="121"/>
    </row>
    <row r="21" spans="1:11" ht="28.5" customHeight="1">
      <c r="A21" s="715" t="s">
        <v>1360</v>
      </c>
      <c r="B21" s="715"/>
      <c r="C21" s="715"/>
      <c r="D21" s="715"/>
      <c r="E21" s="715"/>
      <c r="F21" s="715"/>
      <c r="G21" s="715"/>
      <c r="H21" s="715"/>
      <c r="I21" s="715"/>
      <c r="J21" s="715"/>
      <c r="K21" s="715"/>
    </row>
    <row r="22" spans="1:11" ht="20.25" customHeight="1">
      <c r="A22" s="716" t="s">
        <v>1191</v>
      </c>
      <c r="B22" s="716"/>
      <c r="C22" s="716"/>
      <c r="D22" s="716"/>
      <c r="E22" s="716"/>
      <c r="F22" s="716"/>
      <c r="G22" s="716"/>
      <c r="H22" s="716"/>
      <c r="I22" s="716"/>
      <c r="J22" s="716"/>
      <c r="K22" s="716"/>
    </row>
    <row r="23" spans="1:11" ht="42" hidden="1" customHeight="1">
      <c r="A23" s="717" t="s">
        <v>968</v>
      </c>
      <c r="B23" s="717"/>
      <c r="C23" s="717"/>
      <c r="D23" s="717"/>
      <c r="E23" s="717"/>
      <c r="F23" s="717"/>
      <c r="G23" s="717"/>
      <c r="H23" s="717"/>
      <c r="I23" s="717"/>
      <c r="J23" s="717"/>
      <c r="K23" s="717"/>
    </row>
    <row r="24" spans="1:11" ht="28.5" hidden="1" customHeight="1" thickBot="1">
      <c r="A24" s="718" t="s">
        <v>969</v>
      </c>
      <c r="B24" s="718"/>
      <c r="C24" s="718"/>
      <c r="D24" s="718"/>
      <c r="E24" s="718"/>
      <c r="F24" s="718"/>
      <c r="G24" s="718"/>
      <c r="H24" s="718"/>
      <c r="I24" s="718"/>
      <c r="J24" s="718"/>
      <c r="K24" s="718"/>
    </row>
    <row r="25" spans="1:11" ht="99" hidden="1" customHeight="1" thickBot="1">
      <c r="A25" s="719" t="s">
        <v>1001</v>
      </c>
      <c r="B25" s="720"/>
      <c r="C25" s="720"/>
      <c r="D25" s="720"/>
      <c r="E25" s="720"/>
      <c r="F25" s="720"/>
      <c r="G25" s="720"/>
      <c r="H25" s="720"/>
      <c r="I25" s="720"/>
      <c r="J25" s="720"/>
      <c r="K25" s="721"/>
    </row>
    <row r="26" spans="1:11" ht="7.5" customHeight="1">
      <c r="A26" s="703"/>
      <c r="B26" s="703"/>
      <c r="C26" s="703"/>
      <c r="D26" s="703"/>
      <c r="E26" s="703"/>
      <c r="F26" s="703"/>
      <c r="G26" s="703"/>
      <c r="H26" s="703"/>
      <c r="I26" s="703"/>
      <c r="J26" s="703"/>
      <c r="K26" s="703"/>
    </row>
    <row r="27" spans="1:11" ht="21.75" customHeight="1">
      <c r="A27" s="121"/>
      <c r="B27" s="121"/>
      <c r="C27" s="703" t="s">
        <v>1361</v>
      </c>
      <c r="D27" s="703"/>
      <c r="E27" s="703"/>
      <c r="F27" s="703"/>
      <c r="G27" s="703"/>
      <c r="H27" s="703"/>
      <c r="I27" s="703"/>
      <c r="J27" s="703"/>
      <c r="K27" s="703"/>
    </row>
    <row r="28" spans="1:11" ht="21.75" customHeight="1">
      <c r="A28" s="121"/>
      <c r="B28" s="121"/>
      <c r="C28" s="703" t="s">
        <v>1192</v>
      </c>
      <c r="D28" s="703"/>
      <c r="E28" s="703"/>
      <c r="F28" s="703"/>
      <c r="G28" s="703"/>
      <c r="H28" s="703"/>
      <c r="I28" s="703"/>
      <c r="J28" s="703"/>
      <c r="K28" s="703"/>
    </row>
    <row r="29" spans="1:11" ht="21.75" customHeight="1">
      <c r="A29" s="121"/>
      <c r="B29" s="121"/>
      <c r="C29" s="703" t="s">
        <v>347</v>
      </c>
      <c r="D29" s="703"/>
      <c r="E29" s="703"/>
      <c r="F29" s="703"/>
      <c r="G29" s="703"/>
      <c r="H29" s="703"/>
      <c r="I29" s="703"/>
      <c r="J29" s="703"/>
      <c r="K29" s="703"/>
    </row>
    <row r="30" spans="1:11" ht="21.75" customHeight="1">
      <c r="A30" s="121"/>
      <c r="B30" s="121"/>
      <c r="C30" s="122" t="s">
        <v>349</v>
      </c>
      <c r="D30" s="704" t="s">
        <v>348</v>
      </c>
      <c r="E30" s="704"/>
      <c r="F30" s="704"/>
      <c r="G30" s="704"/>
      <c r="H30" s="704"/>
      <c r="I30" s="704"/>
      <c r="J30" s="704"/>
      <c r="K30" s="704"/>
    </row>
    <row r="31" spans="1:11" ht="21.75" customHeight="1"/>
    <row r="32" spans="1:11" ht="20.149999999999999" customHeight="1"/>
    <row r="33" ht="20.149999999999999" customHeight="1"/>
    <row r="34" ht="20.149999999999999" customHeight="1"/>
    <row r="35" ht="20.149999999999999" customHeight="1"/>
  </sheetData>
  <sheetProtection algorithmName="SHA-512" hashValue="di+7TNTd27NQ6bXvqZ/7wgMWd9FJoovLVQUK2YvJM6fzQIaWV5V7o04Ipg2ltnf4LgHXtzQSJHLIXzCkc6TsMg==" saltValue="XaI1E6WpPQsUkPt2e7gOWA==" spinCount="100000" sheet="1" objects="1" scenarios="1"/>
  <mergeCells count="22">
    <mergeCell ref="A26:K26"/>
    <mergeCell ref="A21:K21"/>
    <mergeCell ref="A22:K22"/>
    <mergeCell ref="A23:K23"/>
    <mergeCell ref="A24:K24"/>
    <mergeCell ref="A25:K25"/>
    <mergeCell ref="C29:K29"/>
    <mergeCell ref="D30:K30"/>
    <mergeCell ref="A19:K19"/>
    <mergeCell ref="A1:K1"/>
    <mergeCell ref="A3:K3"/>
    <mergeCell ref="A4:F4"/>
    <mergeCell ref="C8:K9"/>
    <mergeCell ref="A10:J10"/>
    <mergeCell ref="A12:F12"/>
    <mergeCell ref="A13:K13"/>
    <mergeCell ref="A15:J15"/>
    <mergeCell ref="A16:J16"/>
    <mergeCell ref="A17:F17"/>
    <mergeCell ref="H17:K17"/>
    <mergeCell ref="C27:K27"/>
    <mergeCell ref="C28:K28"/>
  </mergeCells>
  <phoneticPr fontId="1"/>
  <hyperlinks>
    <hyperlink ref="H17" r:id="rId1" xr:uid="{E2BF5EC6-7AAF-49CB-B494-A55F88C8560D}"/>
    <hyperlink ref="D30" r:id="rId2" xr:uid="{DA7BC78D-40DB-4B62-B1C9-191E8B2F286B}"/>
  </hyperlinks>
  <printOptions horizontalCentered="1"/>
  <pageMargins left="0.59055118110236227" right="0.59055118110236227" top="0.98425196850393704" bottom="0.98425196850393704" header="0.51181102362204722" footer="0.51181102362204722"/>
  <pageSetup paperSize="9" scale="91" orientation="portrait" r:id="rId3"/>
  <headerFooter alignWithMargins="0"/>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1B17E-B475-4008-9034-6AC8BF5637E6}">
  <sheetPr>
    <pageSetUpPr fitToPage="1"/>
  </sheetPr>
  <dimension ref="B1:L24"/>
  <sheetViews>
    <sheetView showGridLines="0" tabSelected="1" zoomScaleNormal="100" zoomScaleSheetLayoutView="96" workbookViewId="0">
      <selection activeCell="O11" sqref="O11"/>
    </sheetView>
  </sheetViews>
  <sheetFormatPr defaultRowHeight="16.5"/>
  <cols>
    <col min="1" max="1" width="8.6640625" style="120"/>
    <col min="2" max="2" width="5.08203125" style="120" customWidth="1"/>
    <col min="3" max="4" width="8.6640625" style="120"/>
    <col min="5" max="5" width="5.08203125" style="120" customWidth="1"/>
    <col min="6" max="11" width="8.6640625" style="120"/>
    <col min="12" max="12" width="8.1640625" style="120" customWidth="1"/>
    <col min="13" max="257" width="8.6640625" style="120"/>
    <col min="258" max="258" width="5.08203125" style="120" customWidth="1"/>
    <col min="259" max="260" width="8.6640625" style="120"/>
    <col min="261" max="261" width="5.08203125" style="120" customWidth="1"/>
    <col min="262" max="267" width="8.6640625" style="120"/>
    <col min="268" max="268" width="8.1640625" style="120" customWidth="1"/>
    <col min="269" max="513" width="8.6640625" style="120"/>
    <col min="514" max="514" width="5.08203125" style="120" customWidth="1"/>
    <col min="515" max="516" width="8.6640625" style="120"/>
    <col min="517" max="517" width="5.08203125" style="120" customWidth="1"/>
    <col min="518" max="523" width="8.6640625" style="120"/>
    <col min="524" max="524" width="8.1640625" style="120" customWidth="1"/>
    <col min="525" max="769" width="8.6640625" style="120"/>
    <col min="770" max="770" width="5.08203125" style="120" customWidth="1"/>
    <col min="771" max="772" width="8.6640625" style="120"/>
    <col min="773" max="773" width="5.08203125" style="120" customWidth="1"/>
    <col min="774" max="779" width="8.6640625" style="120"/>
    <col min="780" max="780" width="8.1640625" style="120" customWidth="1"/>
    <col min="781" max="1025" width="8.6640625" style="120"/>
    <col min="1026" max="1026" width="5.08203125" style="120" customWidth="1"/>
    <col min="1027" max="1028" width="8.6640625" style="120"/>
    <col min="1029" max="1029" width="5.08203125" style="120" customWidth="1"/>
    <col min="1030" max="1035" width="8.6640625" style="120"/>
    <col min="1036" max="1036" width="8.1640625" style="120" customWidth="1"/>
    <col min="1037" max="1281" width="8.6640625" style="120"/>
    <col min="1282" max="1282" width="5.08203125" style="120" customWidth="1"/>
    <col min="1283" max="1284" width="8.6640625" style="120"/>
    <col min="1285" max="1285" width="5.08203125" style="120" customWidth="1"/>
    <col min="1286" max="1291" width="8.6640625" style="120"/>
    <col min="1292" max="1292" width="8.1640625" style="120" customWidth="1"/>
    <col min="1293" max="1537" width="8.6640625" style="120"/>
    <col min="1538" max="1538" width="5.08203125" style="120" customWidth="1"/>
    <col min="1539" max="1540" width="8.6640625" style="120"/>
    <col min="1541" max="1541" width="5.08203125" style="120" customWidth="1"/>
    <col min="1542" max="1547" width="8.6640625" style="120"/>
    <col min="1548" max="1548" width="8.1640625" style="120" customWidth="1"/>
    <col min="1549" max="1793" width="8.6640625" style="120"/>
    <col min="1794" max="1794" width="5.08203125" style="120" customWidth="1"/>
    <col min="1795" max="1796" width="8.6640625" style="120"/>
    <col min="1797" max="1797" width="5.08203125" style="120" customWidth="1"/>
    <col min="1798" max="1803" width="8.6640625" style="120"/>
    <col min="1804" max="1804" width="8.1640625" style="120" customWidth="1"/>
    <col min="1805" max="2049" width="8.6640625" style="120"/>
    <col min="2050" max="2050" width="5.08203125" style="120" customWidth="1"/>
    <col min="2051" max="2052" width="8.6640625" style="120"/>
    <col min="2053" max="2053" width="5.08203125" style="120" customWidth="1"/>
    <col min="2054" max="2059" width="8.6640625" style="120"/>
    <col min="2060" max="2060" width="8.1640625" style="120" customWidth="1"/>
    <col min="2061" max="2305" width="8.6640625" style="120"/>
    <col min="2306" max="2306" width="5.08203125" style="120" customWidth="1"/>
    <col min="2307" max="2308" width="8.6640625" style="120"/>
    <col min="2309" max="2309" width="5.08203125" style="120" customWidth="1"/>
    <col min="2310" max="2315" width="8.6640625" style="120"/>
    <col min="2316" max="2316" width="8.1640625" style="120" customWidth="1"/>
    <col min="2317" max="2561" width="8.6640625" style="120"/>
    <col min="2562" max="2562" width="5.08203125" style="120" customWidth="1"/>
    <col min="2563" max="2564" width="8.6640625" style="120"/>
    <col min="2565" max="2565" width="5.08203125" style="120" customWidth="1"/>
    <col min="2566" max="2571" width="8.6640625" style="120"/>
    <col min="2572" max="2572" width="8.1640625" style="120" customWidth="1"/>
    <col min="2573" max="2817" width="8.6640625" style="120"/>
    <col min="2818" max="2818" width="5.08203125" style="120" customWidth="1"/>
    <col min="2819" max="2820" width="8.6640625" style="120"/>
    <col min="2821" max="2821" width="5.08203125" style="120" customWidth="1"/>
    <col min="2822" max="2827" width="8.6640625" style="120"/>
    <col min="2828" max="2828" width="8.1640625" style="120" customWidth="1"/>
    <col min="2829" max="3073" width="8.6640625" style="120"/>
    <col min="3074" max="3074" width="5.08203125" style="120" customWidth="1"/>
    <col min="3075" max="3076" width="8.6640625" style="120"/>
    <col min="3077" max="3077" width="5.08203125" style="120" customWidth="1"/>
    <col min="3078" max="3083" width="8.6640625" style="120"/>
    <col min="3084" max="3084" width="8.1640625" style="120" customWidth="1"/>
    <col min="3085" max="3329" width="8.6640625" style="120"/>
    <col min="3330" max="3330" width="5.08203125" style="120" customWidth="1"/>
    <col min="3331" max="3332" width="8.6640625" style="120"/>
    <col min="3333" max="3333" width="5.08203125" style="120" customWidth="1"/>
    <col min="3334" max="3339" width="8.6640625" style="120"/>
    <col min="3340" max="3340" width="8.1640625" style="120" customWidth="1"/>
    <col min="3341" max="3585" width="8.6640625" style="120"/>
    <col min="3586" max="3586" width="5.08203125" style="120" customWidth="1"/>
    <col min="3587" max="3588" width="8.6640625" style="120"/>
    <col min="3589" max="3589" width="5.08203125" style="120" customWidth="1"/>
    <col min="3590" max="3595" width="8.6640625" style="120"/>
    <col min="3596" max="3596" width="8.1640625" style="120" customWidth="1"/>
    <col min="3597" max="3841" width="8.6640625" style="120"/>
    <col min="3842" max="3842" width="5.08203125" style="120" customWidth="1"/>
    <col min="3843" max="3844" width="8.6640625" style="120"/>
    <col min="3845" max="3845" width="5.08203125" style="120" customWidth="1"/>
    <col min="3846" max="3851" width="8.6640625" style="120"/>
    <col min="3852" max="3852" width="8.1640625" style="120" customWidth="1"/>
    <col min="3853" max="4097" width="8.6640625" style="120"/>
    <col min="4098" max="4098" width="5.08203125" style="120" customWidth="1"/>
    <col min="4099" max="4100" width="8.6640625" style="120"/>
    <col min="4101" max="4101" width="5.08203125" style="120" customWidth="1"/>
    <col min="4102" max="4107" width="8.6640625" style="120"/>
    <col min="4108" max="4108" width="8.1640625" style="120" customWidth="1"/>
    <col min="4109" max="4353" width="8.6640625" style="120"/>
    <col min="4354" max="4354" width="5.08203125" style="120" customWidth="1"/>
    <col min="4355" max="4356" width="8.6640625" style="120"/>
    <col min="4357" max="4357" width="5.08203125" style="120" customWidth="1"/>
    <col min="4358" max="4363" width="8.6640625" style="120"/>
    <col min="4364" max="4364" width="8.1640625" style="120" customWidth="1"/>
    <col min="4365" max="4609" width="8.6640625" style="120"/>
    <col min="4610" max="4610" width="5.08203125" style="120" customWidth="1"/>
    <col min="4611" max="4612" width="8.6640625" style="120"/>
    <col min="4613" max="4613" width="5.08203125" style="120" customWidth="1"/>
    <col min="4614" max="4619" width="8.6640625" style="120"/>
    <col min="4620" max="4620" width="8.1640625" style="120" customWidth="1"/>
    <col min="4621" max="4865" width="8.6640625" style="120"/>
    <col min="4866" max="4866" width="5.08203125" style="120" customWidth="1"/>
    <col min="4867" max="4868" width="8.6640625" style="120"/>
    <col min="4869" max="4869" width="5.08203125" style="120" customWidth="1"/>
    <col min="4870" max="4875" width="8.6640625" style="120"/>
    <col min="4876" max="4876" width="8.1640625" style="120" customWidth="1"/>
    <col min="4877" max="5121" width="8.6640625" style="120"/>
    <col min="5122" max="5122" width="5.08203125" style="120" customWidth="1"/>
    <col min="5123" max="5124" width="8.6640625" style="120"/>
    <col min="5125" max="5125" width="5.08203125" style="120" customWidth="1"/>
    <col min="5126" max="5131" width="8.6640625" style="120"/>
    <col min="5132" max="5132" width="8.1640625" style="120" customWidth="1"/>
    <col min="5133" max="5377" width="8.6640625" style="120"/>
    <col min="5378" max="5378" width="5.08203125" style="120" customWidth="1"/>
    <col min="5379" max="5380" width="8.6640625" style="120"/>
    <col min="5381" max="5381" width="5.08203125" style="120" customWidth="1"/>
    <col min="5382" max="5387" width="8.6640625" style="120"/>
    <col min="5388" max="5388" width="8.1640625" style="120" customWidth="1"/>
    <col min="5389" max="5633" width="8.6640625" style="120"/>
    <col min="5634" max="5634" width="5.08203125" style="120" customWidth="1"/>
    <col min="5635" max="5636" width="8.6640625" style="120"/>
    <col min="5637" max="5637" width="5.08203125" style="120" customWidth="1"/>
    <col min="5638" max="5643" width="8.6640625" style="120"/>
    <col min="5644" max="5644" width="8.1640625" style="120" customWidth="1"/>
    <col min="5645" max="5889" width="8.6640625" style="120"/>
    <col min="5890" max="5890" width="5.08203125" style="120" customWidth="1"/>
    <col min="5891" max="5892" width="8.6640625" style="120"/>
    <col min="5893" max="5893" width="5.08203125" style="120" customWidth="1"/>
    <col min="5894" max="5899" width="8.6640625" style="120"/>
    <col min="5900" max="5900" width="8.1640625" style="120" customWidth="1"/>
    <col min="5901" max="6145" width="8.6640625" style="120"/>
    <col min="6146" max="6146" width="5.08203125" style="120" customWidth="1"/>
    <col min="6147" max="6148" width="8.6640625" style="120"/>
    <col min="6149" max="6149" width="5.08203125" style="120" customWidth="1"/>
    <col min="6150" max="6155" width="8.6640625" style="120"/>
    <col min="6156" max="6156" width="8.1640625" style="120" customWidth="1"/>
    <col min="6157" max="6401" width="8.6640625" style="120"/>
    <col min="6402" max="6402" width="5.08203125" style="120" customWidth="1"/>
    <col min="6403" max="6404" width="8.6640625" style="120"/>
    <col min="6405" max="6405" width="5.08203125" style="120" customWidth="1"/>
    <col min="6406" max="6411" width="8.6640625" style="120"/>
    <col min="6412" max="6412" width="8.1640625" style="120" customWidth="1"/>
    <col min="6413" max="6657" width="8.6640625" style="120"/>
    <col min="6658" max="6658" width="5.08203125" style="120" customWidth="1"/>
    <col min="6659" max="6660" width="8.6640625" style="120"/>
    <col min="6661" max="6661" width="5.08203125" style="120" customWidth="1"/>
    <col min="6662" max="6667" width="8.6640625" style="120"/>
    <col min="6668" max="6668" width="8.1640625" style="120" customWidth="1"/>
    <col min="6669" max="6913" width="8.6640625" style="120"/>
    <col min="6914" max="6914" width="5.08203125" style="120" customWidth="1"/>
    <col min="6915" max="6916" width="8.6640625" style="120"/>
    <col min="6917" max="6917" width="5.08203125" style="120" customWidth="1"/>
    <col min="6918" max="6923" width="8.6640625" style="120"/>
    <col min="6924" max="6924" width="8.1640625" style="120" customWidth="1"/>
    <col min="6925" max="7169" width="8.6640625" style="120"/>
    <col min="7170" max="7170" width="5.08203125" style="120" customWidth="1"/>
    <col min="7171" max="7172" width="8.6640625" style="120"/>
    <col min="7173" max="7173" width="5.08203125" style="120" customWidth="1"/>
    <col min="7174" max="7179" width="8.6640625" style="120"/>
    <col min="7180" max="7180" width="8.1640625" style="120" customWidth="1"/>
    <col min="7181" max="7425" width="8.6640625" style="120"/>
    <col min="7426" max="7426" width="5.08203125" style="120" customWidth="1"/>
    <col min="7427" max="7428" width="8.6640625" style="120"/>
    <col min="7429" max="7429" width="5.08203125" style="120" customWidth="1"/>
    <col min="7430" max="7435" width="8.6640625" style="120"/>
    <col min="7436" max="7436" width="8.1640625" style="120" customWidth="1"/>
    <col min="7437" max="7681" width="8.6640625" style="120"/>
    <col min="7682" max="7682" width="5.08203125" style="120" customWidth="1"/>
    <col min="7683" max="7684" width="8.6640625" style="120"/>
    <col min="7685" max="7685" width="5.08203125" style="120" customWidth="1"/>
    <col min="7686" max="7691" width="8.6640625" style="120"/>
    <col min="7692" max="7692" width="8.1640625" style="120" customWidth="1"/>
    <col min="7693" max="7937" width="8.6640625" style="120"/>
    <col min="7938" max="7938" width="5.08203125" style="120" customWidth="1"/>
    <col min="7939" max="7940" width="8.6640625" style="120"/>
    <col min="7941" max="7941" width="5.08203125" style="120" customWidth="1"/>
    <col min="7942" max="7947" width="8.6640625" style="120"/>
    <col min="7948" max="7948" width="8.1640625" style="120" customWidth="1"/>
    <col min="7949" max="8193" width="8.6640625" style="120"/>
    <col min="8194" max="8194" width="5.08203125" style="120" customWidth="1"/>
    <col min="8195" max="8196" width="8.6640625" style="120"/>
    <col min="8197" max="8197" width="5.08203125" style="120" customWidth="1"/>
    <col min="8198" max="8203" width="8.6640625" style="120"/>
    <col min="8204" max="8204" width="8.1640625" style="120" customWidth="1"/>
    <col min="8205" max="8449" width="8.6640625" style="120"/>
    <col min="8450" max="8450" width="5.08203125" style="120" customWidth="1"/>
    <col min="8451" max="8452" width="8.6640625" style="120"/>
    <col min="8453" max="8453" width="5.08203125" style="120" customWidth="1"/>
    <col min="8454" max="8459" width="8.6640625" style="120"/>
    <col min="8460" max="8460" width="8.1640625" style="120" customWidth="1"/>
    <col min="8461" max="8705" width="8.6640625" style="120"/>
    <col min="8706" max="8706" width="5.08203125" style="120" customWidth="1"/>
    <col min="8707" max="8708" width="8.6640625" style="120"/>
    <col min="8709" max="8709" width="5.08203125" style="120" customWidth="1"/>
    <col min="8710" max="8715" width="8.6640625" style="120"/>
    <col min="8716" max="8716" width="8.1640625" style="120" customWidth="1"/>
    <col min="8717" max="8961" width="8.6640625" style="120"/>
    <col min="8962" max="8962" width="5.08203125" style="120" customWidth="1"/>
    <col min="8963" max="8964" width="8.6640625" style="120"/>
    <col min="8965" max="8965" width="5.08203125" style="120" customWidth="1"/>
    <col min="8966" max="8971" width="8.6640625" style="120"/>
    <col min="8972" max="8972" width="8.1640625" style="120" customWidth="1"/>
    <col min="8973" max="9217" width="8.6640625" style="120"/>
    <col min="9218" max="9218" width="5.08203125" style="120" customWidth="1"/>
    <col min="9219" max="9220" width="8.6640625" style="120"/>
    <col min="9221" max="9221" width="5.08203125" style="120" customWidth="1"/>
    <col min="9222" max="9227" width="8.6640625" style="120"/>
    <col min="9228" max="9228" width="8.1640625" style="120" customWidth="1"/>
    <col min="9229" max="9473" width="8.6640625" style="120"/>
    <col min="9474" max="9474" width="5.08203125" style="120" customWidth="1"/>
    <col min="9475" max="9476" width="8.6640625" style="120"/>
    <col min="9477" max="9477" width="5.08203125" style="120" customWidth="1"/>
    <col min="9478" max="9483" width="8.6640625" style="120"/>
    <col min="9484" max="9484" width="8.1640625" style="120" customWidth="1"/>
    <col min="9485" max="9729" width="8.6640625" style="120"/>
    <col min="9730" max="9730" width="5.08203125" style="120" customWidth="1"/>
    <col min="9731" max="9732" width="8.6640625" style="120"/>
    <col min="9733" max="9733" width="5.08203125" style="120" customWidth="1"/>
    <col min="9734" max="9739" width="8.6640625" style="120"/>
    <col min="9740" max="9740" width="8.1640625" style="120" customWidth="1"/>
    <col min="9741" max="9985" width="8.6640625" style="120"/>
    <col min="9986" max="9986" width="5.08203125" style="120" customWidth="1"/>
    <col min="9987" max="9988" width="8.6640625" style="120"/>
    <col min="9989" max="9989" width="5.08203125" style="120" customWidth="1"/>
    <col min="9990" max="9995" width="8.6640625" style="120"/>
    <col min="9996" max="9996" width="8.1640625" style="120" customWidth="1"/>
    <col min="9997" max="10241" width="8.6640625" style="120"/>
    <col min="10242" max="10242" width="5.08203125" style="120" customWidth="1"/>
    <col min="10243" max="10244" width="8.6640625" style="120"/>
    <col min="10245" max="10245" width="5.08203125" style="120" customWidth="1"/>
    <col min="10246" max="10251" width="8.6640625" style="120"/>
    <col min="10252" max="10252" width="8.1640625" style="120" customWidth="1"/>
    <col min="10253" max="10497" width="8.6640625" style="120"/>
    <col min="10498" max="10498" width="5.08203125" style="120" customWidth="1"/>
    <col min="10499" max="10500" width="8.6640625" style="120"/>
    <col min="10501" max="10501" width="5.08203125" style="120" customWidth="1"/>
    <col min="10502" max="10507" width="8.6640625" style="120"/>
    <col min="10508" max="10508" width="8.1640625" style="120" customWidth="1"/>
    <col min="10509" max="10753" width="8.6640625" style="120"/>
    <col min="10754" max="10754" width="5.08203125" style="120" customWidth="1"/>
    <col min="10755" max="10756" width="8.6640625" style="120"/>
    <col min="10757" max="10757" width="5.08203125" style="120" customWidth="1"/>
    <col min="10758" max="10763" width="8.6640625" style="120"/>
    <col min="10764" max="10764" width="8.1640625" style="120" customWidth="1"/>
    <col min="10765" max="11009" width="8.6640625" style="120"/>
    <col min="11010" max="11010" width="5.08203125" style="120" customWidth="1"/>
    <col min="11011" max="11012" width="8.6640625" style="120"/>
    <col min="11013" max="11013" width="5.08203125" style="120" customWidth="1"/>
    <col min="11014" max="11019" width="8.6640625" style="120"/>
    <col min="11020" max="11020" width="8.1640625" style="120" customWidth="1"/>
    <col min="11021" max="11265" width="8.6640625" style="120"/>
    <col min="11266" max="11266" width="5.08203125" style="120" customWidth="1"/>
    <col min="11267" max="11268" width="8.6640625" style="120"/>
    <col min="11269" max="11269" width="5.08203125" style="120" customWidth="1"/>
    <col min="11270" max="11275" width="8.6640625" style="120"/>
    <col min="11276" max="11276" width="8.1640625" style="120" customWidth="1"/>
    <col min="11277" max="11521" width="8.6640625" style="120"/>
    <col min="11522" max="11522" width="5.08203125" style="120" customWidth="1"/>
    <col min="11523" max="11524" width="8.6640625" style="120"/>
    <col min="11525" max="11525" width="5.08203125" style="120" customWidth="1"/>
    <col min="11526" max="11531" width="8.6640625" style="120"/>
    <col min="11532" max="11532" width="8.1640625" style="120" customWidth="1"/>
    <col min="11533" max="11777" width="8.6640625" style="120"/>
    <col min="11778" max="11778" width="5.08203125" style="120" customWidth="1"/>
    <col min="11779" max="11780" width="8.6640625" style="120"/>
    <col min="11781" max="11781" width="5.08203125" style="120" customWidth="1"/>
    <col min="11782" max="11787" width="8.6640625" style="120"/>
    <col min="11788" max="11788" width="8.1640625" style="120" customWidth="1"/>
    <col min="11789" max="12033" width="8.6640625" style="120"/>
    <col min="12034" max="12034" width="5.08203125" style="120" customWidth="1"/>
    <col min="12035" max="12036" width="8.6640625" style="120"/>
    <col min="12037" max="12037" width="5.08203125" style="120" customWidth="1"/>
    <col min="12038" max="12043" width="8.6640625" style="120"/>
    <col min="12044" max="12044" width="8.1640625" style="120" customWidth="1"/>
    <col min="12045" max="12289" width="8.6640625" style="120"/>
    <col min="12290" max="12290" width="5.08203125" style="120" customWidth="1"/>
    <col min="12291" max="12292" width="8.6640625" style="120"/>
    <col min="12293" max="12293" width="5.08203125" style="120" customWidth="1"/>
    <col min="12294" max="12299" width="8.6640625" style="120"/>
    <col min="12300" max="12300" width="8.1640625" style="120" customWidth="1"/>
    <col min="12301" max="12545" width="8.6640625" style="120"/>
    <col min="12546" max="12546" width="5.08203125" style="120" customWidth="1"/>
    <col min="12547" max="12548" width="8.6640625" style="120"/>
    <col min="12549" max="12549" width="5.08203125" style="120" customWidth="1"/>
    <col min="12550" max="12555" width="8.6640625" style="120"/>
    <col min="12556" max="12556" width="8.1640625" style="120" customWidth="1"/>
    <col min="12557" max="12801" width="8.6640625" style="120"/>
    <col min="12802" max="12802" width="5.08203125" style="120" customWidth="1"/>
    <col min="12803" max="12804" width="8.6640625" style="120"/>
    <col min="12805" max="12805" width="5.08203125" style="120" customWidth="1"/>
    <col min="12806" max="12811" width="8.6640625" style="120"/>
    <col min="12812" max="12812" width="8.1640625" style="120" customWidth="1"/>
    <col min="12813" max="13057" width="8.6640625" style="120"/>
    <col min="13058" max="13058" width="5.08203125" style="120" customWidth="1"/>
    <col min="13059" max="13060" width="8.6640625" style="120"/>
    <col min="13061" max="13061" width="5.08203125" style="120" customWidth="1"/>
    <col min="13062" max="13067" width="8.6640625" style="120"/>
    <col min="13068" max="13068" width="8.1640625" style="120" customWidth="1"/>
    <col min="13069" max="13313" width="8.6640625" style="120"/>
    <col min="13314" max="13314" width="5.08203125" style="120" customWidth="1"/>
    <col min="13315" max="13316" width="8.6640625" style="120"/>
    <col min="13317" max="13317" width="5.08203125" style="120" customWidth="1"/>
    <col min="13318" max="13323" width="8.6640625" style="120"/>
    <col min="13324" max="13324" width="8.1640625" style="120" customWidth="1"/>
    <col min="13325" max="13569" width="8.6640625" style="120"/>
    <col min="13570" max="13570" width="5.08203125" style="120" customWidth="1"/>
    <col min="13571" max="13572" width="8.6640625" style="120"/>
    <col min="13573" max="13573" width="5.08203125" style="120" customWidth="1"/>
    <col min="13574" max="13579" width="8.6640625" style="120"/>
    <col min="13580" max="13580" width="8.1640625" style="120" customWidth="1"/>
    <col min="13581" max="13825" width="8.6640625" style="120"/>
    <col min="13826" max="13826" width="5.08203125" style="120" customWidth="1"/>
    <col min="13827" max="13828" width="8.6640625" style="120"/>
    <col min="13829" max="13829" width="5.08203125" style="120" customWidth="1"/>
    <col min="13830" max="13835" width="8.6640625" style="120"/>
    <col min="13836" max="13836" width="8.1640625" style="120" customWidth="1"/>
    <col min="13837" max="14081" width="8.6640625" style="120"/>
    <col min="14082" max="14082" width="5.08203125" style="120" customWidth="1"/>
    <col min="14083" max="14084" width="8.6640625" style="120"/>
    <col min="14085" max="14085" width="5.08203125" style="120" customWidth="1"/>
    <col min="14086" max="14091" width="8.6640625" style="120"/>
    <col min="14092" max="14092" width="8.1640625" style="120" customWidth="1"/>
    <col min="14093" max="14337" width="8.6640625" style="120"/>
    <col min="14338" max="14338" width="5.08203125" style="120" customWidth="1"/>
    <col min="14339" max="14340" width="8.6640625" style="120"/>
    <col min="14341" max="14341" width="5.08203125" style="120" customWidth="1"/>
    <col min="14342" max="14347" width="8.6640625" style="120"/>
    <col min="14348" max="14348" width="8.1640625" style="120" customWidth="1"/>
    <col min="14349" max="14593" width="8.6640625" style="120"/>
    <col min="14594" max="14594" width="5.08203125" style="120" customWidth="1"/>
    <col min="14595" max="14596" width="8.6640625" style="120"/>
    <col min="14597" max="14597" width="5.08203125" style="120" customWidth="1"/>
    <col min="14598" max="14603" width="8.6640625" style="120"/>
    <col min="14604" max="14604" width="8.1640625" style="120" customWidth="1"/>
    <col min="14605" max="14849" width="8.6640625" style="120"/>
    <col min="14850" max="14850" width="5.08203125" style="120" customWidth="1"/>
    <col min="14851" max="14852" width="8.6640625" style="120"/>
    <col min="14853" max="14853" width="5.08203125" style="120" customWidth="1"/>
    <col min="14854" max="14859" width="8.6640625" style="120"/>
    <col min="14860" max="14860" width="8.1640625" style="120" customWidth="1"/>
    <col min="14861" max="15105" width="8.6640625" style="120"/>
    <col min="15106" max="15106" width="5.08203125" style="120" customWidth="1"/>
    <col min="15107" max="15108" width="8.6640625" style="120"/>
    <col min="15109" max="15109" width="5.08203125" style="120" customWidth="1"/>
    <col min="15110" max="15115" width="8.6640625" style="120"/>
    <col min="15116" max="15116" width="8.1640625" style="120" customWidth="1"/>
    <col min="15117" max="15361" width="8.6640625" style="120"/>
    <col min="15362" max="15362" width="5.08203125" style="120" customWidth="1"/>
    <col min="15363" max="15364" width="8.6640625" style="120"/>
    <col min="15365" max="15365" width="5.08203125" style="120" customWidth="1"/>
    <col min="15366" max="15371" width="8.6640625" style="120"/>
    <col min="15372" max="15372" width="8.1640625" style="120" customWidth="1"/>
    <col min="15373" max="15617" width="8.6640625" style="120"/>
    <col min="15618" max="15618" width="5.08203125" style="120" customWidth="1"/>
    <col min="15619" max="15620" width="8.6640625" style="120"/>
    <col min="15621" max="15621" width="5.08203125" style="120" customWidth="1"/>
    <col min="15622" max="15627" width="8.6640625" style="120"/>
    <col min="15628" max="15628" width="8.1640625" style="120" customWidth="1"/>
    <col min="15629" max="15873" width="8.6640625" style="120"/>
    <col min="15874" max="15874" width="5.08203125" style="120" customWidth="1"/>
    <col min="15875" max="15876" width="8.6640625" style="120"/>
    <col min="15877" max="15877" width="5.08203125" style="120" customWidth="1"/>
    <col min="15878" max="15883" width="8.6640625" style="120"/>
    <col min="15884" max="15884" width="8.1640625" style="120" customWidth="1"/>
    <col min="15885" max="16129" width="8.6640625" style="120"/>
    <col min="16130" max="16130" width="5.08203125" style="120" customWidth="1"/>
    <col min="16131" max="16132" width="8.6640625" style="120"/>
    <col min="16133" max="16133" width="5.08203125" style="120" customWidth="1"/>
    <col min="16134" max="16139" width="8.6640625" style="120"/>
    <col min="16140" max="16140" width="8.1640625" style="120" customWidth="1"/>
    <col min="16141" max="16384" width="8.6640625" style="120"/>
  </cols>
  <sheetData>
    <row r="1" spans="2:12" ht="30" customHeight="1">
      <c r="B1" s="705" t="s">
        <v>980</v>
      </c>
      <c r="C1" s="705"/>
      <c r="D1" s="705"/>
      <c r="E1" s="705"/>
      <c r="F1" s="705"/>
      <c r="G1" s="705"/>
      <c r="H1" s="705"/>
      <c r="I1" s="705"/>
      <c r="J1" s="705"/>
      <c r="K1" s="705"/>
      <c r="L1" s="705"/>
    </row>
    <row r="2" spans="2:12" ht="23.25" customHeight="1">
      <c r="B2" s="568"/>
      <c r="C2" s="568"/>
      <c r="D2" s="568"/>
      <c r="E2" s="568"/>
      <c r="F2" s="568"/>
      <c r="G2" s="568"/>
      <c r="H2" s="568"/>
      <c r="I2" s="568"/>
      <c r="J2" s="568"/>
      <c r="K2" s="568"/>
      <c r="L2" s="569" t="s">
        <v>1664</v>
      </c>
    </row>
    <row r="3" spans="2:12" ht="33.75" customHeight="1">
      <c r="B3" s="725" t="s">
        <v>344</v>
      </c>
      <c r="C3" s="725"/>
      <c r="D3" s="725"/>
      <c r="E3" s="725"/>
      <c r="F3" s="725"/>
      <c r="G3" s="725"/>
      <c r="H3" s="444"/>
      <c r="I3" s="444"/>
      <c r="J3" s="444"/>
      <c r="K3" s="444"/>
      <c r="L3" s="444"/>
    </row>
    <row r="4" spans="2:12" ht="37.5" customHeight="1">
      <c r="B4" s="446"/>
      <c r="C4" s="447"/>
      <c r="D4" s="726" t="s">
        <v>1677</v>
      </c>
      <c r="E4" s="727"/>
      <c r="F4" s="727"/>
      <c r="G4" s="727"/>
      <c r="H4" s="727"/>
      <c r="I4" s="727"/>
      <c r="J4" s="727"/>
      <c r="K4" s="727"/>
      <c r="L4" s="727"/>
    </row>
    <row r="5" spans="2:12" ht="5.15" customHeight="1">
      <c r="B5" s="444"/>
      <c r="C5" s="444"/>
      <c r="D5" s="444"/>
      <c r="E5" s="444"/>
      <c r="F5" s="444"/>
      <c r="G5" s="444"/>
      <c r="H5" s="444"/>
      <c r="I5" s="444"/>
      <c r="J5" s="444"/>
      <c r="K5" s="444"/>
      <c r="L5" s="444"/>
    </row>
    <row r="6" spans="2:12" ht="20.149999999999999" customHeight="1">
      <c r="B6" s="570"/>
      <c r="C6" s="571"/>
      <c r="D6" s="693" t="s">
        <v>963</v>
      </c>
      <c r="E6" s="693"/>
      <c r="F6" s="693"/>
      <c r="G6" s="693"/>
      <c r="H6" s="693"/>
      <c r="I6" s="693"/>
      <c r="J6" s="693"/>
      <c r="K6" s="693"/>
      <c r="L6" s="693"/>
    </row>
    <row r="7" spans="2:12" ht="41" customHeight="1">
      <c r="B7" s="572"/>
      <c r="C7" s="573"/>
      <c r="D7" s="693"/>
      <c r="E7" s="693"/>
      <c r="F7" s="693"/>
      <c r="G7" s="693"/>
      <c r="H7" s="693"/>
      <c r="I7" s="693"/>
      <c r="J7" s="693"/>
      <c r="K7" s="693"/>
      <c r="L7" s="693"/>
    </row>
    <row r="8" spans="2:12" ht="42.5" customHeight="1">
      <c r="B8" s="444"/>
      <c r="C8" s="444"/>
      <c r="D8" s="727" t="s">
        <v>1678</v>
      </c>
      <c r="E8" s="727"/>
      <c r="F8" s="727"/>
      <c r="G8" s="727"/>
      <c r="H8" s="727"/>
      <c r="I8" s="727"/>
      <c r="J8" s="727"/>
      <c r="K8" s="727"/>
      <c r="L8" s="727"/>
    </row>
    <row r="9" spans="2:12" ht="20.25" customHeight="1">
      <c r="B9" s="724" t="s">
        <v>1553</v>
      </c>
      <c r="C9" s="724"/>
      <c r="D9" s="724"/>
      <c r="E9" s="724"/>
      <c r="F9" s="724"/>
      <c r="G9" s="724"/>
      <c r="H9" s="724"/>
      <c r="I9" s="724"/>
      <c r="J9" s="724"/>
      <c r="K9" s="724"/>
      <c r="L9" s="724"/>
    </row>
    <row r="10" spans="2:12" ht="30.75" customHeight="1">
      <c r="B10" s="692" t="s">
        <v>965</v>
      </c>
      <c r="C10" s="692"/>
      <c r="D10" s="692"/>
      <c r="E10" s="692"/>
      <c r="F10" s="692"/>
      <c r="G10" s="692"/>
      <c r="H10" s="444"/>
      <c r="I10" s="444"/>
      <c r="J10" s="444"/>
      <c r="K10" s="444"/>
      <c r="L10" s="444"/>
    </row>
    <row r="11" spans="2:12" ht="24" customHeight="1">
      <c r="B11" s="698" t="s">
        <v>1679</v>
      </c>
      <c r="C11" s="698"/>
      <c r="D11" s="698"/>
      <c r="E11" s="698"/>
      <c r="F11" s="698"/>
      <c r="G11" s="698"/>
      <c r="H11" s="698"/>
      <c r="I11" s="698"/>
      <c r="J11" s="698"/>
      <c r="K11" s="698"/>
      <c r="L11" s="698"/>
    </row>
    <row r="12" spans="2:12" ht="34" customHeight="1">
      <c r="B12" s="722" t="s">
        <v>967</v>
      </c>
      <c r="C12" s="722"/>
      <c r="D12" s="722"/>
      <c r="E12" s="722"/>
      <c r="F12" s="722"/>
      <c r="G12" s="722"/>
      <c r="H12" s="722"/>
      <c r="I12" s="722"/>
      <c r="J12" s="722"/>
      <c r="K12" s="722"/>
      <c r="L12" s="444"/>
    </row>
    <row r="13" spans="2:12" ht="20.149999999999999" customHeight="1">
      <c r="B13" s="699" t="s">
        <v>1680</v>
      </c>
      <c r="C13" s="699"/>
      <c r="D13" s="699"/>
      <c r="E13" s="699"/>
      <c r="F13" s="699"/>
      <c r="G13" s="699"/>
      <c r="H13" s="450" t="s">
        <v>346</v>
      </c>
      <c r="I13" s="723" t="s">
        <v>348</v>
      </c>
      <c r="J13" s="701"/>
      <c r="K13" s="701"/>
      <c r="L13" s="701"/>
    </row>
    <row r="14" spans="2:12" ht="11.25" customHeight="1">
      <c r="B14" s="444"/>
      <c r="C14" s="444"/>
      <c r="D14" s="444"/>
      <c r="E14" s="444"/>
      <c r="F14" s="444"/>
      <c r="G14" s="444"/>
      <c r="H14" s="444"/>
      <c r="I14" s="444"/>
      <c r="J14" s="444"/>
      <c r="K14" s="444"/>
      <c r="L14" s="444"/>
    </row>
    <row r="15" spans="2:12" ht="21.75" customHeight="1">
      <c r="B15" s="444"/>
      <c r="C15" s="444"/>
      <c r="D15" s="696" t="s">
        <v>1160</v>
      </c>
      <c r="E15" s="696"/>
      <c r="F15" s="696"/>
      <c r="G15" s="696"/>
      <c r="H15" s="696"/>
      <c r="I15" s="696"/>
      <c r="J15" s="696"/>
      <c r="K15" s="696"/>
      <c r="L15" s="696"/>
    </row>
    <row r="16" spans="2:12" ht="21.75" customHeight="1">
      <c r="B16" s="444"/>
      <c r="C16" s="444"/>
      <c r="D16" s="696" t="s">
        <v>1120</v>
      </c>
      <c r="E16" s="696"/>
      <c r="F16" s="696"/>
      <c r="G16" s="696"/>
      <c r="H16" s="696"/>
      <c r="I16" s="696"/>
      <c r="J16" s="696"/>
      <c r="K16" s="696"/>
      <c r="L16" s="696"/>
    </row>
    <row r="17" spans="2:12" ht="21.75" customHeight="1">
      <c r="B17" s="444"/>
      <c r="C17" s="444"/>
      <c r="D17" s="444" t="s">
        <v>1551</v>
      </c>
      <c r="E17" s="444"/>
      <c r="F17" s="444"/>
      <c r="G17" s="444"/>
      <c r="H17" s="444"/>
      <c r="I17" s="451"/>
      <c r="J17" s="451"/>
      <c r="K17" s="451"/>
      <c r="L17" s="444"/>
    </row>
    <row r="18" spans="2:12" ht="21.75" customHeight="1">
      <c r="B18" s="444"/>
      <c r="C18" s="444"/>
      <c r="D18" s="696" t="s">
        <v>347</v>
      </c>
      <c r="E18" s="696"/>
      <c r="F18" s="696"/>
      <c r="G18" s="696"/>
      <c r="H18" s="696"/>
      <c r="I18" s="696"/>
      <c r="J18" s="696"/>
      <c r="K18" s="696"/>
      <c r="L18" s="696"/>
    </row>
    <row r="19" spans="2:12" ht="21.75" customHeight="1">
      <c r="B19" s="444"/>
      <c r="C19" s="444"/>
      <c r="D19" s="452" t="s">
        <v>349</v>
      </c>
      <c r="E19" s="697" t="s">
        <v>348</v>
      </c>
      <c r="F19" s="697"/>
      <c r="G19" s="697"/>
      <c r="H19" s="697"/>
      <c r="I19" s="697"/>
      <c r="J19" s="697"/>
      <c r="K19" s="697"/>
      <c r="L19" s="697"/>
    </row>
    <row r="20" spans="2:12" ht="21.75" customHeight="1"/>
    <row r="21" spans="2:12" ht="20.149999999999999" customHeight="1"/>
    <row r="22" spans="2:12" ht="20.149999999999999" customHeight="1"/>
    <row r="23" spans="2:12" ht="20.149999999999999" customHeight="1"/>
    <row r="24" spans="2:12" ht="20.149999999999999" customHeight="1"/>
  </sheetData>
  <sheetProtection algorithmName="SHA-512" hashValue="082SYDtudZqOxoQ7vO1vkN8qrLO/rKdnrze2MSeA/71RMxnyB1WoH7Pbb9jVKiQ9csFaJiVI2Ny2AHhF2U8ELg==" saltValue="0m78P9r8aFPNgrqk38KVBw==" spinCount="100000" sheet="1" objects="1" scenarios="1" selectLockedCells="1"/>
  <mergeCells count="15">
    <mergeCell ref="B9:L9"/>
    <mergeCell ref="B1:L1"/>
    <mergeCell ref="B3:G3"/>
    <mergeCell ref="D4:L4"/>
    <mergeCell ref="D6:L7"/>
    <mergeCell ref="D8:L8"/>
    <mergeCell ref="D16:L16"/>
    <mergeCell ref="D18:L18"/>
    <mergeCell ref="E19:L19"/>
    <mergeCell ref="B10:G10"/>
    <mergeCell ref="B11:L11"/>
    <mergeCell ref="B12:K12"/>
    <mergeCell ref="B13:G13"/>
    <mergeCell ref="I13:L13"/>
    <mergeCell ref="D15:L15"/>
  </mergeCells>
  <phoneticPr fontId="1"/>
  <hyperlinks>
    <hyperlink ref="I13" r:id="rId1" xr:uid="{4E56D367-B736-4426-BB17-323312667BCD}"/>
    <hyperlink ref="E19" r:id="rId2" xr:uid="{5FBDF0C9-30A2-4C73-94C0-B52160ABE318}"/>
    <hyperlink ref="B9:L9" location="【重要】送付前確認シート!A1" display="※入力後、必ず「【重要】送付前確認」シートをご確認ください。" xr:uid="{E9EC2E9A-2825-4DC2-97A6-AD0775546E00}"/>
  </hyperlinks>
  <printOptions horizontalCentered="1"/>
  <pageMargins left="0.59055118110236227" right="0.59055118110236227" top="0.98425196850393704" bottom="0.98425196850393704" header="0.51181102362204722" footer="0.51181102362204722"/>
  <pageSetup paperSize="9" scale="94" orientation="portrait" r:id="rId3"/>
  <headerFooter alignWithMargins="0"/>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52</vt:i4>
      </vt:variant>
    </vt:vector>
  </HeadingPairs>
  <TitlesOfParts>
    <vt:vector size="90" baseType="lpstr">
      <vt:lpstr>カメラ</vt:lpstr>
      <vt:lpstr>リスト</vt:lpstr>
      <vt:lpstr>補助金用基本データ</vt:lpstr>
      <vt:lpstr>個別データ</vt:lpstr>
      <vt:lpstr>修正等箇所</vt:lpstr>
      <vt:lpstr>補助転記</vt:lpstr>
      <vt:lpstr>⓪ファイルの説明（実績）</vt:lpstr>
      <vt:lpstr>⓪ファイルの説明（第二期分割請求）</vt:lpstr>
      <vt:lpstr>⓪ファイルの説明（当初）</vt:lpstr>
      <vt:lpstr>⓪ファイルの説明（第二期当初交付）</vt:lpstr>
      <vt:lpstr>①基本情報</vt:lpstr>
      <vt:lpstr>②-1職員名簿</vt:lpstr>
      <vt:lpstr>②-2勤務時間数入力</vt:lpstr>
      <vt:lpstr>③児童数及び職員定数 (2)-(1)</vt:lpstr>
      <vt:lpstr>④-1月別配置内訳書(2)-(2)-(A)</vt:lpstr>
      <vt:lpstr>④-2月別配置内訳書(2)-(2)-(B)</vt:lpstr>
      <vt:lpstr>④-3月別配置内訳書(2)-(2)-(C)・(D)</vt:lpstr>
      <vt:lpstr>④-４月別配置内訳書(2)-(2)-(E)</vt:lpstr>
      <vt:lpstr>判定</vt:lpstr>
      <vt:lpstr>⑤基本加算１</vt:lpstr>
      <vt:lpstr>⑥基本加算２</vt:lpstr>
      <vt:lpstr>⑦基本加算３</vt:lpstr>
      <vt:lpstr>⑧一般加算１</vt:lpstr>
      <vt:lpstr>⑨一般加算２</vt:lpstr>
      <vt:lpstr>⑩特定加算１</vt:lpstr>
      <vt:lpstr>⑪特定加算２</vt:lpstr>
      <vt:lpstr>⑫公定価格加算分</vt:lpstr>
      <vt:lpstr>様式１（第二期当初交付）</vt:lpstr>
      <vt:lpstr>様式１</vt:lpstr>
      <vt:lpstr>様式３（第二期）</vt:lpstr>
      <vt:lpstr>加算判定</vt:lpstr>
      <vt:lpstr>様式３</vt:lpstr>
      <vt:lpstr>【重要】送付前確認シート</vt:lpstr>
      <vt:lpstr>チェックシート</vt:lpstr>
      <vt:lpstr>様式４</vt:lpstr>
      <vt:lpstr>様式６</vt:lpstr>
      <vt:lpstr>様式８</vt:lpstr>
      <vt:lpstr>精算書</vt:lpstr>
      <vt:lpstr>【重要】送付前確認シート!Print_Area</vt:lpstr>
      <vt:lpstr>'⓪ファイルの説明（実績）'!Print_Area</vt:lpstr>
      <vt:lpstr>'⓪ファイルの説明（第二期当初交付）'!Print_Area</vt:lpstr>
      <vt:lpstr>'⓪ファイルの説明（第二期分割請求）'!Print_Area</vt:lpstr>
      <vt:lpstr>'⓪ファイルの説明（当初）'!Print_Area</vt:lpstr>
      <vt:lpstr>①基本情報!Print_Area</vt:lpstr>
      <vt:lpstr>'②-1職員名簿'!Print_Area</vt:lpstr>
      <vt:lpstr>'②-2勤務時間数入力'!Print_Area</vt:lpstr>
      <vt:lpstr>'③児童数及び職員定数 (2)-(1)'!Print_Area</vt:lpstr>
      <vt:lpstr>'④-1月別配置内訳書(2)-(2)-(A)'!Print_Area</vt:lpstr>
      <vt:lpstr>'④-2月別配置内訳書(2)-(2)-(B)'!Print_Area</vt:lpstr>
      <vt:lpstr>'④-3月別配置内訳書(2)-(2)-(C)・(D)'!Print_Area</vt:lpstr>
      <vt:lpstr>'④-４月別配置内訳書(2)-(2)-(E)'!Print_Area</vt:lpstr>
      <vt:lpstr>⑤基本加算１!Print_Area</vt:lpstr>
      <vt:lpstr>⑥基本加算２!Print_Area</vt:lpstr>
      <vt:lpstr>⑦基本加算３!Print_Area</vt:lpstr>
      <vt:lpstr>⑧一般加算１!Print_Area</vt:lpstr>
      <vt:lpstr>⑨一般加算２!Print_Area</vt:lpstr>
      <vt:lpstr>⑩特定加算１!Print_Area</vt:lpstr>
      <vt:lpstr>⑪特定加算２!Print_Area</vt:lpstr>
      <vt:lpstr>⑫公定価格加算分!Print_Area</vt:lpstr>
      <vt:lpstr>修正等箇所!Print_Area</vt:lpstr>
      <vt:lpstr>精算書!Print_Area</vt:lpstr>
      <vt:lpstr>補助金用基本データ!Print_Area</vt:lpstr>
      <vt:lpstr>補助転記!Print_Area</vt:lpstr>
      <vt:lpstr>様式１!Print_Area</vt:lpstr>
      <vt:lpstr>'様式１（第二期当初交付）'!Print_Area</vt:lpstr>
      <vt:lpstr>様式３!Print_Area</vt:lpstr>
      <vt:lpstr>'様式３（第二期）'!Print_Area</vt:lpstr>
      <vt:lpstr>様式４!Print_Area</vt:lpstr>
      <vt:lpstr>様式６!Print_Area</vt:lpstr>
      <vt:lpstr>様式８!Print_Area</vt:lpstr>
      <vt:lpstr>'②-1職員名簿'!Print_Titles</vt:lpstr>
      <vt:lpstr>'②-2勤務時間数入力'!Print_Titles</vt:lpstr>
      <vt:lpstr>'③児童数及び職員定数 (2)-(1)'!Print_Titles</vt:lpstr>
      <vt:lpstr>パート</vt:lpstr>
      <vt:lpstr>稲毛区幼稚園型認定こども園</vt:lpstr>
      <vt:lpstr>稲毛区幼保連携型認定こども園</vt:lpstr>
      <vt:lpstr>花見川区幼稚園型認定こども園</vt:lpstr>
      <vt:lpstr>花見川区幼保連携型認定こども園</vt:lpstr>
      <vt:lpstr>若葉区幼稚園型認定こども園</vt:lpstr>
      <vt:lpstr>若葉区幼保連携型認定こども園</vt:lpstr>
      <vt:lpstr>嘱託</vt:lpstr>
      <vt:lpstr>正</vt:lpstr>
      <vt:lpstr>中央区幼稚園型認定こども園</vt:lpstr>
      <vt:lpstr>中央区幼保連携型認定こども園</vt:lpstr>
      <vt:lpstr>美浜区幼稚園型認定こども園</vt:lpstr>
      <vt:lpstr>美浜区幼保連携型認定こども園</vt:lpstr>
      <vt:lpstr>緑区地方裁量型認定こども園</vt:lpstr>
      <vt:lpstr>緑区保育所型認定こども園</vt:lpstr>
      <vt:lpstr>緑区幼稚園型認定こども園</vt:lpstr>
      <vt:lpstr>緑区幼保連携型認定こども園</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川口　理</dc:creator>
  <cp:lastModifiedBy>髙木　章友</cp:lastModifiedBy>
  <cp:lastPrinted>2026-02-18T08:26:40Z</cp:lastPrinted>
  <dcterms:created xsi:type="dcterms:W3CDTF">2020-01-30T01:50:13Z</dcterms:created>
  <dcterms:modified xsi:type="dcterms:W3CDTF">2026-03-25T11:07:48Z</dcterms:modified>
</cp:coreProperties>
</file>