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fileSharing readOnlyRecommended="1"/>
  <workbookPr filterPrivacy="1" codeName="ThisWorkbook" defaultThemeVersion="166925"/>
  <xr:revisionPtr revIDLastSave="0" documentId="13_ncr:1_{7B0D540F-84C6-42C9-9B35-CE832EB7BE96}" xr6:coauthVersionLast="47" xr6:coauthVersionMax="47" xr10:uidLastSave="{00000000-0000-0000-0000-000000000000}"/>
  <bookViews>
    <workbookView xWindow="-110" yWindow="-110" windowWidth="19420" windowHeight="10300" xr2:uid="{45EFAD32-9A66-4AF9-A367-E46E68E2642D}"/>
  </bookViews>
  <sheets>
    <sheet name="算定式" sheetId="13" r:id="rId1"/>
  </sheets>
  <definedNames>
    <definedName name="_xlnm.Print_Area" localSheetId="0">算定式!$B$1:$H$157</definedName>
    <definedName name="_xlnm.Print_Area">#N/A</definedName>
    <definedName name="データ型" localSheetId="0">#REF!</definedName>
    <definedName name="データ型">#REF!</definedName>
    <definedName name="データ長" localSheetId="0">#REF!</definedName>
    <definedName name="データ長">#REF!</definedName>
    <definedName name="繰り返し" localSheetId="0">#REF!</definedName>
    <definedName name="繰り返し">#REF!</definedName>
    <definedName name="構成文字種" localSheetId="0">#REF!</definedName>
    <definedName name="構成文字種">#REF!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情報照会条件" localSheetId="0">#REF!</definedName>
    <definedName name="情報照会条件">#REF!</definedName>
    <definedName name="遡及限度" localSheetId="0">#REF!</definedName>
    <definedName name="遡及限度">#REF!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3" i="13"/>
  <c r="G14" i="13"/>
  <c r="G16" i="13" l="1"/>
  <c r="G15" i="13"/>
  <c r="G11" i="13"/>
  <c r="E25" i="13" l="1"/>
  <c r="E139" i="13" l="1"/>
  <c r="G139" i="13" s="1"/>
  <c r="E142" i="13"/>
  <c r="E144" i="13" s="1"/>
  <c r="G144" i="13" s="1"/>
  <c r="G145" i="13" s="1"/>
  <c r="E147" i="13" l="1"/>
  <c r="G142" i="13"/>
  <c r="E130" i="13"/>
  <c r="G130" i="13" s="1"/>
  <c r="G96" i="13"/>
  <c r="G94" i="13"/>
  <c r="G93" i="13"/>
  <c r="G91" i="13"/>
  <c r="G90" i="13"/>
  <c r="G89" i="13"/>
  <c r="G87" i="13"/>
  <c r="G86" i="13"/>
  <c r="G85" i="13"/>
  <c r="G84" i="13"/>
  <c r="G83" i="13"/>
  <c r="G82" i="13"/>
  <c r="G81" i="13"/>
  <c r="G80" i="13"/>
  <c r="G79" i="13"/>
  <c r="G72" i="13"/>
  <c r="G71" i="13"/>
  <c r="G70" i="13"/>
  <c r="G69" i="13"/>
  <c r="G68" i="13"/>
  <c r="G67" i="13"/>
  <c r="G58" i="13"/>
  <c r="G57" i="13"/>
  <c r="G53" i="13"/>
  <c r="G52" i="13"/>
  <c r="G42" i="13"/>
  <c r="G41" i="13"/>
  <c r="G40" i="13"/>
  <c r="G39" i="13"/>
  <c r="G38" i="13"/>
  <c r="G37" i="13"/>
  <c r="G36" i="13"/>
  <c r="G33" i="13"/>
  <c r="G32" i="13"/>
  <c r="G31" i="13"/>
  <c r="G30" i="13"/>
  <c r="G29" i="13"/>
  <c r="G25" i="13"/>
  <c r="E22" i="13"/>
  <c r="G22" i="13" s="1"/>
  <c r="G21" i="13"/>
  <c r="G18" i="13"/>
  <c r="G17" i="13"/>
  <c r="G10" i="13" s="1"/>
  <c r="B10" i="13"/>
  <c r="B11" i="13" s="1"/>
  <c r="B12" i="13" s="1"/>
  <c r="B13" i="13" s="1"/>
  <c r="B14" i="13" s="1"/>
  <c r="B15" i="13" s="1"/>
  <c r="B16" i="13" s="1"/>
  <c r="B17" i="13" s="1"/>
  <c r="B18" i="13" s="1"/>
  <c r="B21" i="13" s="1"/>
  <c r="B22" i="13" s="1"/>
  <c r="B23" i="13" s="1"/>
  <c r="B24" i="13" s="1"/>
  <c r="B25" i="13" s="1"/>
  <c r="B26" i="13" s="1"/>
  <c r="B27" i="13" s="1"/>
  <c r="B28" i="13" s="1"/>
  <c r="B29" i="13" s="1"/>
  <c r="B30" i="13" s="1"/>
  <c r="B31" i="13" s="1"/>
  <c r="B32" i="13" s="1"/>
  <c r="B33" i="13" s="1"/>
  <c r="B34" i="13" s="1"/>
  <c r="B36" i="13" s="1"/>
  <c r="B37" i="13" s="1"/>
  <c r="B38" i="13" s="1"/>
  <c r="B39" i="13" s="1"/>
  <c r="B40" i="13" s="1"/>
  <c r="B41" i="13" s="1"/>
  <c r="B42"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9" i="13" s="1"/>
  <c r="B120" i="13" s="1"/>
  <c r="B121" i="13" s="1"/>
  <c r="B122" i="13" s="1"/>
  <c r="B123" i="13" s="1"/>
  <c r="B124" i="13" s="1"/>
  <c r="B125" i="13" s="1"/>
  <c r="B126" i="13" s="1"/>
  <c r="B127" i="13" s="1"/>
  <c r="B128" i="13" s="1"/>
  <c r="B130" i="13" s="1"/>
  <c r="B131" i="13" s="1"/>
  <c r="B134" i="13" s="1"/>
  <c r="G34" i="13" l="1"/>
  <c r="G78" i="13" s="1"/>
  <c r="G19" i="13"/>
  <c r="G49" i="13"/>
  <c r="G44" i="13"/>
  <c r="G45" i="13" s="1"/>
  <c r="G46" i="13" s="1"/>
  <c r="G147" i="13"/>
  <c r="E148" i="13"/>
  <c r="G148" i="13" s="1"/>
  <c r="G50" i="13"/>
  <c r="G51" i="13" s="1"/>
  <c r="G55" i="13" s="1"/>
  <c r="G97" i="13" l="1"/>
  <c r="G74" i="13"/>
  <c r="G75" i="13"/>
  <c r="G76" i="13"/>
  <c r="G54" i="13"/>
  <c r="G56" i="13"/>
  <c r="G60" i="13" s="1"/>
  <c r="G59" i="13"/>
  <c r="G47" i="13"/>
  <c r="G48" i="13" s="1"/>
  <c r="G98" i="13" l="1"/>
  <c r="G100" i="13" s="1"/>
  <c r="G61" i="13"/>
  <c r="G62" i="13" s="1"/>
  <c r="G101" i="13" l="1"/>
  <c r="G102" i="13" s="1"/>
  <c r="G63" i="13"/>
  <c r="G64" i="13" s="1"/>
  <c r="G65" i="13" l="1"/>
  <c r="G122" i="13"/>
  <c r="G128" i="13" s="1"/>
  <c r="G103" i="13"/>
  <c r="G104" i="13" s="1"/>
  <c r="G120" i="13" l="1"/>
  <c r="G105" i="13"/>
  <c r="G106" i="13" s="1"/>
  <c r="G107" i="13" s="1"/>
  <c r="G108" i="13" s="1"/>
  <c r="G109" i="13" s="1"/>
  <c r="G110" i="13" s="1"/>
  <c r="G111" i="13" s="1"/>
  <c r="G112" i="13" s="1"/>
  <c r="G113" i="13" s="1"/>
  <c r="G114" i="13" s="1"/>
  <c r="G119" i="13" l="1"/>
  <c r="G125" i="13" s="1"/>
  <c r="G115" i="13"/>
  <c r="G116" i="13" s="1"/>
  <c r="G117" i="13" s="1"/>
  <c r="G124" i="13" s="1"/>
  <c r="G126" i="13"/>
  <c r="G121" i="13"/>
  <c r="G127" i="13" s="1"/>
  <c r="G134" i="13" l="1"/>
  <c r="E146" i="13" s="1"/>
  <c r="G146" i="13" s="1"/>
  <c r="G149" i="13" l="1"/>
  <c r="G150" i="13" s="1"/>
  <c r="G151" i="13" s="1"/>
</calcChain>
</file>

<file path=xl/sharedStrings.xml><?xml version="1.0" encoding="utf-8"?>
<sst xmlns="http://schemas.openxmlformats.org/spreadsheetml/2006/main" count="342" uniqueCount="208">
  <si>
    <t>事業所得額</t>
  </si>
  <si>
    <t>特別控除額（長期軽課所得）</t>
  </si>
  <si>
    <t>特別控除額（短期一般所得）</t>
  </si>
  <si>
    <t>特別控除額（短期軽減所得）</t>
  </si>
  <si>
    <t>市町村民税所得割額（定額減税前）</t>
    <phoneticPr fontId="1"/>
  </si>
  <si>
    <t>都道府県民税所得割額（定額減税前）</t>
    <phoneticPr fontId="1"/>
  </si>
  <si>
    <t>項目</t>
    <rPh sb="0" eb="2">
      <t>コウモク</t>
    </rPh>
    <phoneticPr fontId="1"/>
  </si>
  <si>
    <t>No</t>
    <phoneticPr fontId="1"/>
  </si>
  <si>
    <t>データ標準
レイアウト
項目No</t>
    <rPh sb="3" eb="5">
      <t>ヒョウジュン</t>
    </rPh>
    <rPh sb="12" eb="14">
      <t>コウモク</t>
    </rPh>
    <phoneticPr fontId="1"/>
  </si>
  <si>
    <t>考え方</t>
    <rPh sb="0" eb="1">
      <t>カンガ</t>
    </rPh>
    <rPh sb="2" eb="3">
      <t>カタ</t>
    </rPh>
    <phoneticPr fontId="1"/>
  </si>
  <si>
    <t>－</t>
    <phoneticPr fontId="1"/>
  </si>
  <si>
    <t>総所得金額（繰越控除前）</t>
    <rPh sb="0" eb="3">
      <t>ソウショトク</t>
    </rPh>
    <rPh sb="3" eb="5">
      <t>キンガク</t>
    </rPh>
    <rPh sb="6" eb="8">
      <t>クリコシ</t>
    </rPh>
    <rPh sb="8" eb="10">
      <t>コウジョ</t>
    </rPh>
    <rPh sb="10" eb="11">
      <t>マエ</t>
    </rPh>
    <phoneticPr fontId="1"/>
  </si>
  <si>
    <t>データ標準レイアウトの「6.総所得金額」は繰越控除を加味しているものであるため、繰越控除を加味しないものを算出。</t>
    <rPh sb="3" eb="5">
      <t>ヒョウジュン</t>
    </rPh>
    <rPh sb="14" eb="17">
      <t>ソウショトク</t>
    </rPh>
    <rPh sb="17" eb="19">
      <t>キンガク</t>
    </rPh>
    <rPh sb="21" eb="23">
      <t>クリコ</t>
    </rPh>
    <rPh sb="23" eb="25">
      <t>コウジョ</t>
    </rPh>
    <rPh sb="26" eb="28">
      <t>カミ</t>
    </rPh>
    <rPh sb="40" eb="42">
      <t>クリコ</t>
    </rPh>
    <rPh sb="42" eb="44">
      <t>コウジョ</t>
    </rPh>
    <rPh sb="45" eb="47">
      <t>カミ</t>
    </rPh>
    <rPh sb="53" eb="55">
      <t>サンシュツ</t>
    </rPh>
    <phoneticPr fontId="1"/>
  </si>
  <si>
    <t>給与所得額</t>
  </si>
  <si>
    <t>×1/2</t>
    <phoneticPr fontId="1"/>
  </si>
  <si>
    <t>＝</t>
    <phoneticPr fontId="1"/>
  </si>
  <si>
    <t>山林所得額</t>
    <rPh sb="0" eb="2">
      <t>サンリン</t>
    </rPh>
    <rPh sb="2" eb="4">
      <t>ショトク</t>
    </rPh>
    <rPh sb="4" eb="5">
      <t>ガク</t>
    </rPh>
    <phoneticPr fontId="1"/>
  </si>
  <si>
    <t>退職所得額</t>
    <rPh sb="0" eb="2">
      <t>タイショク</t>
    </rPh>
    <rPh sb="2" eb="4">
      <t>ショトク</t>
    </rPh>
    <rPh sb="4" eb="5">
      <t>ガク</t>
    </rPh>
    <phoneticPr fontId="1"/>
  </si>
  <si>
    <t>合計所得金額</t>
    <rPh sb="0" eb="2">
      <t>ゴウケイ</t>
    </rPh>
    <rPh sb="2" eb="4">
      <t>ショトク</t>
    </rPh>
    <rPh sb="4" eb="6">
      <t>キンガク</t>
    </rPh>
    <phoneticPr fontId="1"/>
  </si>
  <si>
    <t>純損失繰越控除額</t>
    <phoneticPr fontId="1"/>
  </si>
  <si>
    <t>雑損失繰越控除額</t>
    <phoneticPr fontId="1"/>
  </si>
  <si>
    <t>居住用財産譲渡損失繰越控除額</t>
    <phoneticPr fontId="1"/>
  </si>
  <si>
    <t>特定居住用財産譲渡損失繰越控除額</t>
    <phoneticPr fontId="1"/>
  </si>
  <si>
    <t>上場株式等譲渡損失繰越控除額</t>
    <phoneticPr fontId="1"/>
  </si>
  <si>
    <t>特定株式等譲渡損失繰越控除額</t>
    <phoneticPr fontId="1"/>
  </si>
  <si>
    <t>先物取引差金等決済損失繰越控除額</t>
    <phoneticPr fontId="1"/>
  </si>
  <si>
    <t>控除しきれない額</t>
    <rPh sb="0" eb="2">
      <t>コウジョ</t>
    </rPh>
    <rPh sb="7" eb="8">
      <t>ガク</t>
    </rPh>
    <phoneticPr fontId="1"/>
  </si>
  <si>
    <t>特別控除額（長期一般所得）</t>
    <phoneticPr fontId="1"/>
  </si>
  <si>
    <t>雑損控除額</t>
    <phoneticPr fontId="1"/>
  </si>
  <si>
    <t>医療費控除額</t>
    <phoneticPr fontId="1"/>
  </si>
  <si>
    <t>小規模共済等掛金控除額</t>
    <phoneticPr fontId="1"/>
  </si>
  <si>
    <t>社会保険料控除額</t>
    <phoneticPr fontId="1"/>
  </si>
  <si>
    <t>生命保険料控除額</t>
    <phoneticPr fontId="1"/>
  </si>
  <si>
    <t>×4/2.8</t>
    <phoneticPr fontId="1"/>
  </si>
  <si>
    <t>地震保険料控除額</t>
    <phoneticPr fontId="1"/>
  </si>
  <si>
    <t>×10/5</t>
    <phoneticPr fontId="1"/>
  </si>
  <si>
    <t>配偶者特別控除額</t>
    <rPh sb="3" eb="7">
      <t>トクベツコウジョ</t>
    </rPh>
    <rPh sb="7" eb="8">
      <t>ガク</t>
    </rPh>
    <phoneticPr fontId="1"/>
  </si>
  <si>
    <t>合計所得金額900万円以下の場合</t>
    <rPh sb="0" eb="2">
      <t>ゴウケイ</t>
    </rPh>
    <rPh sb="2" eb="4">
      <t>ショトク</t>
    </rPh>
    <rPh sb="4" eb="6">
      <t>キンガク</t>
    </rPh>
    <rPh sb="9" eb="11">
      <t>マンエン</t>
    </rPh>
    <rPh sb="11" eb="13">
      <t>イカ</t>
    </rPh>
    <rPh sb="14" eb="16">
      <t>バアイ</t>
    </rPh>
    <phoneticPr fontId="1"/>
  </si>
  <si>
    <t>合計所得金額900万円超
950万以下の場合</t>
    <rPh sb="0" eb="2">
      <t>ゴウケイ</t>
    </rPh>
    <rPh sb="2" eb="4">
      <t>ショトク</t>
    </rPh>
    <rPh sb="4" eb="6">
      <t>キンガク</t>
    </rPh>
    <rPh sb="9" eb="11">
      <t>マンエン</t>
    </rPh>
    <rPh sb="11" eb="12">
      <t>コ</t>
    </rPh>
    <rPh sb="16" eb="17">
      <t>マン</t>
    </rPh>
    <rPh sb="17" eb="19">
      <t>イカ</t>
    </rPh>
    <rPh sb="20" eb="22">
      <t>バアイ</t>
    </rPh>
    <phoneticPr fontId="1"/>
  </si>
  <si>
    <t>合計所得金額950万円超
1,000万円以下の場合</t>
    <rPh sb="0" eb="2">
      <t>ゴウケイ</t>
    </rPh>
    <rPh sb="2" eb="4">
      <t>ショトク</t>
    </rPh>
    <rPh sb="4" eb="6">
      <t>キンガク</t>
    </rPh>
    <rPh sb="9" eb="10">
      <t>マン</t>
    </rPh>
    <rPh sb="10" eb="11">
      <t>エン</t>
    </rPh>
    <rPh sb="11" eb="12">
      <t>コ</t>
    </rPh>
    <rPh sb="18" eb="20">
      <t>マンエン</t>
    </rPh>
    <rPh sb="20" eb="22">
      <t>イカ</t>
    </rPh>
    <rPh sb="23" eb="25">
      <t>バアイ</t>
    </rPh>
    <phoneticPr fontId="1"/>
  </si>
  <si>
    <t>1：一般の控除対象配偶者の場合</t>
  </si>
  <si>
    <t>＋380,000/＋260,000/＋130,000</t>
    <phoneticPr fontId="1"/>
  </si>
  <si>
    <t>2：老人控除対象配偶者の場合</t>
    <rPh sb="12" eb="14">
      <t>バアイ</t>
    </rPh>
    <phoneticPr fontId="1"/>
  </si>
  <si>
    <t>＋480,000/＋320,000/＋160,000</t>
    <phoneticPr fontId="1"/>
  </si>
  <si>
    <t>3：控除対象配偶者を除く
同一生計配偶者の場合</t>
    <rPh sb="21" eb="23">
      <t>バアイ</t>
    </rPh>
    <phoneticPr fontId="1"/>
  </si>
  <si>
    <t>×0</t>
    <phoneticPr fontId="1"/>
  </si>
  <si>
    <t>一般扶養控除者数</t>
    <rPh sb="2" eb="4">
      <t>フヨウ</t>
    </rPh>
    <rPh sb="4" eb="6">
      <t>コウジョ</t>
    </rPh>
    <rPh sb="6" eb="7">
      <t>モノ</t>
    </rPh>
    <rPh sb="7" eb="8">
      <t>スウ</t>
    </rPh>
    <phoneticPr fontId="1"/>
  </si>
  <si>
    <t>×380,000</t>
    <phoneticPr fontId="1"/>
  </si>
  <si>
    <t>特定扶養控除者数</t>
    <rPh sb="2" eb="4">
      <t>フヨウ</t>
    </rPh>
    <rPh sb="4" eb="6">
      <t>コウジョ</t>
    </rPh>
    <phoneticPr fontId="1"/>
  </si>
  <si>
    <t>×630,000</t>
    <phoneticPr fontId="1"/>
  </si>
  <si>
    <t>老人扶養控除者数</t>
    <rPh sb="2" eb="4">
      <t>フヨウ</t>
    </rPh>
    <rPh sb="4" eb="6">
      <t>コウジョ</t>
    </rPh>
    <phoneticPr fontId="1"/>
  </si>
  <si>
    <t>×480,000</t>
    <phoneticPr fontId="1"/>
  </si>
  <si>
    <t>×100,000</t>
    <phoneticPr fontId="1"/>
  </si>
  <si>
    <t>普通障害者数</t>
    <rPh sb="0" eb="2">
      <t>フツウ</t>
    </rPh>
    <rPh sb="2" eb="5">
      <t>ショウガイシャ</t>
    </rPh>
    <rPh sb="5" eb="6">
      <t>スウ</t>
    </rPh>
    <phoneticPr fontId="1"/>
  </si>
  <si>
    <t>×270,000</t>
    <phoneticPr fontId="1"/>
  </si>
  <si>
    <t>特別障害者数</t>
    <rPh sb="0" eb="2">
      <t>トクベツ</t>
    </rPh>
    <rPh sb="2" eb="5">
      <t>ショウガイシャ</t>
    </rPh>
    <rPh sb="5" eb="6">
      <t>スウ</t>
    </rPh>
    <phoneticPr fontId="1"/>
  </si>
  <si>
    <t>×400,000</t>
    <phoneticPr fontId="1"/>
  </si>
  <si>
    <t>×350,000</t>
    <phoneticPr fontId="1"/>
  </si>
  <si>
    <t>1：特別障害の場合</t>
    <rPh sb="2" eb="4">
      <t>トクベツ</t>
    </rPh>
    <rPh sb="4" eb="6">
      <t>ショウガイ</t>
    </rPh>
    <rPh sb="7" eb="9">
      <t>バアイ</t>
    </rPh>
    <phoneticPr fontId="1"/>
  </si>
  <si>
    <t>＋400,000</t>
    <phoneticPr fontId="1"/>
  </si>
  <si>
    <t>2：原爆障害の場合</t>
    <rPh sb="2" eb="4">
      <t>ゲンバク</t>
    </rPh>
    <rPh sb="4" eb="6">
      <t>ショウガイ</t>
    </rPh>
    <rPh sb="7" eb="9">
      <t>バアイ</t>
    </rPh>
    <phoneticPr fontId="1"/>
  </si>
  <si>
    <t>3：普通障害の場合</t>
    <rPh sb="2" eb="4">
      <t>フツウ</t>
    </rPh>
    <rPh sb="4" eb="6">
      <t>ショウガイ</t>
    </rPh>
    <rPh sb="7" eb="9">
      <t>バアイ</t>
    </rPh>
    <phoneticPr fontId="1"/>
  </si>
  <si>
    <t>＋270,000</t>
    <phoneticPr fontId="1"/>
  </si>
  <si>
    <t>1：寡婦の場合</t>
    <rPh sb="5" eb="7">
      <t>バアイ</t>
    </rPh>
    <phoneticPr fontId="1"/>
  </si>
  <si>
    <t>2：ひとり親の場合</t>
    <rPh sb="7" eb="9">
      <t>バアイ</t>
    </rPh>
    <phoneticPr fontId="1"/>
  </si>
  <si>
    <t>＋350,000</t>
    <phoneticPr fontId="1"/>
  </si>
  <si>
    <t>1：勤労学生の場合</t>
    <rPh sb="2" eb="4">
      <t>キンロウ</t>
    </rPh>
    <rPh sb="4" eb="6">
      <t>ガクセイ</t>
    </rPh>
    <rPh sb="7" eb="9">
      <t>バアイ</t>
    </rPh>
    <phoneticPr fontId="1"/>
  </si>
  <si>
    <t>所得控除額合計</t>
    <rPh sb="0" eb="2">
      <t>ショトク</t>
    </rPh>
    <rPh sb="2" eb="5">
      <t>コウジョガク</t>
    </rPh>
    <rPh sb="5" eb="7">
      <t>ゴウケイ</t>
    </rPh>
    <phoneticPr fontId="1"/>
  </si>
  <si>
    <t>1,000円未満切捨</t>
    <rPh sb="5" eb="6">
      <t>エン</t>
    </rPh>
    <rPh sb="6" eb="8">
      <t>ミマン</t>
    </rPh>
    <rPh sb="8" eb="10">
      <t>キリス</t>
    </rPh>
    <phoneticPr fontId="1"/>
  </si>
  <si>
    <t>控除しきれなかった額</t>
    <rPh sb="0" eb="2">
      <t>コウジョ</t>
    </rPh>
    <rPh sb="9" eb="10">
      <t>ガク</t>
    </rPh>
    <phoneticPr fontId="1"/>
  </si>
  <si>
    <t>－</t>
    <rPh sb="0" eb="1">
      <t>カ</t>
    </rPh>
    <phoneticPr fontId="1"/>
  </si>
  <si>
    <t>配当控除額</t>
    <rPh sb="0" eb="4">
      <t>ハイトウコウジョ</t>
    </rPh>
    <rPh sb="4" eb="5">
      <t>ガク</t>
    </rPh>
    <phoneticPr fontId="1"/>
  </si>
  <si>
    <t>×0.1</t>
    <phoneticPr fontId="1"/>
  </si>
  <si>
    <t>■調整給付額の算定</t>
    <rPh sb="1" eb="5">
      <t>チョウセイキュウフ</t>
    </rPh>
    <rPh sb="5" eb="6">
      <t>ガク</t>
    </rPh>
    <rPh sb="7" eb="9">
      <t>サンテイ</t>
    </rPh>
    <phoneticPr fontId="1"/>
  </si>
  <si>
    <t>Ｒ６年度個人住民税
課税情報等</t>
    <rPh sb="2" eb="4">
      <t>ネンド</t>
    </rPh>
    <rPh sb="4" eb="6">
      <t>コジン</t>
    </rPh>
    <rPh sb="6" eb="9">
      <t>ジュウミンゼイ</t>
    </rPh>
    <rPh sb="10" eb="12">
      <t>カゼイ</t>
    </rPh>
    <rPh sb="12" eb="14">
      <t>ジョウホウ</t>
    </rPh>
    <rPh sb="14" eb="15">
      <t>トウ</t>
    </rPh>
    <phoneticPr fontId="1"/>
  </si>
  <si>
    <t>定額減税可能額
算定のための算式</t>
    <rPh sb="0" eb="2">
      <t>テイガク</t>
    </rPh>
    <rPh sb="2" eb="4">
      <t>ゲンゼイ</t>
    </rPh>
    <rPh sb="4" eb="7">
      <t>カノウガク</t>
    </rPh>
    <rPh sb="8" eb="10">
      <t>サンテイ</t>
    </rPh>
    <rPh sb="14" eb="16">
      <t>サンシキ</t>
    </rPh>
    <phoneticPr fontId="1"/>
  </si>
  <si>
    <t>調整給付額
算出情報</t>
    <rPh sb="0" eb="5">
      <t>チョウセイキュウフガク</t>
    </rPh>
    <rPh sb="6" eb="8">
      <t>サンシュツ</t>
    </rPh>
    <rPh sb="8" eb="10">
      <t>ジョウホウ</t>
    </rPh>
    <phoneticPr fontId="1"/>
  </si>
  <si>
    <t>令和６年度個人住民税所得割額</t>
    <rPh sb="0" eb="2">
      <t>レイワ</t>
    </rPh>
    <rPh sb="3" eb="5">
      <t>ネンド</t>
    </rPh>
    <rPh sb="5" eb="10">
      <t>コジンジュウミンゼイ</t>
    </rPh>
    <rPh sb="10" eb="14">
      <t>ショトクワリガク</t>
    </rPh>
    <phoneticPr fontId="1"/>
  </si>
  <si>
    <t>No.202＋203</t>
    <phoneticPr fontId="1"/>
  </si>
  <si>
    <t>個人住民税における扶養親族数（控除対象配偶者含み、国外居住者除く）</t>
    <rPh sb="0" eb="5">
      <t>コジンジュウミンゼイ</t>
    </rPh>
    <rPh sb="9" eb="14">
      <t>フヨウシンゾクスウ</t>
    </rPh>
    <rPh sb="15" eb="22">
      <t>コウジョタイショウハイグウシャ</t>
    </rPh>
    <rPh sb="22" eb="23">
      <t>フク</t>
    </rPh>
    <rPh sb="25" eb="27">
      <t>コクガイ</t>
    </rPh>
    <rPh sb="27" eb="30">
      <t>キョジュウシャ</t>
    </rPh>
    <rPh sb="30" eb="31">
      <t>ノゾ</t>
    </rPh>
    <phoneticPr fontId="1"/>
  </si>
  <si>
    <t>No.65に１，２の数字が入っていれば１人カウントし、No.69～71,205は人数をカウント。No.215の数を控除。</t>
    <rPh sb="10" eb="12">
      <t>スウジ</t>
    </rPh>
    <rPh sb="13" eb="14">
      <t>ハイ</t>
    </rPh>
    <rPh sb="20" eb="21">
      <t>ニン</t>
    </rPh>
    <rPh sb="40" eb="42">
      <t>ニンズウ</t>
    </rPh>
    <rPh sb="55" eb="56">
      <t>カズ</t>
    </rPh>
    <rPh sb="57" eb="59">
      <t>コウジョ</t>
    </rPh>
    <phoneticPr fontId="1"/>
  </si>
  <si>
    <t>　16歳未満扶養者数</t>
    <phoneticPr fontId="1"/>
  </si>
  <si>
    <t>個人住民税定額減税可能額</t>
    <rPh sb="0" eb="2">
      <t>コジン</t>
    </rPh>
    <rPh sb="2" eb="5">
      <t>ジュウミンゼイ</t>
    </rPh>
    <rPh sb="5" eb="9">
      <t>テイガクゲンゼイ</t>
    </rPh>
    <rPh sb="9" eb="12">
      <t>カノウガク</t>
    </rPh>
    <phoneticPr fontId="1"/>
  </si>
  <si>
    <t>×10,000</t>
    <phoneticPr fontId="1"/>
  </si>
  <si>
    <t>１万円×減税対象人数（扶養親族数＋１）</t>
    <phoneticPr fontId="1"/>
  </si>
  <si>
    <t>個人住民税控除不足額</t>
    <rPh sb="0" eb="5">
      <t>コジンジュウミンゼイ</t>
    </rPh>
    <rPh sb="5" eb="7">
      <t>コウジョ</t>
    </rPh>
    <rPh sb="7" eb="10">
      <t>フソクガク</t>
    </rPh>
    <phoneticPr fontId="1"/>
  </si>
  <si>
    <t>No.206-201
No.206-201≦0であれば0
なお、No.214が1,805万円超の場合は0として扱う。</t>
    <rPh sb="45" eb="46">
      <t>エン</t>
    </rPh>
    <rPh sb="46" eb="47">
      <t>チョウ</t>
    </rPh>
    <rPh sb="48" eb="50">
      <t>バアイ</t>
    </rPh>
    <rPh sb="55" eb="56">
      <t>アツカ</t>
    </rPh>
    <phoneticPr fontId="1"/>
  </si>
  <si>
    <t>令和６年推計所得税額（令和５年所得税額）</t>
    <rPh sb="0" eb="2">
      <t>レイワ</t>
    </rPh>
    <rPh sb="3" eb="4">
      <t>ネン</t>
    </rPh>
    <rPh sb="4" eb="6">
      <t>スイケイ</t>
    </rPh>
    <rPh sb="6" eb="9">
      <t>ショトクゼイ</t>
    </rPh>
    <rPh sb="9" eb="10">
      <t>ガク</t>
    </rPh>
    <rPh sb="11" eb="13">
      <t>レイワ</t>
    </rPh>
    <rPh sb="14" eb="15">
      <t>ネン</t>
    </rPh>
    <rPh sb="15" eb="18">
      <t>ショトクゼイ</t>
    </rPh>
    <rPh sb="18" eb="19">
      <t>ガク</t>
    </rPh>
    <phoneticPr fontId="1"/>
  </si>
  <si>
    <t>No.118（推計所得税額）
or自治体で独自把握している額（No.216）</t>
  </si>
  <si>
    <t>所得税における扶養親族数（控除対象配偶者含み、国外居住者除く）</t>
    <rPh sb="0" eb="3">
      <t>ショトクゼイ</t>
    </rPh>
    <rPh sb="7" eb="12">
      <t>フヨウシンゾクスウ</t>
    </rPh>
    <rPh sb="13" eb="20">
      <t>コウジョタイショウハイグウシャ</t>
    </rPh>
    <rPh sb="20" eb="21">
      <t>フク</t>
    </rPh>
    <phoneticPr fontId="1"/>
  </si>
  <si>
    <t>No.204と同値
or自治体で独自把握している数（No.217）から扶養親族（控除対象配偶者含む）のうち国外居住者の数（No.215）を控除</t>
    <phoneticPr fontId="1"/>
  </si>
  <si>
    <t>所得税定額減税可能額</t>
    <rPh sb="0" eb="7">
      <t>ショトクゼイテイガクゲンゼイ</t>
    </rPh>
    <rPh sb="7" eb="10">
      <t>カノウガク</t>
    </rPh>
    <phoneticPr fontId="1"/>
  </si>
  <si>
    <t>×30,000</t>
    <phoneticPr fontId="1"/>
  </si>
  <si>
    <t>３万円×減税対象人数（扶養親族数＋１）</t>
    <phoneticPr fontId="1"/>
  </si>
  <si>
    <t>所得税控除不足額</t>
    <rPh sb="0" eb="3">
      <t>ショトクゼイ</t>
    </rPh>
    <rPh sb="3" eb="5">
      <t>コウジョ</t>
    </rPh>
    <rPh sb="5" eb="8">
      <t>フソクガク</t>
    </rPh>
    <phoneticPr fontId="1"/>
  </si>
  <si>
    <t>No.210-208
No.210-208≦0であれば0
なお、No.24又はNo.218が1,805万円超の場合、0として扱う（いずれにも数値が入っていない場合は、No.214が1,805万円超の場合、0として扱う。）。</t>
    <rPh sb="37" eb="38">
      <t>マタ</t>
    </rPh>
    <rPh sb="70" eb="72">
      <t>スウチ</t>
    </rPh>
    <rPh sb="73" eb="74">
      <t>ハイ</t>
    </rPh>
    <rPh sb="79" eb="81">
      <t>バアイ</t>
    </rPh>
    <phoneticPr fontId="1"/>
  </si>
  <si>
    <t>調整給付額（円単位）</t>
    <rPh sb="0" eb="5">
      <t>チョウセイキュウフガク</t>
    </rPh>
    <rPh sb="6" eb="9">
      <t>エンタンイ</t>
    </rPh>
    <phoneticPr fontId="1"/>
  </si>
  <si>
    <t>No.207+211
No.201=0かつNo.208＝0であれば0</t>
    <phoneticPr fontId="1"/>
  </si>
  <si>
    <t>調整給付額（万円単位）</t>
    <rPh sb="0" eb="4">
      <t>チョウセイキュウフ</t>
    </rPh>
    <rPh sb="4" eb="5">
      <t>ガク</t>
    </rPh>
    <rPh sb="6" eb="8">
      <t>マンエン</t>
    </rPh>
    <rPh sb="8" eb="10">
      <t>タンイ</t>
    </rPh>
    <phoneticPr fontId="1"/>
  </si>
  <si>
    <t>万円単位切上げ</t>
    <rPh sb="0" eb="2">
      <t>マンエン</t>
    </rPh>
    <rPh sb="2" eb="4">
      <t>タンイ</t>
    </rPh>
    <rPh sb="4" eb="6">
      <t>キリア</t>
    </rPh>
    <phoneticPr fontId="1"/>
  </si>
  <si>
    <t>No212を万円単位に切上げ。</t>
    <rPh sb="6" eb="8">
      <t>マンエン</t>
    </rPh>
    <rPh sb="8" eb="10">
      <t>タンイ</t>
    </rPh>
    <rPh sb="11" eb="13">
      <t>キリア</t>
    </rPh>
    <phoneticPr fontId="1"/>
  </si>
  <si>
    <t>個人住民税における合計所得金額</t>
    <rPh sb="0" eb="5">
      <t>コジンジュウミンゼイ</t>
    </rPh>
    <rPh sb="9" eb="15">
      <t>ゴウケイショトクキンガク</t>
    </rPh>
    <phoneticPr fontId="1"/>
  </si>
  <si>
    <t>1,805万円を超える場合、給付対象外のため調整給付額（個人住民税）の算定不要→No.207を0として扱う。</t>
    <rPh sb="5" eb="7">
      <t>マンエン</t>
    </rPh>
    <rPh sb="8" eb="9">
      <t>コ</t>
    </rPh>
    <rPh sb="11" eb="13">
      <t>バアイ</t>
    </rPh>
    <rPh sb="14" eb="16">
      <t>キュウフ</t>
    </rPh>
    <rPh sb="16" eb="19">
      <t>タイショウガイ</t>
    </rPh>
    <rPh sb="22" eb="27">
      <t>チョウセイキュウフガク</t>
    </rPh>
    <rPh sb="28" eb="33">
      <t>コジンジュウミンゼイ</t>
    </rPh>
    <rPh sb="35" eb="37">
      <t>サンテイ</t>
    </rPh>
    <rPh sb="37" eb="39">
      <t>フヨウ</t>
    </rPh>
    <rPh sb="51" eb="52">
      <t>アツカ</t>
    </rPh>
    <phoneticPr fontId="1"/>
  </si>
  <si>
    <t>項目なし</t>
    <rPh sb="0" eb="2">
      <t>コウモク</t>
    </rPh>
    <phoneticPr fontId="1"/>
  </si>
  <si>
    <t>扶養親族（控除対象配偶者含む）のうち国外居住者の数</t>
    <rPh sb="0" eb="2">
      <t>フヨウ</t>
    </rPh>
    <rPh sb="2" eb="4">
      <t>シンゾク</t>
    </rPh>
    <rPh sb="5" eb="7">
      <t>コウジョ</t>
    </rPh>
    <rPh sb="7" eb="9">
      <t>タイショウ</t>
    </rPh>
    <rPh sb="9" eb="12">
      <t>ハイグウシャ</t>
    </rPh>
    <rPh sb="12" eb="13">
      <t>フク</t>
    </rPh>
    <rPh sb="18" eb="20">
      <t>コクガイ</t>
    </rPh>
    <rPh sb="20" eb="23">
      <t>キョジュウシャ</t>
    </rPh>
    <rPh sb="24" eb="25">
      <t>カズ</t>
    </rPh>
    <phoneticPr fontId="1"/>
  </si>
  <si>
    <t>No.204から控除し、控除後の扶養親族数でNo.206を計算する。
※No.209も国外居住者を除いた数で計算。</t>
    <rPh sb="8" eb="10">
      <t>コウジョ</t>
    </rPh>
    <rPh sb="12" eb="14">
      <t>コウジョ</t>
    </rPh>
    <rPh sb="14" eb="15">
      <t>ゴ</t>
    </rPh>
    <rPh sb="16" eb="21">
      <t>フヨウシンゾクスウ</t>
    </rPh>
    <rPh sb="29" eb="31">
      <t>ケイサン</t>
    </rPh>
    <rPh sb="43" eb="47">
      <t>コクガイキョジュウ</t>
    </rPh>
    <rPh sb="47" eb="48">
      <t>シャ</t>
    </rPh>
    <rPh sb="49" eb="50">
      <t>ノゾ</t>
    </rPh>
    <rPh sb="52" eb="53">
      <t>カズ</t>
    </rPh>
    <rPh sb="54" eb="56">
      <t>ケイサン</t>
    </rPh>
    <phoneticPr fontId="1"/>
  </si>
  <si>
    <t>令和６年推計所得税額（令和５年所得税額）</t>
    <rPh sb="0" eb="2">
      <t>レイワ</t>
    </rPh>
    <rPh sb="3" eb="4">
      <t>ネン</t>
    </rPh>
    <rPh sb="4" eb="6">
      <t>スイケイ</t>
    </rPh>
    <rPh sb="6" eb="9">
      <t>ショトクゼイ</t>
    </rPh>
    <rPh sb="9" eb="10">
      <t>ガク</t>
    </rPh>
    <rPh sb="11" eb="13">
      <t>レイワ</t>
    </rPh>
    <rPh sb="14" eb="15">
      <t>ネン</t>
    </rPh>
    <rPh sb="15" eb="19">
      <t>ショトクゼイガク</t>
    </rPh>
    <phoneticPr fontId="1"/>
  </si>
  <si>
    <t>令和５年所得税の実額を把握しているのであれば、当該数字を使用する。</t>
    <rPh sb="0" eb="2">
      <t>レイワ</t>
    </rPh>
    <rPh sb="3" eb="4">
      <t>ネン</t>
    </rPh>
    <rPh sb="4" eb="7">
      <t>ショトクゼイ</t>
    </rPh>
    <rPh sb="8" eb="10">
      <t>ジツガク</t>
    </rPh>
    <rPh sb="11" eb="13">
      <t>ハアク</t>
    </rPh>
    <rPh sb="23" eb="25">
      <t>トウガイ</t>
    </rPh>
    <rPh sb="25" eb="27">
      <t>スウジ</t>
    </rPh>
    <rPh sb="28" eb="30">
      <t>シヨウ</t>
    </rPh>
    <phoneticPr fontId="1"/>
  </si>
  <si>
    <t>所得税における扶養親族数（控除対象配偶者含む）</t>
    <rPh sb="0" eb="3">
      <t>ショトクゼイ</t>
    </rPh>
    <phoneticPr fontId="1"/>
  </si>
  <si>
    <t>所得税における扶養親族数（控除対象配偶者含む）を把握しているのであれば、当該数字を使用する。
なお、本欄は16歳未満扶養者数を含むものとする。</t>
    <rPh sb="0" eb="3">
      <t>ショトクゼイ</t>
    </rPh>
    <rPh sb="7" eb="12">
      <t>フヨウシンゾクスウ</t>
    </rPh>
    <rPh sb="13" eb="17">
      <t>コウジョタイショウ</t>
    </rPh>
    <rPh sb="17" eb="20">
      <t>ハイグウシャ</t>
    </rPh>
    <rPh sb="20" eb="21">
      <t>フク</t>
    </rPh>
    <rPh sb="24" eb="26">
      <t>ハアク</t>
    </rPh>
    <rPh sb="36" eb="38">
      <t>トウガイ</t>
    </rPh>
    <rPh sb="38" eb="40">
      <t>スウジ</t>
    </rPh>
    <rPh sb="41" eb="43">
      <t>シヨウ</t>
    </rPh>
    <rPh sb="50" eb="52">
      <t>ホンラン</t>
    </rPh>
    <phoneticPr fontId="1"/>
  </si>
  <si>
    <t>所得税における合計所得金額</t>
    <rPh sb="0" eb="3">
      <t>ショトクゼイ</t>
    </rPh>
    <rPh sb="7" eb="13">
      <t>ゴウケイショトクキンガク</t>
    </rPh>
    <phoneticPr fontId="1"/>
  </si>
  <si>
    <t>1,805万円を超える場合、給付対象外のため調整給付額（所得税分）の算定不要→No.211を０として扱う。</t>
    <rPh sb="5" eb="7">
      <t>マンエン</t>
    </rPh>
    <rPh sb="8" eb="9">
      <t>コ</t>
    </rPh>
    <rPh sb="11" eb="13">
      <t>バアイ</t>
    </rPh>
    <rPh sb="14" eb="16">
      <t>キュウフ</t>
    </rPh>
    <rPh sb="16" eb="19">
      <t>タイショウガイ</t>
    </rPh>
    <rPh sb="22" eb="27">
      <t>チョウセイキュウフガク</t>
    </rPh>
    <rPh sb="28" eb="32">
      <t>ショトクゼイブン</t>
    </rPh>
    <rPh sb="34" eb="36">
      <t>サンテイ</t>
    </rPh>
    <rPh sb="36" eb="38">
      <t>フヨウ</t>
    </rPh>
    <rPh sb="50" eb="51">
      <t>アツカ</t>
    </rPh>
    <phoneticPr fontId="1"/>
  </si>
  <si>
    <t>本来の所得税額計算との違い</t>
    <rPh sb="0" eb="2">
      <t>ホンライ</t>
    </rPh>
    <rPh sb="3" eb="6">
      <t>ショトクゼイ</t>
    </rPh>
    <rPh sb="6" eb="7">
      <t>ガク</t>
    </rPh>
    <rPh sb="7" eb="9">
      <t>ケイサン</t>
    </rPh>
    <rPh sb="11" eb="12">
      <t>チガ</t>
    </rPh>
    <phoneticPr fontId="1"/>
  </si>
  <si>
    <t>上場株式等譲渡所得額</t>
    <phoneticPr fontId="1"/>
  </si>
  <si>
    <t>利子所得額（総合課税分）</t>
    <rPh sb="8" eb="10">
      <t>カゼイ</t>
    </rPh>
    <rPh sb="10" eb="11">
      <t>ブン</t>
    </rPh>
    <phoneticPr fontId="1"/>
  </si>
  <si>
    <t>配当所得額（総合課税分）</t>
    <rPh sb="8" eb="10">
      <t>カゼイ</t>
    </rPh>
    <rPh sb="10" eb="11">
      <t>ブン</t>
    </rPh>
    <phoneticPr fontId="1"/>
  </si>
  <si>
    <t>一時所得額（総合課税分）</t>
    <rPh sb="8" eb="10">
      <t>カゼイ</t>
    </rPh>
    <rPh sb="10" eb="11">
      <t>ブン</t>
    </rPh>
    <phoneticPr fontId="1"/>
  </si>
  <si>
    <t>非表示</t>
    <rPh sb="0" eb="3">
      <t>ヒヒョウジ</t>
    </rPh>
    <phoneticPr fontId="1"/>
  </si>
  <si>
    <t>①短期譲渡所得額（軽減税率適用除外分）（特別控除前）</t>
    <rPh sb="3" eb="5">
      <t>ジョウト</t>
    </rPh>
    <rPh sb="9" eb="11">
      <t>ケイゲン</t>
    </rPh>
    <rPh sb="11" eb="13">
      <t>ゼイリツ</t>
    </rPh>
    <rPh sb="13" eb="15">
      <t>テキヨウ</t>
    </rPh>
    <rPh sb="15" eb="17">
      <t>ジョガイ</t>
    </rPh>
    <rPh sb="17" eb="18">
      <t>ブン</t>
    </rPh>
    <phoneticPr fontId="1"/>
  </si>
  <si>
    <t>②短期譲渡所得額（軽減税率適用分）（特別控除前）</t>
    <rPh sb="3" eb="5">
      <t>ジョウト</t>
    </rPh>
    <rPh sb="5" eb="7">
      <t>ショトク</t>
    </rPh>
    <rPh sb="7" eb="8">
      <t>ガク</t>
    </rPh>
    <rPh sb="9" eb="11">
      <t>ケイゲン</t>
    </rPh>
    <rPh sb="11" eb="13">
      <t>ゼイリツ</t>
    </rPh>
    <rPh sb="13" eb="15">
      <t>テキヨウ</t>
    </rPh>
    <rPh sb="15" eb="16">
      <t>ブン</t>
    </rPh>
    <phoneticPr fontId="1"/>
  </si>
  <si>
    <t>②長期譲渡所得：特定所得分</t>
    <rPh sb="3" eb="5">
      <t>ジョウト</t>
    </rPh>
    <rPh sb="5" eb="7">
      <t>ショトク</t>
    </rPh>
    <rPh sb="12" eb="13">
      <t>ブン</t>
    </rPh>
    <phoneticPr fontId="1"/>
  </si>
  <si>
    <t>③長期譲渡所得：軽課分（特別控除前）</t>
    <rPh sb="3" eb="5">
      <t>ジョウト</t>
    </rPh>
    <rPh sb="5" eb="7">
      <t>ショトク</t>
    </rPh>
    <rPh sb="10" eb="11">
      <t>ブン</t>
    </rPh>
    <phoneticPr fontId="1"/>
  </si>
  <si>
    <t>先物取引雑所得額</t>
    <phoneticPr fontId="1"/>
  </si>
  <si>
    <t>■税額計算（課税所得に税率をかける）</t>
    <rPh sb="1" eb="3">
      <t>ゼイガク</t>
    </rPh>
    <rPh sb="2" eb="3">
      <t>ガク</t>
    </rPh>
    <rPh sb="3" eb="5">
      <t>ケイサン</t>
    </rPh>
    <rPh sb="6" eb="8">
      <t>カゼイ</t>
    </rPh>
    <rPh sb="8" eb="10">
      <t>ショトク</t>
    </rPh>
    <rPh sb="11" eb="13">
      <t>ゼイリツ</t>
    </rPh>
    <phoneticPr fontId="1"/>
  </si>
  <si>
    <t>一般株式等譲渡所得額（繰越控除後）
＝No.19からNo.30を引いた数字
※控除しきれなかった額は以下へ引き継ぎ。</t>
    <rPh sb="32" eb="33">
      <t>ヒ</t>
    </rPh>
    <rPh sb="35" eb="37">
      <t>スウジ</t>
    </rPh>
    <phoneticPr fontId="1"/>
  </si>
  <si>
    <t>上場株式等譲渡所得額（繰越控除後）
＝No.20からNo.29を引いた数字（No.33に残りがあればそれも差し引く）
※控除しきれなかった額は以下へ引き継ぎ。</t>
    <rPh sb="32" eb="33">
      <t>ヒ</t>
    </rPh>
    <rPh sb="35" eb="37">
      <t>スウジ</t>
    </rPh>
    <rPh sb="44" eb="45">
      <t>ノコ</t>
    </rPh>
    <rPh sb="53" eb="54">
      <t>サ</t>
    </rPh>
    <rPh sb="55" eb="56">
      <t>ヒ</t>
    </rPh>
    <phoneticPr fontId="1"/>
  </si>
  <si>
    <t>上場株式等配当等所得額（申告分離）（繰越控除後）
＝No.11からNo.35を引いた数字</t>
    <rPh sb="39" eb="40">
      <t>ヒ</t>
    </rPh>
    <rPh sb="42" eb="44">
      <t>スウジ</t>
    </rPh>
    <phoneticPr fontId="1"/>
  </si>
  <si>
    <t>先物取引雑所得額（申告分離）（繰越控除後）
＝No.21からNo.31を引いた数字</t>
    <rPh sb="36" eb="37">
      <t>ヒ</t>
    </rPh>
    <rPh sb="39" eb="41">
      <t>スウジ</t>
    </rPh>
    <phoneticPr fontId="1"/>
  </si>
  <si>
    <r>
      <t>長期譲渡所得額</t>
    </r>
    <r>
      <rPr>
        <sz val="10"/>
        <color theme="1"/>
        <rFont val="ＭＳ ゴシック"/>
        <family val="3"/>
        <charset val="128"/>
      </rPr>
      <t>（繰越控除後・特別控除後）</t>
    </r>
    <r>
      <rPr>
        <sz val="11"/>
        <color theme="1"/>
        <rFont val="ＭＳ ゴシック"/>
        <family val="3"/>
        <charset val="128"/>
      </rPr>
      <t xml:space="preserve">
＝No.38からNo.40,41を引いた数字</t>
    </r>
    <rPh sb="0" eb="2">
      <t>チョウキ</t>
    </rPh>
    <rPh sb="2" eb="4">
      <t>ジョウト</t>
    </rPh>
    <rPh sb="4" eb="6">
      <t>ショトク</t>
    </rPh>
    <rPh sb="6" eb="7">
      <t>ガク</t>
    </rPh>
    <rPh sb="14" eb="16">
      <t>トクベツ</t>
    </rPh>
    <rPh sb="16" eb="18">
      <t>コウジョ</t>
    </rPh>
    <rPh sb="18" eb="19">
      <t>ゴ</t>
    </rPh>
    <rPh sb="38" eb="39">
      <t>ヒ</t>
    </rPh>
    <rPh sb="41" eb="43">
      <t>スウジ</t>
    </rPh>
    <phoneticPr fontId="1"/>
  </si>
  <si>
    <t>長期譲渡所得額（繰越控除後）
＝No.15からNo.27,28を引いた数字
※控除しきれなかった額はNo.43へ引き継ぎ。</t>
    <rPh sb="0" eb="2">
      <t>チョウキ</t>
    </rPh>
    <rPh sb="2" eb="4">
      <t>ジョウト</t>
    </rPh>
    <rPh sb="4" eb="6">
      <t>ショトク</t>
    </rPh>
    <rPh sb="6" eb="7">
      <t>ガク</t>
    </rPh>
    <rPh sb="32" eb="33">
      <t>ヒ</t>
    </rPh>
    <rPh sb="35" eb="37">
      <t>スウジ</t>
    </rPh>
    <rPh sb="56" eb="57">
      <t>ヒ</t>
    </rPh>
    <rPh sb="58" eb="59">
      <t>ツ</t>
    </rPh>
    <phoneticPr fontId="1"/>
  </si>
  <si>
    <t>短期譲渡所得額（繰越控除後）
＝No.12からNo.39を引いた数字
※控除しきれなかった額はNo.48へ引き継ぎ。</t>
    <rPh sb="0" eb="2">
      <t>タンキ</t>
    </rPh>
    <rPh sb="2" eb="4">
      <t>ジョウト</t>
    </rPh>
    <rPh sb="4" eb="6">
      <t>ショトク</t>
    </rPh>
    <rPh sb="6" eb="7">
      <t>ガク</t>
    </rPh>
    <rPh sb="29" eb="30">
      <t>ヒ</t>
    </rPh>
    <rPh sb="32" eb="34">
      <t>スウジ</t>
    </rPh>
    <phoneticPr fontId="1"/>
  </si>
  <si>
    <r>
      <t>短期譲渡所得額</t>
    </r>
    <r>
      <rPr>
        <sz val="10"/>
        <color theme="1"/>
        <rFont val="ＭＳ ゴシック"/>
        <family val="3"/>
        <charset val="128"/>
      </rPr>
      <t xml:space="preserve">（繰越控除後・特別控除後）
</t>
    </r>
    <r>
      <rPr>
        <sz val="11"/>
        <color theme="1"/>
        <rFont val="ＭＳ ゴシック"/>
        <family val="3"/>
        <charset val="128"/>
      </rPr>
      <t>＝No.43からNo.45,46を引いた数字</t>
    </r>
    <rPh sb="0" eb="2">
      <t>タンキ</t>
    </rPh>
    <rPh sb="2" eb="4">
      <t>ジョウト</t>
    </rPh>
    <rPh sb="4" eb="6">
      <t>ショトク</t>
    </rPh>
    <rPh sb="6" eb="7">
      <t>ガク</t>
    </rPh>
    <rPh sb="14" eb="16">
      <t>トクベツ</t>
    </rPh>
    <rPh sb="16" eb="18">
      <t>コウジョ</t>
    </rPh>
    <rPh sb="18" eb="19">
      <t>ゴ</t>
    </rPh>
    <rPh sb="38" eb="39">
      <t>ヒ</t>
    </rPh>
    <rPh sb="41" eb="43">
      <t>スウジ</t>
    </rPh>
    <phoneticPr fontId="1"/>
  </si>
  <si>
    <t>総合課税分　総所得金額（繰越控除前）</t>
    <rPh sb="0" eb="2">
      <t>ソウゴウ</t>
    </rPh>
    <rPh sb="2" eb="4">
      <t>カゼイ</t>
    </rPh>
    <rPh sb="4" eb="5">
      <t>ブン</t>
    </rPh>
    <phoneticPr fontId="1"/>
  </si>
  <si>
    <t>山林所得額（繰越控除後）
No.22からNo.49を引いた数字
※控除しきれなかった額は以下へ引き継ぎ。</t>
    <rPh sb="0" eb="2">
      <t>サンリン</t>
    </rPh>
    <rPh sb="2" eb="4">
      <t>ショトク</t>
    </rPh>
    <rPh sb="4" eb="5">
      <t>ガク</t>
    </rPh>
    <rPh sb="26" eb="27">
      <t>ヒ</t>
    </rPh>
    <rPh sb="29" eb="31">
      <t>スウジ</t>
    </rPh>
    <phoneticPr fontId="1"/>
  </si>
  <si>
    <t>退職所得額（繰越控除後）
No.23からNo.51を引いた数字</t>
    <rPh sb="0" eb="2">
      <t>タイショク</t>
    </rPh>
    <rPh sb="2" eb="4">
      <t>ショトク</t>
    </rPh>
    <rPh sb="4" eb="5">
      <t>ガク</t>
    </rPh>
    <rPh sb="26" eb="27">
      <t>ヒ</t>
    </rPh>
    <rPh sb="29" eb="31">
      <t>スウジ</t>
    </rPh>
    <phoneticPr fontId="1"/>
  </si>
  <si>
    <t>同居老人扶養控除者数
（No.71の内数）</t>
    <rPh sb="0" eb="2">
      <t>ドウキョ</t>
    </rPh>
    <rPh sb="2" eb="4">
      <t>ロウジン</t>
    </rPh>
    <rPh sb="4" eb="6">
      <t>フヨウ</t>
    </rPh>
    <rPh sb="6" eb="8">
      <t>コウジョ</t>
    </rPh>
    <rPh sb="18" eb="20">
      <t>ウチスウ</t>
    </rPh>
    <phoneticPr fontId="1"/>
  </si>
  <si>
    <t>同居特別障害者数
（No.74の内数）</t>
    <rPh sb="0" eb="2">
      <t>ドウキョ</t>
    </rPh>
    <rPh sb="3" eb="4">
      <t>ベツ</t>
    </rPh>
    <rPh sb="4" eb="7">
      <t>ショウガイシャ</t>
    </rPh>
    <rPh sb="7" eb="8">
      <t>スウ</t>
    </rPh>
    <rPh sb="16" eb="18">
      <t>ウチスウ</t>
    </rPh>
    <phoneticPr fontId="1"/>
  </si>
  <si>
    <r>
      <t>控除対象勤労学生</t>
    </r>
    <r>
      <rPr>
        <sz val="11"/>
        <color rgb="FFFF0000"/>
        <rFont val="ＭＳ ゴシック"/>
        <family val="3"/>
        <charset val="128"/>
      </rPr>
      <t>（対象の場合１を入力）</t>
    </r>
    <rPh sb="9" eb="11">
      <t>タイショウ</t>
    </rPh>
    <rPh sb="12" eb="14">
      <t>バアイ</t>
    </rPh>
    <phoneticPr fontId="1"/>
  </si>
  <si>
    <t>基礎控除額
（No.24に基づいて自動で計算）</t>
    <rPh sb="0" eb="2">
      <t>キソ</t>
    </rPh>
    <rPh sb="2" eb="5">
      <t>コウジョガク</t>
    </rPh>
    <rPh sb="13" eb="14">
      <t>モト</t>
    </rPh>
    <rPh sb="17" eb="19">
      <t>ジドウ</t>
    </rPh>
    <rPh sb="20" eb="22">
      <t>ケイサン</t>
    </rPh>
    <phoneticPr fontId="1"/>
  </si>
  <si>
    <t>不動産所得額</t>
    <phoneticPr fontId="1"/>
  </si>
  <si>
    <t>課税　短期譲渡所得額
＝No.47からNo.89を引いた数字
※控除しきれなかった額は以下へ引き継ぎ。</t>
    <rPh sb="3" eb="5">
      <t>タンキ</t>
    </rPh>
    <rPh sb="5" eb="7">
      <t>ジョウト</t>
    </rPh>
    <rPh sb="7" eb="9">
      <t>ショトク</t>
    </rPh>
    <rPh sb="9" eb="10">
      <t>ガク</t>
    </rPh>
    <rPh sb="25" eb="26">
      <t>ヒ</t>
    </rPh>
    <rPh sb="28" eb="30">
      <t>スウジ</t>
    </rPh>
    <phoneticPr fontId="1"/>
  </si>
  <si>
    <t>課税　長期譲渡所得額
＝No.42からNo.91を引いた数字
※控除しきれなかった額は以下へ引き継ぎ。</t>
    <rPh sb="3" eb="5">
      <t>チョウキ</t>
    </rPh>
    <rPh sb="5" eb="7">
      <t>ジョウト</t>
    </rPh>
    <rPh sb="7" eb="9">
      <t>ショトク</t>
    </rPh>
    <rPh sb="9" eb="10">
      <t>ガク</t>
    </rPh>
    <rPh sb="25" eb="26">
      <t>ヒ</t>
    </rPh>
    <rPh sb="28" eb="30">
      <t>スウジ</t>
    </rPh>
    <phoneticPr fontId="1"/>
  </si>
  <si>
    <t>課税　上場株式等配当等所得額（申告分離）
＝No.36からNo.93を引いた数字
※控除しきれなかった額は以下へ引き継ぎ。</t>
    <rPh sb="35" eb="36">
      <t>ヒ</t>
    </rPh>
    <rPh sb="38" eb="40">
      <t>スウジ</t>
    </rPh>
    <phoneticPr fontId="1"/>
  </si>
  <si>
    <t>課税　一般株式等譲渡所得額
＝No.32からNo.95を引いた数字
※控除しきれなかった額は以下へ引き継ぎ。</t>
    <rPh sb="0" eb="2">
      <t>カゼイ</t>
    </rPh>
    <rPh sb="28" eb="29">
      <t>ヒ</t>
    </rPh>
    <rPh sb="31" eb="33">
      <t>スウジ</t>
    </rPh>
    <phoneticPr fontId="1"/>
  </si>
  <si>
    <t>課税　上場株式等譲渡所得額
＝No.34からNo.97を引いた数字
※控除しきれなかった額は以下へ引き継ぎ。</t>
    <rPh sb="0" eb="2">
      <t>カゼイ</t>
    </rPh>
    <rPh sb="28" eb="29">
      <t>ヒ</t>
    </rPh>
    <rPh sb="31" eb="33">
      <t>スウジ</t>
    </rPh>
    <phoneticPr fontId="1"/>
  </si>
  <si>
    <t>課税　退職所得金額
＝No.52からNo.103を引いた数字</t>
    <rPh sb="0" eb="2">
      <t>カゼイ</t>
    </rPh>
    <rPh sb="3" eb="5">
      <t>タイショク</t>
    </rPh>
    <rPh sb="5" eb="7">
      <t>ショトク</t>
    </rPh>
    <rPh sb="7" eb="9">
      <t>キンガク</t>
    </rPh>
    <rPh sb="25" eb="26">
      <t>ヒ</t>
    </rPh>
    <rPh sb="28" eb="30">
      <t>スウジ</t>
    </rPh>
    <phoneticPr fontId="1"/>
  </si>
  <si>
    <t>課税　総所得金額＋退職所得金額（総合課税分）
＝No.88とNo.104の合計額</t>
    <rPh sb="0" eb="2">
      <t>カゼイ</t>
    </rPh>
    <rPh sb="3" eb="6">
      <t>ソウショトク</t>
    </rPh>
    <rPh sb="6" eb="8">
      <t>キンガク</t>
    </rPh>
    <rPh sb="9" eb="11">
      <t>タイショク</t>
    </rPh>
    <rPh sb="11" eb="13">
      <t>ショトク</t>
    </rPh>
    <rPh sb="13" eb="15">
      <t>キンガク</t>
    </rPh>
    <rPh sb="16" eb="18">
      <t>ソウゴウ</t>
    </rPh>
    <rPh sb="18" eb="20">
      <t>カゼイ</t>
    </rPh>
    <rPh sb="20" eb="21">
      <t>ブン</t>
    </rPh>
    <rPh sb="37" eb="39">
      <t>ゴウケイ</t>
    </rPh>
    <rPh sb="39" eb="40">
      <t>ガク</t>
    </rPh>
    <phoneticPr fontId="1"/>
  </si>
  <si>
    <t>課税　先物取引雑所得額（申告分離）
＝No.37からNo.99を引いた数字
※控除しきれなかった額は以下へ引き継ぎ。</t>
    <rPh sb="0" eb="2">
      <t>カゼイ</t>
    </rPh>
    <rPh sb="32" eb="33">
      <t>ヒ</t>
    </rPh>
    <rPh sb="35" eb="37">
      <t>スウジ</t>
    </rPh>
    <phoneticPr fontId="1"/>
  </si>
  <si>
    <t>課税　山林所得金額
＝No.50からNo.101を引いた数字
※控除しきれなかった額は以下へ引き継ぎ。</t>
    <rPh sb="0" eb="2">
      <t>カゼイ</t>
    </rPh>
    <rPh sb="3" eb="5">
      <t>サンリン</t>
    </rPh>
    <rPh sb="5" eb="7">
      <t>ショトク</t>
    </rPh>
    <rPh sb="7" eb="9">
      <t>キンガク</t>
    </rPh>
    <rPh sb="25" eb="26">
      <t>ヒ</t>
    </rPh>
    <rPh sb="28" eb="30">
      <t>スウジ</t>
    </rPh>
    <phoneticPr fontId="1"/>
  </si>
  <si>
    <t>課税　山林所得金額
＝No.102を５分５乗方式に修正（課税山林所得金額÷５）</t>
    <rPh sb="0" eb="2">
      <t>カゼイ</t>
    </rPh>
    <rPh sb="3" eb="5">
      <t>サンリン</t>
    </rPh>
    <rPh sb="5" eb="7">
      <t>ショトク</t>
    </rPh>
    <rPh sb="7" eb="9">
      <t>キンガク</t>
    </rPh>
    <phoneticPr fontId="1"/>
  </si>
  <si>
    <t>配当所得額（総合課税分）（No.8）の10％で算出。</t>
    <rPh sb="8" eb="10">
      <t>カゼイ</t>
    </rPh>
    <rPh sb="10" eb="11">
      <t>ブン</t>
    </rPh>
    <rPh sb="23" eb="25">
      <t>サンシュツ</t>
    </rPh>
    <phoneticPr fontId="1"/>
  </si>
  <si>
    <t>住民税分の住宅借入金等特別税額控除額</t>
    <rPh sb="0" eb="3">
      <t>ジュウミンゼイ</t>
    </rPh>
    <rPh sb="3" eb="4">
      <t>ブン</t>
    </rPh>
    <rPh sb="5" eb="7">
      <t>ジュウタク</t>
    </rPh>
    <rPh sb="7" eb="9">
      <t>カリイレ</t>
    </rPh>
    <rPh sb="9" eb="11">
      <t>キンナド</t>
    </rPh>
    <rPh sb="11" eb="13">
      <t>トクベツ</t>
    </rPh>
    <rPh sb="13" eb="15">
      <t>ゼイガク</t>
    </rPh>
    <rPh sb="15" eb="17">
      <t>コウジョ</t>
    </rPh>
    <rPh sb="17" eb="18">
      <t>ガク</t>
    </rPh>
    <phoneticPr fontId="1"/>
  </si>
  <si>
    <t>推計所得税額計算では考慮しない</t>
    <rPh sb="0" eb="2">
      <t>スイケイ</t>
    </rPh>
    <rPh sb="2" eb="5">
      <t>ショトクゼイ</t>
    </rPh>
    <rPh sb="5" eb="6">
      <t>ガク</t>
    </rPh>
    <rPh sb="6" eb="8">
      <t>ケイサン</t>
    </rPh>
    <rPh sb="10" eb="12">
      <t>コウリョ</t>
    </rPh>
    <phoneticPr fontId="1"/>
  </si>
  <si>
    <t>推計所得税額
算出情報</t>
    <rPh sb="0" eb="2">
      <t>スイケイ</t>
    </rPh>
    <rPh sb="2" eb="5">
      <t>ショトクゼイ</t>
    </rPh>
    <rPh sb="5" eb="6">
      <t>ガク</t>
    </rPh>
    <rPh sb="7" eb="9">
      <t>サンシュツ</t>
    </rPh>
    <rPh sb="9" eb="11">
      <t>ジョウホウ</t>
    </rPh>
    <phoneticPr fontId="1"/>
  </si>
  <si>
    <t>※推計所得税額を使用して算定した調整給付額が、実際の令和６年分所得税額を使用して算定した調整給付額より少ない場合、令和７年以降に不足分を支給する予定です。</t>
    <rPh sb="66" eb="67">
      <t>ブン</t>
    </rPh>
    <phoneticPr fontId="1"/>
  </si>
  <si>
    <r>
      <t>①長期譲渡所得額：</t>
    </r>
    <r>
      <rPr>
        <sz val="10"/>
        <color theme="1"/>
        <rFont val="ＭＳ ゴシック"/>
        <family val="3"/>
        <charset val="128"/>
      </rPr>
      <t>特定所得分と軽課分を除外（特別控除前）</t>
    </r>
    <rPh sb="3" eb="5">
      <t>ジョウト</t>
    </rPh>
    <rPh sb="9" eb="11">
      <t>トクテイ</t>
    </rPh>
    <rPh sb="11" eb="13">
      <t>ショトク</t>
    </rPh>
    <rPh sb="13" eb="14">
      <t>ブン</t>
    </rPh>
    <rPh sb="15" eb="16">
      <t>ケイ</t>
    </rPh>
    <rPh sb="16" eb="17">
      <t>カ</t>
    </rPh>
    <rPh sb="17" eb="18">
      <t>ブン</t>
    </rPh>
    <rPh sb="19" eb="21">
      <t>ジョガイ</t>
    </rPh>
    <phoneticPr fontId="1"/>
  </si>
  <si>
    <t>・本来は長期譲渡所得のみ×1/2として計算しますが、全て×1/2とします。
・本来は一時所得と損益通算後の金額を1/2としますが、先に1/2します。</t>
    <rPh sb="1" eb="3">
      <t>ホンライ</t>
    </rPh>
    <rPh sb="4" eb="10">
      <t>チョウキジョウトショトク</t>
    </rPh>
    <rPh sb="19" eb="21">
      <t>ケイサン</t>
    </rPh>
    <rPh sb="26" eb="27">
      <t>スベ</t>
    </rPh>
    <rPh sb="39" eb="41">
      <t>ホンライ</t>
    </rPh>
    <rPh sb="42" eb="44">
      <t>イチジ</t>
    </rPh>
    <rPh sb="44" eb="46">
      <t>ショトク</t>
    </rPh>
    <rPh sb="47" eb="52">
      <t>ソンエキツウサンゴ</t>
    </rPh>
    <rPh sb="53" eb="55">
      <t>キンガク</t>
    </rPh>
    <rPh sb="65" eb="66">
      <t>サキ</t>
    </rPh>
    <phoneticPr fontId="1"/>
  </si>
  <si>
    <t>・本来は譲渡所得と損益通算後の金額を1/2としますが、先に1/2します。</t>
    <rPh sb="4" eb="6">
      <t>ジョウト</t>
    </rPh>
    <rPh sb="6" eb="8">
      <t>ショトク</t>
    </rPh>
    <phoneticPr fontId="1"/>
  </si>
  <si>
    <r>
      <t>短期譲渡所得額</t>
    </r>
    <r>
      <rPr>
        <sz val="11"/>
        <color rgb="FFFF0000"/>
        <rFont val="ＭＳ ゴシック"/>
        <family val="3"/>
        <charset val="128"/>
      </rPr>
      <t>（下記①と②の合計）</t>
    </r>
    <rPh sb="0" eb="2">
      <t>タンキ</t>
    </rPh>
    <rPh sb="2" eb="4">
      <t>ジョウト</t>
    </rPh>
    <rPh sb="4" eb="6">
      <t>ショトク</t>
    </rPh>
    <rPh sb="6" eb="7">
      <t>ガク</t>
    </rPh>
    <rPh sb="8" eb="10">
      <t>カキ</t>
    </rPh>
    <rPh sb="14" eb="16">
      <t>ゴウケイ</t>
    </rPh>
    <phoneticPr fontId="1"/>
  </si>
  <si>
    <r>
      <t>長期譲渡所得額</t>
    </r>
    <r>
      <rPr>
        <sz val="11"/>
        <color rgb="FFFF0000"/>
        <rFont val="ＭＳ ゴシック"/>
        <family val="3"/>
        <charset val="128"/>
      </rPr>
      <t>（下記①～③の合計）</t>
    </r>
    <rPh sb="0" eb="2">
      <t>チョウキ</t>
    </rPh>
    <rPh sb="2" eb="4">
      <t>ジョウト</t>
    </rPh>
    <rPh sb="4" eb="6">
      <t>ショトク</t>
    </rPh>
    <rPh sb="6" eb="7">
      <t>ガク</t>
    </rPh>
    <rPh sb="8" eb="10">
      <t>カキ</t>
    </rPh>
    <rPh sb="14" eb="16">
      <t>ゴウケイ</t>
    </rPh>
    <phoneticPr fontId="1"/>
  </si>
  <si>
    <r>
      <rPr>
        <sz val="11"/>
        <color theme="1"/>
        <rFont val="ＭＳ ゴシック"/>
        <family val="3"/>
        <charset val="128"/>
      </rPr>
      <t>総所得金額（繰越控除後）</t>
    </r>
    <r>
      <rPr>
        <b/>
        <sz val="11"/>
        <color theme="1"/>
        <rFont val="ＭＳ ゴシック"/>
        <family val="3"/>
        <charset val="128"/>
      </rPr>
      <t xml:space="preserve">
</t>
    </r>
    <r>
      <rPr>
        <sz val="11"/>
        <color theme="1"/>
        <rFont val="ＭＳ ゴシック"/>
        <family val="3"/>
        <charset val="128"/>
      </rPr>
      <t>＝No.3～10の合計から、No.25,26,44を引いた数字
※控除しきれなかった額は以下へ引き継ぎ。</t>
    </r>
    <rPh sb="0" eb="3">
      <t>ソウショトク</t>
    </rPh>
    <rPh sb="3" eb="5">
      <t>キンガク</t>
    </rPh>
    <rPh sb="22" eb="24">
      <t>ゴウケイ</t>
    </rPh>
    <rPh sb="39" eb="40">
      <t>ヒ</t>
    </rPh>
    <rPh sb="42" eb="44">
      <t>スウジ</t>
    </rPh>
    <rPh sb="57" eb="59">
      <t>イカ</t>
    </rPh>
    <phoneticPr fontId="1"/>
  </si>
  <si>
    <t>非表示</t>
    <rPh sb="0" eb="3">
      <t>ヒヒョウジ</t>
    </rPh>
    <phoneticPr fontId="1"/>
  </si>
  <si>
    <t>■所得から控除を引く計算</t>
    <rPh sb="1" eb="3">
      <t>ショトク</t>
    </rPh>
    <rPh sb="5" eb="7">
      <t>コウジョ</t>
    </rPh>
    <rPh sb="8" eb="9">
      <t>ヒ</t>
    </rPh>
    <rPh sb="10" eb="12">
      <t>ケイサン</t>
    </rPh>
    <phoneticPr fontId="1"/>
  </si>
  <si>
    <t>分離譲渡所得金額分（30％分）の所得税額
＝No.109×30％</t>
    <rPh sb="0" eb="2">
      <t>ブンリ</t>
    </rPh>
    <rPh sb="2" eb="4">
      <t>ジョウト</t>
    </rPh>
    <rPh sb="4" eb="6">
      <t>ショトク</t>
    </rPh>
    <rPh sb="6" eb="8">
      <t>キンガク</t>
    </rPh>
    <rPh sb="8" eb="9">
      <t>ブン</t>
    </rPh>
    <rPh sb="13" eb="14">
      <t>ブン</t>
    </rPh>
    <rPh sb="16" eb="19">
      <t>ショトクゼイ</t>
    </rPh>
    <rPh sb="19" eb="20">
      <t>ガク</t>
    </rPh>
    <phoneticPr fontId="1"/>
  </si>
  <si>
    <t>分離譲渡所得金額分（15％分）の所得税額
＝No.108×15％</t>
    <rPh sb="0" eb="2">
      <t>ブンリ</t>
    </rPh>
    <rPh sb="2" eb="4">
      <t>ジョウト</t>
    </rPh>
    <rPh sb="4" eb="6">
      <t>ショトク</t>
    </rPh>
    <rPh sb="6" eb="8">
      <t>キンガク</t>
    </rPh>
    <rPh sb="8" eb="9">
      <t>ブン</t>
    </rPh>
    <rPh sb="13" eb="14">
      <t>ブン</t>
    </rPh>
    <rPh sb="16" eb="19">
      <t>ショトクゼイ</t>
    </rPh>
    <rPh sb="19" eb="20">
      <t>ガク</t>
    </rPh>
    <phoneticPr fontId="1"/>
  </si>
  <si>
    <t>分離譲渡所得金額分（10％分）の所得税額
＝No.107×10％</t>
    <rPh sb="0" eb="2">
      <t>ブンリ</t>
    </rPh>
    <rPh sb="2" eb="4">
      <t>ジョウト</t>
    </rPh>
    <rPh sb="4" eb="6">
      <t>ショトク</t>
    </rPh>
    <rPh sb="6" eb="8">
      <t>キンガク</t>
    </rPh>
    <rPh sb="8" eb="9">
      <t>ブン</t>
    </rPh>
    <rPh sb="13" eb="14">
      <t>ブン</t>
    </rPh>
    <rPh sb="16" eb="19">
      <t>ショトクゼイ</t>
    </rPh>
    <rPh sb="19" eb="20">
      <t>ガク</t>
    </rPh>
    <phoneticPr fontId="1"/>
  </si>
  <si>
    <t>山林所得金額分の所得税額
＝No.106×税率
（税率はNo.106によって変わる）</t>
    <rPh sb="21" eb="23">
      <t>ゼイリツ</t>
    </rPh>
    <rPh sb="25" eb="27">
      <t>ゼイリツ</t>
    </rPh>
    <rPh sb="38" eb="39">
      <t>カ</t>
    </rPh>
    <phoneticPr fontId="1"/>
  </si>
  <si>
    <t>■分離課税分の課税所得額を確定する計算</t>
    <rPh sb="1" eb="3">
      <t>ブンリ</t>
    </rPh>
    <rPh sb="3" eb="5">
      <t>カゼイ</t>
    </rPh>
    <rPh sb="5" eb="6">
      <t>ブン</t>
    </rPh>
    <rPh sb="7" eb="9">
      <t>カゼイ</t>
    </rPh>
    <rPh sb="9" eb="11">
      <t>ショトク</t>
    </rPh>
    <rPh sb="11" eb="12">
      <t>ガク</t>
    </rPh>
    <rPh sb="13" eb="15">
      <t>カクテイ</t>
    </rPh>
    <rPh sb="17" eb="19">
      <t>ケイサン</t>
    </rPh>
    <phoneticPr fontId="1"/>
  </si>
  <si>
    <t>課税　分離譲渡所得（30％分）
＝No.90のうち15％分(No.108)を除いた残額。</t>
    <rPh sb="0" eb="2">
      <t>カゼイ</t>
    </rPh>
    <rPh sb="3" eb="5">
      <t>ブンリ</t>
    </rPh>
    <rPh sb="5" eb="7">
      <t>ジョウト</t>
    </rPh>
    <rPh sb="7" eb="9">
      <t>ショトク</t>
    </rPh>
    <rPh sb="13" eb="14">
      <t>ブン</t>
    </rPh>
    <phoneticPr fontId="1"/>
  </si>
  <si>
    <t>・本来は長期特定所得額（No.17）は2000万以下、長期軽課所得額（No.18）は6000万以下のみ税率が低くなるが、一律税率10％で計算する。</t>
    <rPh sb="6" eb="8">
      <t>トクテイ</t>
    </rPh>
    <rPh sb="8" eb="10">
      <t>ショトク</t>
    </rPh>
    <rPh sb="10" eb="11">
      <t>ガク</t>
    </rPh>
    <rPh sb="29" eb="31">
      <t>ケイカ</t>
    </rPh>
    <rPh sb="33" eb="34">
      <t>ガク</t>
    </rPh>
    <rPh sb="54" eb="55">
      <t>ヒク</t>
    </rPh>
    <rPh sb="62" eb="64">
      <t>ゼイリツ</t>
    </rPh>
    <rPh sb="68" eb="70">
      <t>ケイサン</t>
    </rPh>
    <phoneticPr fontId="1"/>
  </si>
  <si>
    <t>課税　分離譲渡所得（10％分）
＝No.92のうち、①か②の小さい方
①長期特定所得額と長期軽課所得額（特別控除後）の合計（No.17+18-41）
②課税長期譲渡所得額（No.92）</t>
    <rPh sb="0" eb="2">
      <t>カゼイ</t>
    </rPh>
    <rPh sb="3" eb="7">
      <t>ブンリジョウト</t>
    </rPh>
    <rPh sb="7" eb="9">
      <t>ショトク</t>
    </rPh>
    <rPh sb="13" eb="14">
      <t>ブン</t>
    </rPh>
    <phoneticPr fontId="1"/>
  </si>
  <si>
    <t>課税　分離譲渡所得（15％分）
＝No.90のうち、①か②の小さい方＋③
①短期軽減所得額（特別控除後）（No.14-46）
②課税短期譲渡所得（No.90）
③No.92のうち10％分（No.107）を除いた残額,94,96,98,100の合計額。</t>
    <rPh sb="0" eb="2">
      <t>カゼイ</t>
    </rPh>
    <rPh sb="3" eb="5">
      <t>ブンリ</t>
    </rPh>
    <rPh sb="5" eb="7">
      <t>ジョウト</t>
    </rPh>
    <rPh sb="7" eb="9">
      <t>ショトク</t>
    </rPh>
    <rPh sb="13" eb="14">
      <t>ブン</t>
    </rPh>
    <rPh sb="93" eb="94">
      <t>ブン</t>
    </rPh>
    <rPh sb="103" eb="104">
      <t>ノゾ</t>
    </rPh>
    <rPh sb="106" eb="108">
      <t>ザンガク</t>
    </rPh>
    <phoneticPr fontId="1"/>
  </si>
  <si>
    <t>・本来は上場株式等譲渡所得と損益通算可能ですが、考慮しません。</t>
    <rPh sb="1" eb="3">
      <t>ホンライ</t>
    </rPh>
    <rPh sb="14" eb="16">
      <t>ソンエキ</t>
    </rPh>
    <rPh sb="18" eb="20">
      <t>カノウ</t>
    </rPh>
    <rPh sb="24" eb="26">
      <t>コウリョ</t>
    </rPh>
    <phoneticPr fontId="1"/>
  </si>
  <si>
    <t>・本来は長期譲渡所得と損益通算可能ですが、考慮しません。</t>
    <rPh sb="1" eb="3">
      <t>ホンライ</t>
    </rPh>
    <rPh sb="4" eb="10">
      <t>チョウキジョウトショトク</t>
    </rPh>
    <rPh sb="21" eb="23">
      <t>コウリョ</t>
    </rPh>
    <phoneticPr fontId="1"/>
  </si>
  <si>
    <t>・本来は短期譲渡所得と損益通算可能ですが、考慮しません。
・居住用損失額は考慮しません。</t>
    <rPh sb="4" eb="6">
      <t>タンキ</t>
    </rPh>
    <rPh sb="21" eb="23">
      <t>コウリョ</t>
    </rPh>
    <rPh sb="30" eb="33">
      <t>キョジュウヨウ</t>
    </rPh>
    <rPh sb="33" eb="36">
      <t>ソンシツガク</t>
    </rPh>
    <rPh sb="37" eb="39">
      <t>コウリョ</t>
    </rPh>
    <phoneticPr fontId="1"/>
  </si>
  <si>
    <t>・本来は上場株式等配当所得額（申告分離）と損益通算可能ですが、考慮ません。</t>
    <rPh sb="1" eb="3">
      <t>ホンライ</t>
    </rPh>
    <rPh sb="4" eb="6">
      <t>ジョウジョウ</t>
    </rPh>
    <rPh sb="25" eb="27">
      <t>カノウ</t>
    </rPh>
    <rPh sb="31" eb="33">
      <t>コウリョ</t>
    </rPh>
    <phoneticPr fontId="1"/>
  </si>
  <si>
    <t>地方税法第50条の２，第328条の規定に基づき課税する退職所得（分離課税されるもの）は除きます。</t>
    <rPh sb="0" eb="3">
      <t>チホウゼイ</t>
    </rPh>
    <rPh sb="3" eb="4">
      <t>ホウ</t>
    </rPh>
    <rPh sb="4" eb="5">
      <t>ダイ</t>
    </rPh>
    <rPh sb="7" eb="8">
      <t>ジョウ</t>
    </rPh>
    <rPh sb="11" eb="12">
      <t>ダイ</t>
    </rPh>
    <rPh sb="15" eb="16">
      <t>ジョウ</t>
    </rPh>
    <rPh sb="17" eb="19">
      <t>キテイ</t>
    </rPh>
    <rPh sb="20" eb="21">
      <t>モト</t>
    </rPh>
    <rPh sb="23" eb="25">
      <t>カゼイ</t>
    </rPh>
    <rPh sb="27" eb="29">
      <t>タイショク</t>
    </rPh>
    <rPh sb="29" eb="31">
      <t>ショトク</t>
    </rPh>
    <rPh sb="32" eb="34">
      <t>ブンリ</t>
    </rPh>
    <rPh sb="34" eb="36">
      <t>カゼイ</t>
    </rPh>
    <rPh sb="43" eb="44">
      <t>ノゾ</t>
    </rPh>
    <phoneticPr fontId="1"/>
  </si>
  <si>
    <t>・条約・特例適用の利子・配当所得等の額は考慮しません。</t>
    <rPh sb="4" eb="6">
      <t>トクレイ</t>
    </rPh>
    <rPh sb="12" eb="14">
      <t>ハイトウ</t>
    </rPh>
    <rPh sb="14" eb="16">
      <t>ショトク</t>
    </rPh>
    <rPh sb="20" eb="22">
      <t>コウリョ</t>
    </rPh>
    <phoneticPr fontId="1"/>
  </si>
  <si>
    <t>・控除しきれなかった額については、本来は上場株式譲渡損失繰越控除額（No.29）の残額のみが引き継がれるが、No.33も引き継がれることとする。</t>
    <rPh sb="1" eb="3">
      <t>コウジョ</t>
    </rPh>
    <rPh sb="10" eb="11">
      <t>ガク</t>
    </rPh>
    <rPh sb="17" eb="19">
      <t>ホンライ</t>
    </rPh>
    <rPh sb="20" eb="22">
      <t>ジョウジョウ</t>
    </rPh>
    <rPh sb="22" eb="24">
      <t>カブシキ</t>
    </rPh>
    <rPh sb="24" eb="26">
      <t>ジョウト</t>
    </rPh>
    <rPh sb="26" eb="28">
      <t>ソンシツ</t>
    </rPh>
    <rPh sb="28" eb="30">
      <t>クリコシ</t>
    </rPh>
    <rPh sb="30" eb="32">
      <t>コウジョ</t>
    </rPh>
    <rPh sb="41" eb="43">
      <t>ザンガク</t>
    </rPh>
    <phoneticPr fontId="1"/>
  </si>
  <si>
    <t>上場株式等配当等所得額（申告分離課税分）</t>
    <rPh sb="12" eb="14">
      <t>シンコク</t>
    </rPh>
    <rPh sb="14" eb="16">
      <t>ブンリ</t>
    </rPh>
    <rPh sb="16" eb="18">
      <t>カゼイ</t>
    </rPh>
    <rPh sb="18" eb="19">
      <t>ブン</t>
    </rPh>
    <phoneticPr fontId="1"/>
  </si>
  <si>
    <t>一般株式等譲渡所得額</t>
    <phoneticPr fontId="1"/>
  </si>
  <si>
    <t>譲渡所得額（総合課税分）
（長期譲渡所得額＋短期譲渡所得額）</t>
    <rPh sb="8" eb="10">
      <t>カゼイ</t>
    </rPh>
    <rPh sb="10" eb="11">
      <t>ブン</t>
    </rPh>
    <rPh sb="14" eb="16">
      <t>チョウキ</t>
    </rPh>
    <rPh sb="16" eb="18">
      <t>ジョウト</t>
    </rPh>
    <rPh sb="18" eb="20">
      <t>ショトク</t>
    </rPh>
    <rPh sb="20" eb="21">
      <t>ガク</t>
    </rPh>
    <rPh sb="22" eb="24">
      <t>タンキ</t>
    </rPh>
    <rPh sb="24" eb="26">
      <t>ジョウト</t>
    </rPh>
    <rPh sb="26" eb="28">
      <t>ショトク</t>
    </rPh>
    <rPh sb="28" eb="29">
      <t>ガク</t>
    </rPh>
    <phoneticPr fontId="1"/>
  </si>
  <si>
    <t>【入力してください】
Ｒ６年度
個人市・県民税
課税情報</t>
    <rPh sb="1" eb="3">
      <t>ニュウリョク</t>
    </rPh>
    <rPh sb="13" eb="15">
      <t>ネンド</t>
    </rPh>
    <rPh sb="16" eb="18">
      <t>コジン</t>
    </rPh>
    <rPh sb="18" eb="19">
      <t>シ</t>
    </rPh>
    <rPh sb="20" eb="23">
      <t>ケンミンゼイ</t>
    </rPh>
    <rPh sb="24" eb="26">
      <t>カゼイ</t>
    </rPh>
    <rPh sb="26" eb="28">
      <t>ジョウホウ</t>
    </rPh>
    <phoneticPr fontId="1"/>
  </si>
  <si>
    <t>計算式</t>
    <rPh sb="0" eb="3">
      <t>ケイサンシキ</t>
    </rPh>
    <phoneticPr fontId="1"/>
  </si>
  <si>
    <t>調整給付の算定に使用する令和６年分推計所得税額は、令和６年６月３日時点の令和６年度個人市・県民税課税情報（令和５年中の所得、控除等の情報）を元に、このシートに記載された式で算定しています。</t>
    <rPh sb="0" eb="2">
      <t>チョウセイ</t>
    </rPh>
    <rPh sb="2" eb="4">
      <t>キュウフ</t>
    </rPh>
    <rPh sb="5" eb="7">
      <t>サンテイ</t>
    </rPh>
    <rPh sb="8" eb="10">
      <t>シヨウ</t>
    </rPh>
    <rPh sb="12" eb="14">
      <t>レイワ</t>
    </rPh>
    <rPh sb="15" eb="17">
      <t>ネンブン</t>
    </rPh>
    <rPh sb="17" eb="19">
      <t>スイケイ</t>
    </rPh>
    <rPh sb="19" eb="22">
      <t>ショトクゼイ</t>
    </rPh>
    <rPh sb="22" eb="23">
      <t>ガク</t>
    </rPh>
    <rPh sb="25" eb="27">
      <t>レイワ</t>
    </rPh>
    <rPh sb="28" eb="29">
      <t>ネン</t>
    </rPh>
    <rPh sb="30" eb="31">
      <t>ガツ</t>
    </rPh>
    <rPh sb="32" eb="33">
      <t>ニチ</t>
    </rPh>
    <rPh sb="33" eb="35">
      <t>ジテン</t>
    </rPh>
    <rPh sb="36" eb="38">
      <t>レイワ</t>
    </rPh>
    <rPh sb="39" eb="41">
      <t>ネンド</t>
    </rPh>
    <rPh sb="41" eb="43">
      <t>コジン</t>
    </rPh>
    <rPh sb="43" eb="44">
      <t>シ</t>
    </rPh>
    <rPh sb="45" eb="48">
      <t>ケンミンゼイ</t>
    </rPh>
    <rPh sb="48" eb="50">
      <t>カゼイ</t>
    </rPh>
    <rPh sb="50" eb="52">
      <t>ジョウホウ</t>
    </rPh>
    <rPh sb="53" eb="55">
      <t>レイワ</t>
    </rPh>
    <rPh sb="56" eb="57">
      <t>ネン</t>
    </rPh>
    <rPh sb="57" eb="58">
      <t>チュウ</t>
    </rPh>
    <rPh sb="59" eb="61">
      <t>ショトク</t>
    </rPh>
    <rPh sb="62" eb="64">
      <t>コウジョ</t>
    </rPh>
    <rPh sb="64" eb="65">
      <t>トウ</t>
    </rPh>
    <rPh sb="66" eb="68">
      <t>ジョウホウ</t>
    </rPh>
    <rPh sb="70" eb="71">
      <t>モト</t>
    </rPh>
    <phoneticPr fontId="1"/>
  </si>
  <si>
    <r>
      <t>この式は国が示しているもので、全国の市区町村が、国税である所得税を算定できるよう、</t>
    </r>
    <r>
      <rPr>
        <sz val="10"/>
        <color rgb="FFFF0000"/>
        <rFont val="ＭＳ ゴシック"/>
        <family val="3"/>
        <charset val="128"/>
      </rPr>
      <t>本来の所得税額の計算を一部簡素化しています（本来の所得税額計算と違う点は、H列に記載しています）</t>
    </r>
    <phoneticPr fontId="1"/>
  </si>
  <si>
    <r>
      <t>雑所得額</t>
    </r>
    <r>
      <rPr>
        <b/>
        <sz val="12"/>
        <color theme="1"/>
        <rFont val="ＭＳ ゴシック"/>
        <family val="3"/>
        <charset val="128"/>
      </rPr>
      <t>（国民年金、厚生年金等）</t>
    </r>
    <rPh sb="5" eb="7">
      <t>コクミン</t>
    </rPh>
    <rPh sb="7" eb="9">
      <t>ネンキン</t>
    </rPh>
    <rPh sb="10" eb="12">
      <t>コウセイ</t>
    </rPh>
    <rPh sb="12" eb="14">
      <t>ネンキン</t>
    </rPh>
    <rPh sb="14" eb="15">
      <t>トウ</t>
    </rPh>
    <phoneticPr fontId="1"/>
  </si>
  <si>
    <t>■繰越控除額（昨年（令和４年）から引き継いだ控除額）を入力</t>
    <rPh sb="1" eb="3">
      <t>クリコシ</t>
    </rPh>
    <rPh sb="3" eb="5">
      <t>コウジョ</t>
    </rPh>
    <rPh sb="5" eb="6">
      <t>ガク</t>
    </rPh>
    <rPh sb="7" eb="9">
      <t>サクネン</t>
    </rPh>
    <rPh sb="10" eb="12">
      <t>レイワ</t>
    </rPh>
    <rPh sb="13" eb="14">
      <t>ネン</t>
    </rPh>
    <rPh sb="17" eb="18">
      <t>ヒ</t>
    </rPh>
    <rPh sb="19" eb="20">
      <t>ツ</t>
    </rPh>
    <rPh sb="22" eb="24">
      <t>コウジョ</t>
    </rPh>
    <rPh sb="24" eb="25">
      <t>ガク</t>
    </rPh>
    <rPh sb="27" eb="29">
      <t>ニュウリョク</t>
    </rPh>
    <phoneticPr fontId="1"/>
  </si>
  <si>
    <t>■所得額を入力　※収入ではなく、所得を入力してください</t>
    <rPh sb="1" eb="3">
      <t>ショトク</t>
    </rPh>
    <rPh sb="3" eb="4">
      <t>ガク</t>
    </rPh>
    <rPh sb="5" eb="7">
      <t>ニュウリョク</t>
    </rPh>
    <rPh sb="9" eb="11">
      <t>シュウニュウ</t>
    </rPh>
    <rPh sb="16" eb="18">
      <t>ショトク</t>
    </rPh>
    <rPh sb="19" eb="21">
      <t>ニュウリョク</t>
    </rPh>
    <phoneticPr fontId="1"/>
  </si>
  <si>
    <t>申告分離課税分所得額</t>
    <rPh sb="0" eb="2">
      <t>シンコク</t>
    </rPh>
    <rPh sb="2" eb="4">
      <t>ブンリ</t>
    </rPh>
    <rPh sb="4" eb="6">
      <t>カゼイ</t>
    </rPh>
    <rPh sb="6" eb="7">
      <t>ブン</t>
    </rPh>
    <rPh sb="7" eb="9">
      <t>ショトク</t>
    </rPh>
    <rPh sb="9" eb="10">
      <t>ガク</t>
    </rPh>
    <phoneticPr fontId="1"/>
  </si>
  <si>
    <t>■所得控除額を入力</t>
    <rPh sb="1" eb="3">
      <t>ショトク</t>
    </rPh>
    <rPh sb="3" eb="6">
      <t>コウジョガク</t>
    </rPh>
    <rPh sb="7" eb="9">
      <t>ニュウリョク</t>
    </rPh>
    <phoneticPr fontId="1"/>
  </si>
  <si>
    <t>■税額控除を引く（住宅借入金等特別控除額を入力）</t>
    <rPh sb="1" eb="3">
      <t>ゼイガク</t>
    </rPh>
    <rPh sb="3" eb="5">
      <t>コウジョ</t>
    </rPh>
    <rPh sb="6" eb="7">
      <t>ヒ</t>
    </rPh>
    <rPh sb="9" eb="11">
      <t>ジュウタク</t>
    </rPh>
    <rPh sb="11" eb="13">
      <t>カリイレ</t>
    </rPh>
    <rPh sb="13" eb="14">
      <t>キン</t>
    </rPh>
    <rPh sb="14" eb="15">
      <t>トウ</t>
    </rPh>
    <rPh sb="15" eb="17">
      <t>トクベツ</t>
    </rPh>
    <rPh sb="17" eb="19">
      <t>コウジョ</t>
    </rPh>
    <rPh sb="19" eb="20">
      <t>ガク</t>
    </rPh>
    <rPh sb="21" eb="23">
      <t>ニュウリョク</t>
    </rPh>
    <phoneticPr fontId="1"/>
  </si>
  <si>
    <t>■推計所得税額の計算</t>
    <rPh sb="1" eb="3">
      <t>スイケイ</t>
    </rPh>
    <rPh sb="3" eb="6">
      <t>ショトクゼイ</t>
    </rPh>
    <rPh sb="6" eb="7">
      <t>ガク</t>
    </rPh>
    <rPh sb="8" eb="10">
      <t>ケイサン</t>
    </rPh>
    <phoneticPr fontId="1"/>
  </si>
  <si>
    <t xml:space="preserve">【簡易版】令和６年度個人市・県民税課税情報から令和６年分推計所得税額を算定する式 
</t>
    <rPh sb="1" eb="3">
      <t>カンイ</t>
    </rPh>
    <rPh sb="3" eb="4">
      <t>バン</t>
    </rPh>
    <rPh sb="10" eb="12">
      <t>コジン</t>
    </rPh>
    <rPh sb="12" eb="13">
      <t>シ</t>
    </rPh>
    <rPh sb="14" eb="15">
      <t>ケン</t>
    </rPh>
    <rPh sb="17" eb="19">
      <t>カゼイ</t>
    </rPh>
    <rPh sb="26" eb="28">
      <t>ネンブン</t>
    </rPh>
    <rPh sb="28" eb="30">
      <t>スイケイ</t>
    </rPh>
    <rPh sb="30" eb="33">
      <t>ショトクゼイ</t>
    </rPh>
    <rPh sb="33" eb="34">
      <t>ガク</t>
    </rPh>
    <rPh sb="35" eb="37">
      <t>サンテイ</t>
    </rPh>
    <rPh sb="39" eb="40">
      <t>シキ</t>
    </rPh>
    <phoneticPr fontId="1"/>
  </si>
  <si>
    <t>■所得から繰越控除を引く計算</t>
    <rPh sb="1" eb="3">
      <t>ショトク</t>
    </rPh>
    <rPh sb="5" eb="7">
      <t>クリコシ</t>
    </rPh>
    <rPh sb="7" eb="9">
      <t>コウジョ</t>
    </rPh>
    <rPh sb="10" eb="11">
      <t>ヒ</t>
    </rPh>
    <rPh sb="12" eb="14">
      <t>ケイサン</t>
    </rPh>
    <phoneticPr fontId="1"/>
  </si>
  <si>
    <t>所得税の契約ごとの控除限度額は4万円、
住民税の控除限度額は2.8万円なので、
住民税における控除額×4/2.8とみなします。</t>
    <rPh sb="0" eb="3">
      <t>ショトクゼイ</t>
    </rPh>
    <rPh sb="4" eb="6">
      <t>ケイヤク</t>
    </rPh>
    <rPh sb="9" eb="11">
      <t>コウジョ</t>
    </rPh>
    <rPh sb="11" eb="14">
      <t>ゲンドガク</t>
    </rPh>
    <rPh sb="16" eb="18">
      <t>マンエン</t>
    </rPh>
    <rPh sb="20" eb="23">
      <t>ジュウミンゼイ</t>
    </rPh>
    <rPh sb="24" eb="26">
      <t>コウジョ</t>
    </rPh>
    <rPh sb="26" eb="29">
      <t>ゲンドガク</t>
    </rPh>
    <rPh sb="33" eb="35">
      <t>マンエン</t>
    </rPh>
    <rPh sb="40" eb="43">
      <t>ジュウミンゼイ</t>
    </rPh>
    <rPh sb="47" eb="50">
      <t>コウジョガク</t>
    </rPh>
    <phoneticPr fontId="1"/>
  </si>
  <si>
    <t>所得税の控除限度額は5万円、
住民税の控除限度額は2.5万円なので、
住民税における控除額×10/5とみなします。</t>
    <rPh sb="0" eb="3">
      <t>ショトクゼイ</t>
    </rPh>
    <rPh sb="4" eb="6">
      <t>コウジョ</t>
    </rPh>
    <rPh sb="6" eb="9">
      <t>ゲンドガク</t>
    </rPh>
    <rPh sb="11" eb="13">
      <t>マンエン</t>
    </rPh>
    <rPh sb="15" eb="18">
      <t>ジュウミンゼイ</t>
    </rPh>
    <rPh sb="19" eb="21">
      <t>コウジョ</t>
    </rPh>
    <rPh sb="21" eb="24">
      <t>ゲンドガク</t>
    </rPh>
    <rPh sb="28" eb="30">
      <t>マンエン</t>
    </rPh>
    <phoneticPr fontId="1"/>
  </si>
  <si>
    <t>住民税の住宅借入金当特別税額控除額は、所得税で引ききれなかった場合に適用されるため、この欄に数字が入っている場合、推計所得税額（No.118）は0円とします</t>
    <rPh sb="0" eb="3">
      <t>ジュウミンゼイ</t>
    </rPh>
    <rPh sb="4" eb="6">
      <t>ジュウタク</t>
    </rPh>
    <rPh sb="6" eb="8">
      <t>カリイレ</t>
    </rPh>
    <rPh sb="8" eb="9">
      <t>キン</t>
    </rPh>
    <rPh sb="9" eb="10">
      <t>トウ</t>
    </rPh>
    <rPh sb="10" eb="12">
      <t>トクベツ</t>
    </rPh>
    <rPh sb="12" eb="14">
      <t>ゼイガク</t>
    </rPh>
    <rPh sb="14" eb="16">
      <t>コウジョ</t>
    </rPh>
    <rPh sb="16" eb="17">
      <t>ガク</t>
    </rPh>
    <rPh sb="19" eb="22">
      <t>ショトクゼイ</t>
    </rPh>
    <rPh sb="23" eb="24">
      <t>ヒ</t>
    </rPh>
    <rPh sb="31" eb="33">
      <t>バアイ</t>
    </rPh>
    <rPh sb="34" eb="36">
      <t>テキヨウ</t>
    </rPh>
    <rPh sb="44" eb="45">
      <t>ラン</t>
    </rPh>
    <rPh sb="46" eb="48">
      <t>スウジ</t>
    </rPh>
    <rPh sb="49" eb="50">
      <t>ハイ</t>
    </rPh>
    <rPh sb="54" eb="56">
      <t>バアイ</t>
    </rPh>
    <rPh sb="57" eb="59">
      <t>スイケイ</t>
    </rPh>
    <rPh sb="59" eb="62">
      <t>ショトクゼイ</t>
    </rPh>
    <rPh sb="62" eb="63">
      <t>ガク</t>
    </rPh>
    <rPh sb="73" eb="74">
      <t>エン</t>
    </rPh>
    <phoneticPr fontId="1"/>
  </si>
  <si>
    <r>
      <t>E列（水色のセル）に、令和６年度個人市・県民税の課税情報を入力すると、調整給付算定に使用した推計所得税額を算出することができます。</t>
    </r>
    <r>
      <rPr>
        <u/>
        <sz val="10"/>
        <color rgb="FFFF0000"/>
        <rFont val="ＭＳ ゴシック"/>
        <family val="3"/>
        <charset val="128"/>
      </rPr>
      <t>お手元に税額決定通知書をご用意の上、入力してください。</t>
    </r>
    <rPh sb="3" eb="5">
      <t>ミズイロ</t>
    </rPh>
    <rPh sb="66" eb="68">
      <t>テモト</t>
    </rPh>
    <rPh sb="69" eb="71">
      <t>ゼイガク</t>
    </rPh>
    <rPh sb="71" eb="73">
      <t>ケッテイ</t>
    </rPh>
    <rPh sb="73" eb="76">
      <t>ツウチショ</t>
    </rPh>
    <rPh sb="78" eb="80">
      <t>ヨウイ</t>
    </rPh>
    <rPh sb="81" eb="82">
      <t>ウエ</t>
    </rPh>
    <rPh sb="83" eb="85">
      <t>ニュウリョク</t>
    </rPh>
    <phoneticPr fontId="1"/>
  </si>
  <si>
    <t xml:space="preserve">本人の合計所得と住民税の配偶者特別控除から所得税の配偶者特別控除を算出します。
①合計所得金額900万円以下
個人住民税の控除額が33万円→38万円
　　　　　　　　　　　　　上記以外→同額
②合計所得金額900万円超950万円以下
個人住民税の控除額が22万円→26万円
　　　　　　　　　　　　　上記以外→同額
③合計所得金額950万円超1,000万円以下
個人住民税の控除額が11万円→13万円
　　　　　　　　　　　　　上記以外→同額
</t>
    <rPh sb="0" eb="2">
      <t>ホンニン</t>
    </rPh>
    <rPh sb="3" eb="7">
      <t>ゴウケイショトク</t>
    </rPh>
    <rPh sb="8" eb="11">
      <t>ジュウミンゼイ</t>
    </rPh>
    <rPh sb="12" eb="15">
      <t>ハイグウシャ</t>
    </rPh>
    <rPh sb="15" eb="19">
      <t>トクベツコウジョ</t>
    </rPh>
    <rPh sb="21" eb="24">
      <t>ショトクゼイ</t>
    </rPh>
    <rPh sb="25" eb="32">
      <t>ハイグウシャトクベツコウジョ</t>
    </rPh>
    <rPh sb="33" eb="35">
      <t>サンシュツ</t>
    </rPh>
    <rPh sb="41" eb="43">
      <t>ゴウケイ</t>
    </rPh>
    <rPh sb="43" eb="45">
      <t>ショトク</t>
    </rPh>
    <rPh sb="45" eb="47">
      <t>キンガク</t>
    </rPh>
    <rPh sb="50" eb="52">
      <t>マンエン</t>
    </rPh>
    <rPh sb="52" eb="54">
      <t>イカ</t>
    </rPh>
    <rPh sb="55" eb="57">
      <t>コジン</t>
    </rPh>
    <rPh sb="57" eb="60">
      <t>ジュウミンゼイ</t>
    </rPh>
    <rPh sb="61" eb="64">
      <t>コウジョガク</t>
    </rPh>
    <rPh sb="67" eb="69">
      <t>マンエン</t>
    </rPh>
    <rPh sb="72" eb="74">
      <t>マンエン</t>
    </rPh>
    <rPh sb="88" eb="90">
      <t>ジョウキ</t>
    </rPh>
    <rPh sb="90" eb="92">
      <t>イガイ</t>
    </rPh>
    <rPh sb="93" eb="95">
      <t>ドウガク</t>
    </rPh>
    <rPh sb="108" eb="109">
      <t>チョウ</t>
    </rPh>
    <rPh sb="112" eb="114">
      <t>マンエン</t>
    </rPh>
    <rPh sb="114" eb="116">
      <t>イカ</t>
    </rPh>
    <rPh sb="117" eb="119">
      <t>コジン</t>
    </rPh>
    <rPh sb="181" eb="183">
      <t>コジン</t>
    </rPh>
    <phoneticPr fontId="1"/>
  </si>
  <si>
    <r>
      <t>配偶者控除等</t>
    </r>
    <r>
      <rPr>
        <sz val="11"/>
        <color rgb="FFFF0000"/>
        <rFont val="ＭＳ ゴシック"/>
        <family val="3"/>
        <charset val="128"/>
      </rPr>
      <t>（70歳未満の控除対象配偶者がいる場合１を、70歳以上の控除対象配偶者がいる場合２を入力）</t>
    </r>
    <rPh sb="9" eb="10">
      <t>サイ</t>
    </rPh>
    <rPh sb="10" eb="12">
      <t>ミマン</t>
    </rPh>
    <rPh sb="13" eb="15">
      <t>_x0000_	_x0001__x0002_</t>
    </rPh>
    <rPh sb="15" eb="17">
      <t xml:space="preserve">
_x0002__x0005__x000D__x0002_</t>
    </rPh>
    <rPh sb="17" eb="20">
      <t xml:space="preserve">	_x000F__x0002__x000E__x0011__x0003_</t>
    </rPh>
    <rPh sb="23" eb="25">
      <t>_x0014__x0017__x0002_</t>
    </rPh>
    <rPh sb="30" eb="31">
      <t>_x0017__x001E_</t>
    </rPh>
    <rPh sb="31" eb="33">
      <t>_x0001__x0019__x001F__x0002_</t>
    </rPh>
    <rPh sb="34" eb="36">
      <t>_x001D_"_x0002_!</t>
    </rPh>
    <rPh sb="36" eb="38">
      <t>$_x0002_&amp;&amp;_x0003_</t>
    </rPh>
    <rPh sb="38" eb="41">
      <t>,,_x0002_/0_x0002_</t>
    </rPh>
    <rPh sb="44" eb="46">
      <t>_x0000__x0000__x0000_</t>
    </rPh>
    <rPh sb="48" eb="50">
      <t/>
    </rPh>
    <phoneticPr fontId="1"/>
  </si>
  <si>
    <r>
      <t>控除対象障害者</t>
    </r>
    <r>
      <rPr>
        <sz val="11"/>
        <color rgb="FFFF0000"/>
        <rFont val="ＭＳ ゴシック"/>
        <family val="3"/>
        <charset val="128"/>
      </rPr>
      <t>（特別障害者控除の場合１を，原爆障害者控除の場合２を，普通障害者控除の場合３を入力）</t>
    </r>
    <rPh sb="0" eb="2">
      <t>コウジョ</t>
    </rPh>
    <rPh sb="2" eb="4">
      <t>タイショウ</t>
    </rPh>
    <rPh sb="4" eb="7">
      <t>ショウガイシャ</t>
    </rPh>
    <rPh sb="8" eb="10">
      <t>トクベツ</t>
    </rPh>
    <rPh sb="10" eb="12">
      <t>ショウガイ</t>
    </rPh>
    <rPh sb="12" eb="13">
      <t>シャ</t>
    </rPh>
    <rPh sb="13" eb="15">
      <t>コウジョ</t>
    </rPh>
    <rPh sb="16" eb="18">
      <t>バアイ</t>
    </rPh>
    <rPh sb="21" eb="25">
      <t>ゲンバクショウガイ</t>
    </rPh>
    <rPh sb="25" eb="26">
      <t>シャ</t>
    </rPh>
    <rPh sb="26" eb="28">
      <t>コウジョ</t>
    </rPh>
    <rPh sb="29" eb="31">
      <t>バアイ</t>
    </rPh>
    <rPh sb="34" eb="36">
      <t>フツウ</t>
    </rPh>
    <rPh sb="36" eb="39">
      <t>ショウガイシャ</t>
    </rPh>
    <rPh sb="39" eb="41">
      <t>コウジョ</t>
    </rPh>
    <rPh sb="42" eb="44">
      <t>バアイ</t>
    </rPh>
    <phoneticPr fontId="1"/>
  </si>
  <si>
    <r>
      <t>控除対象寡婦・ひとり親</t>
    </r>
    <r>
      <rPr>
        <sz val="11"/>
        <color rgb="FFFF0000"/>
        <rFont val="ＭＳ ゴシック"/>
        <family val="3"/>
        <charset val="128"/>
      </rPr>
      <t>（寡婦控除の場合１を、ひとり親控除の場合２を入力）</t>
    </r>
    <rPh sb="12" eb="14">
      <t>カフ</t>
    </rPh>
    <rPh sb="14" eb="16">
      <t>コウジョ</t>
    </rPh>
    <rPh sb="17" eb="19">
      <t>バアイ</t>
    </rPh>
    <rPh sb="25" eb="26">
      <t>オヤ</t>
    </rPh>
    <rPh sb="26" eb="28">
      <t>コウジョ</t>
    </rPh>
    <rPh sb="29" eb="31">
      <t>バアイ</t>
    </rPh>
    <phoneticPr fontId="1"/>
  </si>
  <si>
    <t>課税　総所得金額
＝No.24からNo.86を引いた数字</t>
    <rPh sb="0" eb="2">
      <t>カゼイ</t>
    </rPh>
    <rPh sb="3" eb="6">
      <t>ソウショトク</t>
    </rPh>
    <rPh sb="6" eb="8">
      <t>キンガク</t>
    </rPh>
    <rPh sb="23" eb="24">
      <t>ヒ</t>
    </rPh>
    <rPh sb="26" eb="28">
      <t>スウジ</t>
    </rPh>
    <phoneticPr fontId="1"/>
  </si>
  <si>
    <t>総所得金額
＝No.88×税率
（税率はNo.88の値によって変わる）</t>
    <rPh sb="0" eb="3">
      <t>ソウショトク</t>
    </rPh>
    <rPh sb="3" eb="5">
      <t>キンガク</t>
    </rPh>
    <rPh sb="13" eb="15">
      <t>ゼイリツ</t>
    </rPh>
    <rPh sb="17" eb="19">
      <t>ゼイリツ</t>
    </rPh>
    <rPh sb="26" eb="27">
      <t>アタイ</t>
    </rPh>
    <rPh sb="31" eb="32">
      <t>カ</t>
    </rPh>
    <phoneticPr fontId="1"/>
  </si>
  <si>
    <t>No117以外の税額控除（寄付金特別控除等）</t>
    <rPh sb="5" eb="7">
      <t>イガイ</t>
    </rPh>
    <rPh sb="8" eb="10">
      <t>ゼイガク</t>
    </rPh>
    <rPh sb="10" eb="12">
      <t>コウジョ</t>
    </rPh>
    <rPh sb="13" eb="16">
      <t>キフキン</t>
    </rPh>
    <rPh sb="16" eb="18">
      <t>トクベツ</t>
    </rPh>
    <rPh sb="18" eb="20">
      <t>コウジョ</t>
    </rPh>
    <rPh sb="20" eb="21">
      <t>トウ</t>
    </rPh>
    <phoneticPr fontId="1"/>
  </si>
  <si>
    <t>・No.117が1以上であれば「0」とします。
・復興特別所得税(所得税額×1.021)は含みません。</t>
    <rPh sb="36" eb="37">
      <t>フク</t>
    </rPh>
    <phoneticPr fontId="1"/>
  </si>
  <si>
    <r>
      <rPr>
        <b/>
        <sz val="12"/>
        <color theme="1"/>
        <rFont val="ＭＳ ゴシック"/>
        <family val="3"/>
        <charset val="128"/>
      </rPr>
      <t>令和６年分推計所得税額</t>
    </r>
    <r>
      <rPr>
        <b/>
        <sz val="11"/>
        <color theme="1"/>
        <rFont val="ＭＳ ゴシック"/>
        <family val="3"/>
        <charset val="128"/>
      </rPr>
      <t xml:space="preserve">
</t>
    </r>
    <r>
      <rPr>
        <sz val="11"/>
        <color theme="1"/>
        <rFont val="ＭＳ ゴシック"/>
        <family val="3"/>
        <charset val="128"/>
      </rPr>
      <t>＝No.111。
※117があれば0円</t>
    </r>
    <rPh sb="0" eb="2">
      <t>レイワ</t>
    </rPh>
    <rPh sb="3" eb="5">
      <t>ネンブン</t>
    </rPh>
    <rPh sb="5" eb="7">
      <t>スイケイ</t>
    </rPh>
    <rPh sb="7" eb="10">
      <t>ショトクゼイ</t>
    </rPh>
    <rPh sb="10" eb="11">
      <t>ガク</t>
    </rPh>
    <rPh sb="29" eb="31">
      <t>ゼロエン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</si>
</sst>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name val="ＭＳ Ｐゴシック"/>
      <family val="3"/>
      <charset val="128"/>
    </font>
    <font>
      <sz val="11"/>
      <color theme="1"/>
      <name val="游ゴシック"/>
      <family val="2"/>
      <charset val="128"/>
      <scheme val="minor"/>
    </font>
    <font>
      <sz val="11"/>
      <color theme="1"/>
      <name val="ＭＳ ゴシック"/>
      <family val="3"/>
      <charset val="128"/>
    </font>
    <font>
      <sz val="11"/>
      <color rgb="FFFF0000"/>
      <name val="ＭＳ Ｐゴシック"/>
      <family val="3"/>
      <charset val="128"/>
    </font>
    <font>
      <sz val="12"/>
      <color rgb="FFFF0000"/>
      <name val="ＭＳ ゴシック"/>
      <family val="3"/>
      <charset val="128"/>
    </font>
    <font>
      <sz val="11"/>
      <name val="ＭＳ ゴシック"/>
      <family val="3"/>
      <charset val="128"/>
    </font>
    <font>
      <sz val="11"/>
      <color theme="1"/>
      <name val="ＭＳ Ｐゴシック"/>
      <family val="3"/>
      <charset val="128"/>
    </font>
    <font>
      <sz val="11"/>
      <color rgb="FFFF0000"/>
      <name val="ＭＳ ゴシック"/>
      <family val="3"/>
      <charset val="128"/>
    </font>
    <font>
      <sz val="10"/>
      <color theme="1"/>
      <name val="ＭＳ ゴシック"/>
      <family val="3"/>
      <charset val="128"/>
    </font>
    <font>
      <sz val="8"/>
      <color theme="1"/>
      <name val="ＭＳ ゴシック"/>
      <family val="3"/>
      <charset val="128"/>
    </font>
    <font>
      <sz val="10"/>
      <color rgb="FFFF0000"/>
      <name val="ＭＳ ゴシック"/>
      <family val="3"/>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sz val="11"/>
      <name val="ＭＳ ゴシック"/>
      <family val="3"/>
    </font>
    <font>
      <b/>
      <sz val="11"/>
      <name val="ＭＳ Ｐゴシック"/>
      <family val="3"/>
      <charset val="128"/>
    </font>
    <font>
      <sz val="12"/>
      <name val="ＭＳ ゴシック"/>
      <family val="3"/>
      <charset val="128"/>
    </font>
    <font>
      <b/>
      <sz val="11"/>
      <color theme="1"/>
      <name val="ＭＳ Ｐゴシック"/>
      <family val="3"/>
      <charset val="128"/>
    </font>
    <font>
      <sz val="10"/>
      <color rgb="FFFF0000"/>
      <name val="ＭＳ Ｐゴシック"/>
      <family val="3"/>
      <charset val="128"/>
    </font>
    <font>
      <b/>
      <sz val="12"/>
      <name val="ＭＳ ゴシック"/>
      <family val="3"/>
      <charset val="128"/>
    </font>
    <font>
      <b/>
      <sz val="11"/>
      <name val="ＭＳ ゴシック"/>
      <family val="3"/>
      <charset val="128"/>
    </font>
    <font>
      <u/>
      <sz val="10"/>
      <color rgb="FFFF0000"/>
      <name val="ＭＳ 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5"/>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rgb="FFFFFF66"/>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indexed="64"/>
      </right>
      <top/>
      <bottom/>
      <diagonal/>
    </border>
    <border>
      <left style="thick">
        <color indexed="64"/>
      </left>
      <right style="thick">
        <color indexed="64"/>
      </right>
      <top/>
      <bottom style="thick">
        <color auto="1"/>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auto="1"/>
      </right>
      <top style="thin">
        <color indexed="64"/>
      </top>
      <bottom style="thin">
        <color auto="1"/>
      </bottom>
      <diagonal style="thin">
        <color indexed="64"/>
      </diagonal>
    </border>
    <border>
      <left/>
      <right style="thin">
        <color auto="1"/>
      </right>
      <top style="thin">
        <color indexed="64"/>
      </top>
      <bottom style="medium">
        <color indexed="64"/>
      </bottom>
      <diagonal/>
    </border>
    <border>
      <left/>
      <right/>
      <top/>
      <bottom style="thin">
        <color indexed="64"/>
      </bottom>
      <diagonal/>
    </border>
    <border>
      <left style="thick">
        <color rgb="FF0070C0"/>
      </left>
      <right style="thick">
        <color rgb="FF0070C0"/>
      </right>
      <top style="thick">
        <color rgb="FF0070C0"/>
      </top>
      <bottom style="thick">
        <color rgb="FF0070C0"/>
      </bottom>
      <diagonal/>
    </border>
    <border>
      <left style="thick">
        <color theme="4"/>
      </left>
      <right style="thick">
        <color theme="4"/>
      </right>
      <top style="thick">
        <color theme="4"/>
      </top>
      <bottom style="thick">
        <color theme="4"/>
      </bottom>
      <diagonal/>
    </border>
    <border>
      <left style="thick">
        <color theme="4"/>
      </left>
      <right style="thick">
        <color theme="4"/>
      </right>
      <top style="thick">
        <color theme="4"/>
      </top>
      <bottom style="thin">
        <color indexed="64"/>
      </bottom>
      <diagonal/>
    </border>
    <border>
      <left style="thick">
        <color theme="4"/>
      </left>
      <right style="thick">
        <color theme="4"/>
      </right>
      <top style="thin">
        <color indexed="64"/>
      </top>
      <bottom style="thin">
        <color indexed="64"/>
      </bottom>
      <diagonal/>
    </border>
    <border>
      <left style="thick">
        <color theme="4"/>
      </left>
      <right style="thick">
        <color theme="4"/>
      </right>
      <top style="thin">
        <color indexed="64"/>
      </top>
      <bottom style="thick">
        <color theme="4"/>
      </bottom>
      <diagonal/>
    </border>
    <border diagonalUp="1">
      <left style="thin">
        <color indexed="64"/>
      </left>
      <right style="thin">
        <color auto="1"/>
      </right>
      <top/>
      <bottom style="thin">
        <color auto="1"/>
      </bottom>
      <diagonal style="thin">
        <color indexed="64"/>
      </diagonal>
    </border>
    <border>
      <left style="thick">
        <color theme="4"/>
      </left>
      <right style="thick">
        <color theme="4"/>
      </right>
      <top style="thin">
        <color indexed="64"/>
      </top>
      <bottom style="medium">
        <color indexed="64"/>
      </bottom>
      <diagonal/>
    </border>
    <border>
      <left style="thick">
        <color theme="4"/>
      </left>
      <right style="thick">
        <color theme="4"/>
      </right>
      <top/>
      <bottom style="thin">
        <color indexed="64"/>
      </bottom>
      <diagonal/>
    </border>
    <border diagonalUp="1">
      <left style="thin">
        <color indexed="64"/>
      </left>
      <right style="thin">
        <color auto="1"/>
      </right>
      <top style="thin">
        <color indexed="64"/>
      </top>
      <bottom/>
      <diagonal style="thin">
        <color indexed="64"/>
      </diagonal>
    </border>
    <border>
      <left style="thick">
        <color theme="4"/>
      </left>
      <right style="thick">
        <color theme="4"/>
      </right>
      <top style="thick">
        <color theme="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diagonalUp="1">
      <left style="thin">
        <color indexed="64"/>
      </left>
      <right style="thin">
        <color auto="1"/>
      </right>
      <top style="thin">
        <color indexed="64"/>
      </top>
      <bottom style="thick">
        <color indexed="64"/>
      </bottom>
      <diagonal style="thin">
        <color indexed="64"/>
      </diagonal>
    </border>
    <border>
      <left/>
      <right style="thin">
        <color auto="1"/>
      </right>
      <top style="thin">
        <color indexed="64"/>
      </top>
      <bottom style="thick">
        <color indexed="64"/>
      </bottom>
      <diagonal/>
    </border>
    <border>
      <left style="thin">
        <color auto="1"/>
      </left>
      <right style="thin">
        <color indexed="64"/>
      </right>
      <top style="thick">
        <color indexed="64"/>
      </top>
      <bottom style="thick">
        <color auto="1"/>
      </bottom>
      <diagonal/>
    </border>
    <border>
      <left style="thin">
        <color indexed="64"/>
      </left>
      <right/>
      <top style="thick">
        <color indexed="64"/>
      </top>
      <bottom style="thick">
        <color auto="1"/>
      </bottom>
      <diagonal/>
    </border>
    <border diagonalUp="1">
      <left style="thin">
        <color indexed="64"/>
      </left>
      <right style="thin">
        <color auto="1"/>
      </right>
      <top style="thick">
        <color indexed="64"/>
      </top>
      <bottom style="thick">
        <color auto="1"/>
      </bottom>
      <diagonal style="thin">
        <color indexed="64"/>
      </diagonal>
    </border>
    <border>
      <left/>
      <right style="thin">
        <color indexed="64"/>
      </right>
      <top style="thick">
        <color indexed="64"/>
      </top>
      <bottom style="thick">
        <color auto="1"/>
      </bottom>
      <diagonal/>
    </border>
    <border>
      <left style="thin">
        <color indexed="64"/>
      </left>
      <right style="thin">
        <color indexed="64"/>
      </right>
      <top style="thick">
        <color auto="1"/>
      </top>
      <bottom style="thin">
        <color indexed="64"/>
      </bottom>
      <diagonal/>
    </border>
    <border>
      <left style="thin">
        <color auto="1"/>
      </left>
      <right/>
      <top style="thick">
        <color auto="1"/>
      </top>
      <bottom style="thin">
        <color indexed="64"/>
      </bottom>
      <diagonal/>
    </border>
    <border diagonalUp="1">
      <left style="thin">
        <color indexed="64"/>
      </left>
      <right style="thin">
        <color auto="1"/>
      </right>
      <top style="thick">
        <color auto="1"/>
      </top>
      <bottom style="thin">
        <color indexed="64"/>
      </bottom>
      <diagonal style="thin">
        <color indexed="64"/>
      </diagonal>
    </border>
    <border>
      <left/>
      <right style="thin">
        <color indexed="64"/>
      </right>
      <top style="thick">
        <color auto="1"/>
      </top>
      <bottom style="thin">
        <color indexed="64"/>
      </bottom>
      <diagonal/>
    </border>
    <border>
      <left style="thin">
        <color auto="1"/>
      </left>
      <right/>
      <top/>
      <bottom style="thick">
        <color indexed="64"/>
      </bottom>
      <diagonal/>
    </border>
    <border diagonalUp="1">
      <left style="thin">
        <color indexed="64"/>
      </left>
      <right style="thin">
        <color auto="1"/>
      </right>
      <top/>
      <bottom style="thick">
        <color indexed="64"/>
      </bottom>
      <diagonal style="thin">
        <color indexed="64"/>
      </diagonal>
    </border>
    <border>
      <left/>
      <right/>
      <top style="thin">
        <color indexed="64"/>
      </top>
      <bottom style="thick">
        <color indexed="64"/>
      </bottom>
      <diagonal/>
    </border>
    <border diagonalUp="1">
      <left style="thin">
        <color indexed="64"/>
      </left>
      <right style="thin">
        <color auto="1"/>
      </right>
      <top/>
      <bottom/>
      <diagonal style="thin">
        <color indexed="64"/>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ck">
        <color theme="4"/>
      </left>
      <right style="thick">
        <color theme="4"/>
      </right>
      <top style="thin">
        <color indexed="64"/>
      </top>
      <bottom/>
      <diagonal/>
    </border>
    <border>
      <left style="thick">
        <color theme="4"/>
      </left>
      <right style="thick">
        <color theme="4"/>
      </right>
      <top style="thick">
        <color indexed="64"/>
      </top>
      <bottom style="thick">
        <color theme="4"/>
      </bottom>
      <diagonal/>
    </border>
    <border>
      <left style="thick">
        <color theme="4"/>
      </left>
      <right style="thick">
        <color theme="4"/>
      </right>
      <top style="thick">
        <color indexed="64"/>
      </top>
      <bottom style="thin">
        <color indexed="64"/>
      </bottom>
      <diagonal/>
    </border>
    <border>
      <left/>
      <right style="thin">
        <color indexed="64"/>
      </right>
      <top/>
      <bottom/>
      <diagonal/>
    </border>
    <border>
      <left style="thick">
        <color theme="4"/>
      </left>
      <right style="thick">
        <color theme="4"/>
      </right>
      <top style="thin">
        <color indexed="64"/>
      </top>
      <bottom style="thick">
        <color indexed="64"/>
      </bottom>
      <diagonal/>
    </border>
    <border>
      <left style="thick">
        <color theme="4"/>
      </left>
      <right style="thick">
        <color theme="4"/>
      </right>
      <top style="thick">
        <color theme="1"/>
      </top>
      <bottom style="thick">
        <color theme="4"/>
      </bottom>
      <diagonal/>
    </border>
  </borders>
  <cellStyleXfs count="4">
    <xf numFmtId="0" fontId="0" fillId="0" borderId="0">
      <alignment vertical="center"/>
    </xf>
    <xf numFmtId="0" fontId="2" fillId="0" borderId="0">
      <alignment vertical="center"/>
    </xf>
    <xf numFmtId="0" fontId="3" fillId="0" borderId="0"/>
    <xf numFmtId="38" fontId="4" fillId="0" borderId="0" applyFont="0" applyFill="0" applyBorder="0" applyAlignment="0" applyProtection="0">
      <alignment vertical="center"/>
    </xf>
  </cellStyleXfs>
  <cellXfs count="289">
    <xf numFmtId="0" fontId="0" fillId="0" borderId="0" xfId="0">
      <alignment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shrinkToFi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9" fillId="3" borderId="1" xfId="0" applyFont="1" applyFill="1" applyBorder="1" applyAlignment="1">
      <alignment vertical="center" wrapText="1"/>
    </xf>
    <xf numFmtId="0" fontId="5" fillId="0" borderId="1" xfId="0" applyFont="1" applyBorder="1" applyAlignment="1">
      <alignment horizontal="right" vertical="center"/>
    </xf>
    <xf numFmtId="38" fontId="5" fillId="0" borderId="1" xfId="3" applyFont="1" applyFill="1" applyBorder="1">
      <alignment vertical="center"/>
    </xf>
    <xf numFmtId="0" fontId="9" fillId="0" borderId="1" xfId="0" applyFont="1" applyBorder="1" applyAlignment="1">
      <alignment vertical="center" wrapText="1"/>
    </xf>
    <xf numFmtId="0" fontId="10" fillId="0" borderId="0" xfId="0" applyFont="1">
      <alignmen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9" fillId="0" borderId="2" xfId="0" applyFont="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right" vertical="center" wrapText="1" indent="1"/>
    </xf>
    <xf numFmtId="38" fontId="5" fillId="4" borderId="1" xfId="3" applyFont="1" applyFill="1" applyBorder="1">
      <alignment vertical="center"/>
    </xf>
    <xf numFmtId="0" fontId="9" fillId="4" borderId="1" xfId="0" applyFont="1" applyFill="1" applyBorder="1" applyAlignment="1">
      <alignment vertical="center" wrapText="1"/>
    </xf>
    <xf numFmtId="0" fontId="9" fillId="4" borderId="1" xfId="0" applyFont="1" applyFill="1" applyBorder="1">
      <alignment vertical="center"/>
    </xf>
    <xf numFmtId="0" fontId="9" fillId="0" borderId="1" xfId="0" applyFont="1" applyBorder="1">
      <alignment vertical="center"/>
    </xf>
    <xf numFmtId="0" fontId="9" fillId="3" borderId="1" xfId="0" applyFont="1" applyFill="1" applyBorder="1">
      <alignment vertical="center"/>
    </xf>
    <xf numFmtId="0" fontId="5" fillId="0" borderId="1" xfId="0" applyFont="1" applyBorder="1" applyAlignment="1">
      <alignment horizontal="right" vertical="center" wrapText="1"/>
    </xf>
    <xf numFmtId="49" fontId="1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4" borderId="1" xfId="0" applyFont="1" applyFill="1" applyBorder="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left" vertical="center"/>
    </xf>
    <xf numFmtId="38" fontId="5" fillId="0" borderId="2" xfId="3" applyFont="1" applyFill="1" applyBorder="1">
      <alignment vertical="center"/>
    </xf>
    <xf numFmtId="0" fontId="9" fillId="0" borderId="0" xfId="0" applyFont="1">
      <alignment vertical="center"/>
    </xf>
    <xf numFmtId="38" fontId="5" fillId="0" borderId="3" xfId="3" applyFont="1" applyFill="1" applyBorder="1">
      <alignment vertical="center"/>
    </xf>
    <xf numFmtId="0" fontId="10" fillId="0" borderId="0" xfId="0" applyFont="1" applyAlignment="1">
      <alignment horizontal="center" vertical="center"/>
    </xf>
    <xf numFmtId="0" fontId="9" fillId="0" borderId="3" xfId="0" applyFont="1" applyBorder="1" applyAlignment="1">
      <alignment vertical="center" wrapText="1"/>
    </xf>
    <xf numFmtId="0" fontId="9" fillId="3" borderId="2" xfId="0" applyFont="1" applyFill="1" applyBorder="1" applyAlignment="1">
      <alignment vertical="center" wrapText="1"/>
    </xf>
    <xf numFmtId="0" fontId="9" fillId="3" borderId="6" xfId="0" applyFont="1" applyFill="1" applyBorder="1" applyAlignment="1">
      <alignment vertical="center" wrapText="1"/>
    </xf>
    <xf numFmtId="0" fontId="8"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38" fontId="5" fillId="7" borderId="1" xfId="3" applyFont="1" applyFill="1" applyBorder="1">
      <alignment vertical="center"/>
    </xf>
    <xf numFmtId="0" fontId="9" fillId="7" borderId="1" xfId="0" applyFont="1" applyFill="1" applyBorder="1" applyAlignment="1">
      <alignment vertical="center" wrapText="1"/>
    </xf>
    <xf numFmtId="0" fontId="5" fillId="7" borderId="5" xfId="0" applyFont="1" applyFill="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right" vertical="center"/>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4" borderId="5" xfId="0" applyFont="1" applyFill="1" applyBorder="1" applyAlignment="1">
      <alignment horizontal="right" vertical="center" wrapText="1" indent="1"/>
    </xf>
    <xf numFmtId="0" fontId="5" fillId="7" borderId="6"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4" borderId="6" xfId="0" applyFont="1" applyFill="1" applyBorder="1" applyAlignment="1">
      <alignment horizontal="center" vertical="center"/>
    </xf>
    <xf numFmtId="0" fontId="5" fillId="0" borderId="16" xfId="0" applyFont="1" applyBorder="1" applyAlignment="1">
      <alignment horizontal="center" vertical="center"/>
    </xf>
    <xf numFmtId="38" fontId="5" fillId="4" borderId="8" xfId="3" applyFont="1" applyFill="1" applyBorder="1">
      <alignment vertical="center"/>
    </xf>
    <xf numFmtId="0" fontId="8" fillId="9" borderId="0" xfId="0" applyFont="1" applyFill="1" applyAlignment="1">
      <alignment horizontal="center" vertical="center"/>
    </xf>
    <xf numFmtId="0" fontId="8" fillId="9" borderId="0" xfId="0" applyFont="1" applyFill="1">
      <alignment vertical="center"/>
    </xf>
    <xf numFmtId="0" fontId="8" fillId="9" borderId="0" xfId="0" applyFont="1" applyFill="1" applyAlignment="1">
      <alignment horizontal="left" vertical="center"/>
    </xf>
    <xf numFmtId="0" fontId="3" fillId="9" borderId="0" xfId="0" applyFont="1" applyFill="1" applyAlignment="1">
      <alignment horizontal="left"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9" borderId="1" xfId="0" applyFont="1" applyFill="1" applyBorder="1" applyAlignment="1">
      <alignment horizontal="center" vertical="center"/>
    </xf>
    <xf numFmtId="0" fontId="8" fillId="9" borderId="1" xfId="0" applyFont="1" applyFill="1" applyBorder="1" applyAlignment="1">
      <alignment horizontal="left" vertical="center"/>
    </xf>
    <xf numFmtId="38" fontId="8" fillId="9" borderId="1" xfId="3" applyFont="1" applyFill="1" applyBorder="1" applyAlignment="1">
      <alignment vertical="center"/>
    </xf>
    <xf numFmtId="0" fontId="8" fillId="9" borderId="5" xfId="0" applyFont="1" applyFill="1" applyBorder="1" applyAlignment="1">
      <alignment horizontal="center" vertical="center"/>
    </xf>
    <xf numFmtId="38" fontId="8" fillId="9" borderId="7" xfId="3" applyFont="1" applyFill="1" applyBorder="1" applyAlignment="1">
      <alignment horizontal="right" vertical="center"/>
    </xf>
    <xf numFmtId="0" fontId="3" fillId="9" borderId="6" xfId="0" applyFont="1" applyFill="1" applyBorder="1" applyAlignment="1">
      <alignment horizontal="left" vertical="center"/>
    </xf>
    <xf numFmtId="0" fontId="8" fillId="9" borderId="1" xfId="0" applyFont="1" applyFill="1" applyBorder="1" applyAlignment="1">
      <alignment horizontal="right" vertical="center"/>
    </xf>
    <xf numFmtId="38" fontId="8" fillId="9" borderId="3" xfId="3" applyFont="1" applyFill="1" applyBorder="1" applyAlignment="1">
      <alignment horizontal="left" vertical="center"/>
    </xf>
    <xf numFmtId="0" fontId="3" fillId="9" borderId="1" xfId="0" applyFont="1" applyFill="1" applyBorder="1" applyAlignment="1">
      <alignment horizontal="left" vertical="center"/>
    </xf>
    <xf numFmtId="38" fontId="8" fillId="9" borderId="2" xfId="3" applyFont="1" applyFill="1" applyBorder="1" applyAlignment="1">
      <alignment horizontal="left" vertical="center"/>
    </xf>
    <xf numFmtId="0" fontId="8" fillId="9" borderId="1" xfId="0" applyFont="1" applyFill="1" applyBorder="1" applyAlignment="1">
      <alignment horizontal="left" vertical="center" wrapText="1"/>
    </xf>
    <xf numFmtId="38" fontId="8" fillId="9" borderId="1" xfId="3" applyFont="1" applyFill="1" applyBorder="1">
      <alignment vertical="center"/>
    </xf>
    <xf numFmtId="38" fontId="8" fillId="9" borderId="7" xfId="3" applyFont="1" applyFill="1" applyBorder="1">
      <alignment vertical="center"/>
    </xf>
    <xf numFmtId="0" fontId="3" fillId="9" borderId="6" xfId="0" applyFont="1" applyFill="1" applyBorder="1" applyAlignment="1">
      <alignment vertical="center" wrapText="1"/>
    </xf>
    <xf numFmtId="0" fontId="3" fillId="9" borderId="4" xfId="0" applyFont="1" applyFill="1" applyBorder="1">
      <alignment vertical="center"/>
    </xf>
    <xf numFmtId="38" fontId="8" fillId="9" borderId="8" xfId="3" applyFont="1" applyFill="1" applyBorder="1">
      <alignment vertical="center"/>
    </xf>
    <xf numFmtId="0" fontId="3" fillId="9" borderId="1" xfId="0" applyFont="1" applyFill="1" applyBorder="1" applyAlignment="1">
      <alignment vertical="center" wrapText="1"/>
    </xf>
    <xf numFmtId="0" fontId="3" fillId="9" borderId="0" xfId="0" applyFont="1" applyFill="1">
      <alignment vertical="center"/>
    </xf>
    <xf numFmtId="38" fontId="8" fillId="9" borderId="9" xfId="3" applyFont="1" applyFill="1" applyBorder="1">
      <alignment vertical="center"/>
    </xf>
    <xf numFmtId="38" fontId="17" fillId="9" borderId="1" xfId="3" applyFont="1" applyFill="1" applyBorder="1">
      <alignment vertical="center"/>
    </xf>
    <xf numFmtId="0" fontId="3" fillId="9" borderId="6" xfId="0" applyFont="1" applyFill="1" applyBorder="1">
      <alignment vertical="center"/>
    </xf>
    <xf numFmtId="38" fontId="8" fillId="9" borderId="3" xfId="3" applyFont="1" applyFill="1" applyBorder="1">
      <alignment vertical="center"/>
    </xf>
    <xf numFmtId="0" fontId="8" fillId="9" borderId="1" xfId="0" applyFont="1" applyFill="1" applyBorder="1" applyAlignment="1">
      <alignment horizontal="left" vertical="center" shrinkToFit="1"/>
    </xf>
    <xf numFmtId="0" fontId="18" fillId="8" borderId="1" xfId="0" applyFont="1" applyFill="1" applyBorder="1" applyAlignment="1">
      <alignment vertical="center" wrapText="1"/>
    </xf>
    <xf numFmtId="38" fontId="5" fillId="0" borderId="5" xfId="3" applyFont="1" applyFill="1" applyBorder="1">
      <alignment vertical="center"/>
    </xf>
    <xf numFmtId="38" fontId="5" fillId="0" borderId="21" xfId="3" applyFont="1" applyBorder="1">
      <alignment vertical="center"/>
    </xf>
    <xf numFmtId="38" fontId="5" fillId="0" borderId="21" xfId="3" applyFont="1" applyFill="1" applyBorder="1">
      <alignment vertical="center"/>
    </xf>
    <xf numFmtId="0" fontId="14" fillId="8" borderId="1" xfId="0" applyFont="1" applyFill="1" applyBorder="1" applyAlignment="1">
      <alignment horizontal="center" vertical="center"/>
    </xf>
    <xf numFmtId="0" fontId="14" fillId="8" borderId="1" xfId="0" applyFont="1" applyFill="1" applyBorder="1" applyAlignment="1">
      <alignment horizontal="left" vertical="center"/>
    </xf>
    <xf numFmtId="38" fontId="14" fillId="8" borderId="1" xfId="3" applyFont="1" applyFill="1" applyBorder="1">
      <alignment vertical="center"/>
    </xf>
    <xf numFmtId="0" fontId="14" fillId="8" borderId="1"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5" fillId="0" borderId="1" xfId="0" applyFont="1" applyBorder="1" applyAlignment="1">
      <alignment horizontal="left" vertical="center" wrapText="1" shrinkToFit="1"/>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21" fillId="0" borderId="0" xfId="0" applyFont="1">
      <alignment vertical="center"/>
    </xf>
    <xf numFmtId="0" fontId="16" fillId="0" borderId="0" xfId="0" applyFont="1">
      <alignment vertical="center"/>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0" xfId="0" applyFont="1" applyProtection="1">
      <alignment vertical="center"/>
      <protection locked="0"/>
    </xf>
    <xf numFmtId="0" fontId="5" fillId="2" borderId="1" xfId="0"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pplyProtection="1">
      <alignment horizontal="center" vertical="center"/>
      <protection locked="0"/>
    </xf>
    <xf numFmtId="0" fontId="3" fillId="0" borderId="2" xfId="0" applyFont="1" applyBorder="1" applyAlignment="1">
      <alignment vertical="center" wrapText="1"/>
    </xf>
    <xf numFmtId="0" fontId="5" fillId="3" borderId="3" xfId="0" applyFont="1" applyFill="1" applyBorder="1" applyAlignment="1">
      <alignment horizontal="center" vertical="center"/>
    </xf>
    <xf numFmtId="0" fontId="5" fillId="0" borderId="13" xfId="0" applyFont="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left" vertical="center"/>
    </xf>
    <xf numFmtId="0" fontId="9" fillId="0" borderId="8" xfId="0" applyFont="1" applyBorder="1" applyAlignment="1">
      <alignment vertical="center" wrapText="1"/>
    </xf>
    <xf numFmtId="0" fontId="8" fillId="5" borderId="19" xfId="0" applyFont="1" applyFill="1" applyBorder="1" applyAlignment="1">
      <alignment horizontal="center" vertical="center"/>
    </xf>
    <xf numFmtId="0" fontId="5" fillId="0" borderId="20" xfId="0" applyFont="1" applyBorder="1" applyAlignment="1">
      <alignment horizontal="right" vertical="center"/>
    </xf>
    <xf numFmtId="0" fontId="5" fillId="0" borderId="5" xfId="0" applyFont="1" applyBorder="1" applyAlignment="1">
      <alignment horizontal="left" vertical="center" wrapText="1" indent="2"/>
    </xf>
    <xf numFmtId="0" fontId="5" fillId="0" borderId="4" xfId="0" applyFont="1" applyBorder="1" applyAlignment="1">
      <alignment horizontal="left" vertical="center" wrapText="1" indent="2"/>
    </xf>
    <xf numFmtId="0" fontId="5" fillId="0" borderId="11" xfId="0" applyFont="1" applyBorder="1" applyAlignment="1">
      <alignment horizontal="left" vertical="center" wrapText="1" indent="2"/>
    </xf>
    <xf numFmtId="0" fontId="9" fillId="0" borderId="6" xfId="0" applyFont="1" applyBorder="1" applyAlignment="1">
      <alignment vertical="center" wrapText="1"/>
    </xf>
    <xf numFmtId="0" fontId="23" fillId="10" borderId="24" xfId="0" applyFont="1" applyFill="1" applyBorder="1" applyAlignment="1" applyProtection="1">
      <alignment horizontal="center" vertical="center" wrapText="1"/>
      <protection locked="0"/>
    </xf>
    <xf numFmtId="0" fontId="5" fillId="11" borderId="1" xfId="0" applyFont="1" applyFill="1" applyBorder="1" applyAlignment="1">
      <alignment horizontal="left" vertical="center"/>
    </xf>
    <xf numFmtId="38" fontId="5" fillId="7" borderId="2" xfId="3" applyFont="1" applyFill="1" applyBorder="1">
      <alignment vertical="center"/>
    </xf>
    <xf numFmtId="38" fontId="14" fillId="8" borderId="3" xfId="3" applyFont="1" applyFill="1" applyBorder="1">
      <alignment vertical="center"/>
    </xf>
    <xf numFmtId="38" fontId="5" fillId="10" borderId="26" xfId="3" applyFont="1" applyFill="1" applyBorder="1">
      <alignment vertical="center"/>
    </xf>
    <xf numFmtId="38" fontId="5" fillId="10" borderId="27" xfId="3" applyFont="1" applyFill="1" applyBorder="1">
      <alignment vertical="center"/>
    </xf>
    <xf numFmtId="38" fontId="5" fillId="10" borderId="28" xfId="3" applyFont="1" applyFill="1" applyBorder="1">
      <alignment vertical="center"/>
    </xf>
    <xf numFmtId="38" fontId="5" fillId="10" borderId="25" xfId="3" applyFont="1" applyFill="1" applyBorder="1">
      <alignment vertical="center"/>
    </xf>
    <xf numFmtId="38" fontId="5" fillId="0" borderId="8" xfId="3" applyFont="1" applyFill="1" applyBorder="1">
      <alignment vertical="center"/>
    </xf>
    <xf numFmtId="38" fontId="5" fillId="10" borderId="30" xfId="3" applyFont="1" applyFill="1" applyBorder="1">
      <alignment vertical="center"/>
    </xf>
    <xf numFmtId="38" fontId="5" fillId="10" borderId="31" xfId="3" applyFont="1" applyFill="1" applyBorder="1">
      <alignment vertical="center"/>
    </xf>
    <xf numFmtId="38" fontId="5" fillId="4" borderId="2" xfId="3" applyFont="1" applyFill="1" applyBorder="1">
      <alignment vertical="center"/>
    </xf>
    <xf numFmtId="38" fontId="5" fillId="0" borderId="29" xfId="3" applyFont="1" applyFill="1" applyBorder="1">
      <alignment vertical="center"/>
    </xf>
    <xf numFmtId="38" fontId="5" fillId="5" borderId="26" xfId="3" applyFont="1" applyFill="1" applyBorder="1">
      <alignment vertical="center"/>
    </xf>
    <xf numFmtId="38" fontId="5" fillId="5" borderId="28" xfId="3" applyFont="1" applyFill="1" applyBorder="1">
      <alignment vertical="center"/>
    </xf>
    <xf numFmtId="38" fontId="5" fillId="0" borderId="32" xfId="3" applyFont="1" applyFill="1" applyBorder="1">
      <alignment vertical="center"/>
    </xf>
    <xf numFmtId="38" fontId="5" fillId="0" borderId="29" xfId="3" applyFont="1" applyBorder="1">
      <alignment vertical="center"/>
    </xf>
    <xf numFmtId="38" fontId="5" fillId="0" borderId="32" xfId="3" applyFont="1" applyBorder="1">
      <alignment vertical="center"/>
    </xf>
    <xf numFmtId="38" fontId="5" fillId="10" borderId="33" xfId="3" applyFont="1" applyFill="1" applyBorder="1">
      <alignment vertical="center"/>
    </xf>
    <xf numFmtId="0" fontId="5" fillId="3" borderId="34" xfId="0" applyFont="1" applyFill="1" applyBorder="1" applyAlignment="1">
      <alignment horizontal="center" vertical="center"/>
    </xf>
    <xf numFmtId="0" fontId="8" fillId="5" borderId="3"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left" vertical="center" wrapText="1" indent="2"/>
    </xf>
    <xf numFmtId="38" fontId="5" fillId="0" borderId="37" xfId="3" applyFont="1" applyFill="1" applyBorder="1">
      <alignment vertical="center"/>
    </xf>
    <xf numFmtId="38" fontId="5" fillId="0" borderId="35" xfId="3" applyFont="1" applyFill="1" applyBorder="1">
      <alignment vertical="center"/>
    </xf>
    <xf numFmtId="0" fontId="9" fillId="0" borderId="35" xfId="0" applyFont="1" applyBorder="1" applyAlignment="1">
      <alignment vertical="center" wrapText="1"/>
    </xf>
    <xf numFmtId="0" fontId="5" fillId="3" borderId="39" xfId="0" applyFont="1" applyFill="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left" vertical="center" wrapText="1" indent="2"/>
    </xf>
    <xf numFmtId="38" fontId="5" fillId="0" borderId="41" xfId="3" applyFont="1" applyFill="1" applyBorder="1">
      <alignment vertical="center"/>
    </xf>
    <xf numFmtId="38" fontId="5" fillId="0" borderId="39" xfId="3" applyFont="1" applyFill="1" applyBorder="1">
      <alignment vertical="center"/>
    </xf>
    <xf numFmtId="0" fontId="9" fillId="0" borderId="39" xfId="0" applyFont="1" applyBorder="1" applyAlignment="1">
      <alignment vertical="center" wrapText="1"/>
    </xf>
    <xf numFmtId="0" fontId="5" fillId="0" borderId="43" xfId="0" applyFont="1" applyBorder="1" applyAlignment="1">
      <alignment horizontal="center" vertical="center"/>
    </xf>
    <xf numFmtId="0" fontId="5" fillId="0" borderId="44" xfId="0" applyFont="1" applyBorder="1" applyAlignment="1">
      <alignment horizontal="left" vertical="center" wrapText="1" indent="2"/>
    </xf>
    <xf numFmtId="38" fontId="5" fillId="0" borderId="45" xfId="3" applyFont="1" applyBorder="1">
      <alignment vertical="center"/>
    </xf>
    <xf numFmtId="0" fontId="5" fillId="0" borderId="46" xfId="0" applyFont="1" applyBorder="1" applyAlignment="1">
      <alignment horizontal="center" vertical="center"/>
    </xf>
    <xf numFmtId="38" fontId="5" fillId="0" borderId="43" xfId="3" applyFont="1" applyFill="1" applyBorder="1">
      <alignment vertical="center"/>
    </xf>
    <xf numFmtId="0" fontId="9" fillId="3" borderId="43" xfId="0" applyFont="1" applyFill="1" applyBorder="1" applyAlignment="1">
      <alignment vertical="center" wrapText="1"/>
    </xf>
    <xf numFmtId="0" fontId="9" fillId="3" borderId="3" xfId="0" applyFont="1" applyFill="1" applyBorder="1" applyAlignment="1">
      <alignment vertical="center" wrapText="1"/>
    </xf>
    <xf numFmtId="0" fontId="5" fillId="0" borderId="47" xfId="0" applyFont="1" applyBorder="1" applyAlignment="1">
      <alignment horizontal="left" vertical="center" wrapText="1" indent="2"/>
    </xf>
    <xf numFmtId="38" fontId="5" fillId="0" borderId="48" xfId="3" applyFont="1" applyFill="1" applyBorder="1">
      <alignment vertical="center"/>
    </xf>
    <xf numFmtId="0" fontId="9" fillId="0" borderId="38" xfId="0" applyFont="1" applyBorder="1" applyAlignment="1">
      <alignment vertical="center" wrapText="1"/>
    </xf>
    <xf numFmtId="38" fontId="5" fillId="0" borderId="50" xfId="3" applyFont="1" applyFill="1" applyBorder="1">
      <alignment vertical="center"/>
    </xf>
    <xf numFmtId="0" fontId="9" fillId="0" borderId="12" xfId="0" applyFont="1" applyBorder="1" applyAlignment="1">
      <alignment vertical="center" wrapText="1"/>
    </xf>
    <xf numFmtId="0" fontId="14" fillId="0" borderId="43" xfId="0" applyFont="1" applyBorder="1" applyAlignment="1">
      <alignment horizontal="center" vertical="center"/>
    </xf>
    <xf numFmtId="0" fontId="14" fillId="0" borderId="44" xfId="0" applyFont="1" applyBorder="1" applyAlignment="1">
      <alignment horizontal="left" vertical="center" wrapText="1" indent="2"/>
    </xf>
    <xf numFmtId="38" fontId="14" fillId="0" borderId="45" xfId="3" applyFont="1" applyFill="1" applyBorder="1">
      <alignment vertical="center"/>
    </xf>
    <xf numFmtId="38" fontId="14" fillId="0" borderId="43" xfId="3" applyFont="1" applyFill="1" applyBorder="1">
      <alignment vertical="center"/>
    </xf>
    <xf numFmtId="0" fontId="20" fillId="0" borderId="46" xfId="0" applyFont="1" applyBorder="1" applyAlignment="1">
      <alignment vertical="center" wrapText="1"/>
    </xf>
    <xf numFmtId="38" fontId="5" fillId="10" borderId="53" xfId="3" applyFont="1" applyFill="1" applyBorder="1">
      <alignment vertical="center"/>
    </xf>
    <xf numFmtId="0" fontId="5" fillId="3" borderId="43" xfId="0" applyFont="1" applyFill="1" applyBorder="1" applyAlignment="1">
      <alignment horizontal="center" vertical="center"/>
    </xf>
    <xf numFmtId="0" fontId="5" fillId="0" borderId="44" xfId="0" applyFont="1" applyBorder="1" applyAlignment="1">
      <alignment horizontal="left" vertical="center"/>
    </xf>
    <xf numFmtId="38" fontId="5" fillId="10" borderId="54" xfId="3" applyFont="1" applyFill="1" applyBorder="1">
      <alignment vertical="center"/>
    </xf>
    <xf numFmtId="0" fontId="5" fillId="0" borderId="2" xfId="0" applyFont="1" applyBorder="1" applyAlignment="1">
      <alignment horizontal="right" vertical="center" wrapText="1"/>
    </xf>
    <xf numFmtId="49" fontId="5" fillId="0" borderId="2" xfId="0" applyNumberFormat="1" applyFont="1" applyBorder="1" applyAlignment="1">
      <alignment horizontal="center" vertical="center"/>
    </xf>
    <xf numFmtId="38" fontId="5" fillId="10" borderId="55" xfId="3" applyFont="1" applyFill="1" applyBorder="1">
      <alignment vertical="center"/>
    </xf>
    <xf numFmtId="0" fontId="9" fillId="3" borderId="43" xfId="0" applyFont="1" applyFill="1" applyBorder="1">
      <alignment vertical="center"/>
    </xf>
    <xf numFmtId="0" fontId="5" fillId="0" borderId="44" xfId="0" applyFont="1" applyBorder="1" applyAlignment="1">
      <alignment horizontal="left" vertical="center" wrapText="1"/>
    </xf>
    <xf numFmtId="0" fontId="5" fillId="0" borderId="2" xfId="0" applyFont="1" applyBorder="1" applyAlignment="1">
      <alignment horizontal="righ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9" fillId="3" borderId="8" xfId="0" applyFont="1" applyFill="1" applyBorder="1" applyAlignment="1">
      <alignment vertical="center" wrapText="1"/>
    </xf>
    <xf numFmtId="0" fontId="5" fillId="0" borderId="23" xfId="0" applyFont="1" applyBorder="1" applyAlignment="1">
      <alignment horizontal="center" vertical="center"/>
    </xf>
    <xf numFmtId="0" fontId="5" fillId="9" borderId="8" xfId="0" applyFont="1" applyFill="1" applyBorder="1" applyAlignment="1">
      <alignment horizontal="center" vertical="center"/>
    </xf>
    <xf numFmtId="0" fontId="5" fillId="9" borderId="8" xfId="0" applyFont="1" applyFill="1" applyBorder="1" applyAlignment="1">
      <alignment horizontal="left" vertical="center" wrapText="1"/>
    </xf>
    <xf numFmtId="38" fontId="5" fillId="9" borderId="50" xfId="3" applyFont="1" applyFill="1" applyBorder="1">
      <alignment vertical="center"/>
    </xf>
    <xf numFmtId="38" fontId="5" fillId="9" borderId="8" xfId="3" applyFont="1" applyFill="1" applyBorder="1">
      <alignment vertical="center"/>
    </xf>
    <xf numFmtId="0" fontId="9" fillId="9" borderId="8" xfId="0" applyFont="1" applyFill="1" applyBorder="1" applyAlignment="1">
      <alignment vertical="center" wrapText="1"/>
    </xf>
    <xf numFmtId="0" fontId="5" fillId="0" borderId="2" xfId="0" applyFont="1" applyBorder="1" applyAlignment="1">
      <alignment horizontal="left" vertical="center" wrapText="1"/>
    </xf>
    <xf numFmtId="0" fontId="9" fillId="3" borderId="12" xfId="0" applyFont="1" applyFill="1" applyBorder="1" applyAlignment="1">
      <alignment vertical="center" wrapText="1"/>
    </xf>
    <xf numFmtId="38" fontId="5" fillId="3" borderId="8" xfId="3" applyFont="1" applyFill="1" applyBorder="1">
      <alignment vertical="center"/>
    </xf>
    <xf numFmtId="0" fontId="5" fillId="3" borderId="10" xfId="0" applyFont="1" applyFill="1" applyBorder="1" applyAlignment="1">
      <alignment horizontal="center" vertical="center"/>
    </xf>
    <xf numFmtId="0" fontId="5" fillId="0" borderId="15" xfId="0" applyFont="1" applyBorder="1" applyAlignment="1">
      <alignment horizontal="center" vertical="center"/>
    </xf>
    <xf numFmtId="38" fontId="5" fillId="8" borderId="3" xfId="3" applyFont="1" applyFill="1" applyBorder="1">
      <alignment vertical="center"/>
    </xf>
    <xf numFmtId="0" fontId="9" fillId="0" borderId="13" xfId="0" applyFont="1" applyBorder="1" applyAlignment="1">
      <alignment vertical="center" wrapText="1"/>
    </xf>
    <xf numFmtId="0" fontId="9" fillId="0" borderId="19" xfId="0" applyFont="1" applyBorder="1" applyAlignment="1">
      <alignment vertical="center" wrapText="1"/>
    </xf>
    <xf numFmtId="0" fontId="5" fillId="6" borderId="43" xfId="0" applyFont="1" applyFill="1" applyBorder="1" applyAlignment="1">
      <alignment horizontal="center" vertical="center"/>
    </xf>
    <xf numFmtId="38" fontId="5" fillId="0" borderId="52" xfId="3" applyFont="1" applyFill="1" applyBorder="1">
      <alignment vertical="center"/>
    </xf>
    <xf numFmtId="0" fontId="5" fillId="0" borderId="46" xfId="0" applyFont="1" applyBorder="1" applyAlignment="1" applyProtection="1">
      <alignment horizontal="center" vertical="center"/>
      <protection locked="0"/>
    </xf>
    <xf numFmtId="0" fontId="3" fillId="0" borderId="43" xfId="0" applyFont="1" applyBorder="1" applyAlignment="1">
      <alignment vertical="center" wrapText="1"/>
    </xf>
    <xf numFmtId="0" fontId="5" fillId="3" borderId="35"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36" xfId="0" applyFont="1" applyBorder="1" applyAlignment="1">
      <alignment horizontal="right" vertical="center"/>
    </xf>
    <xf numFmtId="38" fontId="5" fillId="10" borderId="57" xfId="3" applyFont="1" applyFill="1" applyBorder="1">
      <alignment vertical="center"/>
    </xf>
    <xf numFmtId="0" fontId="3" fillId="0" borderId="35" xfId="0" applyFont="1" applyBorder="1" applyAlignment="1">
      <alignment vertical="center" wrapText="1"/>
    </xf>
    <xf numFmtId="0" fontId="13" fillId="0" borderId="0" xfId="0" applyFont="1">
      <alignment vertical="center"/>
    </xf>
    <xf numFmtId="0" fontId="5" fillId="7" borderId="6" xfId="0" applyFont="1" applyFill="1" applyBorder="1" applyAlignment="1">
      <alignment horizontal="center" vertical="center"/>
    </xf>
    <xf numFmtId="0" fontId="5" fillId="7" borderId="38" xfId="0" applyFont="1" applyFill="1" applyBorder="1" applyAlignment="1">
      <alignment horizontal="center" vertical="center"/>
    </xf>
    <xf numFmtId="0" fontId="5" fillId="7" borderId="22" xfId="0" applyFont="1" applyFill="1" applyBorder="1" applyAlignment="1">
      <alignment horizontal="center" vertical="center"/>
    </xf>
    <xf numFmtId="38" fontId="5" fillId="7" borderId="35" xfId="3" applyFont="1" applyFill="1" applyBorder="1">
      <alignment vertical="center"/>
    </xf>
    <xf numFmtId="38" fontId="5" fillId="7" borderId="19" xfId="3" applyFont="1" applyFill="1" applyBorder="1">
      <alignment vertical="center"/>
    </xf>
    <xf numFmtId="0" fontId="5" fillId="4" borderId="2" xfId="0" applyFont="1" applyFill="1" applyBorder="1" applyAlignment="1">
      <alignment horizontal="center" vertical="center"/>
    </xf>
    <xf numFmtId="0" fontId="9" fillId="0" borderId="3" xfId="0" applyFont="1" applyBorder="1">
      <alignment vertical="center"/>
    </xf>
    <xf numFmtId="0" fontId="15" fillId="2" borderId="15" xfId="0" applyFont="1" applyFill="1" applyBorder="1">
      <alignment vertical="center"/>
    </xf>
    <xf numFmtId="0" fontId="15" fillId="2" borderId="14" xfId="0" applyFont="1" applyFill="1" applyBorder="1">
      <alignment vertical="center"/>
    </xf>
    <xf numFmtId="0" fontId="19" fillId="0" borderId="10" xfId="0" applyFont="1" applyBorder="1" applyAlignment="1">
      <alignment horizontal="left" vertical="center"/>
    </xf>
    <xf numFmtId="38" fontId="19" fillId="0" borderId="50" xfId="3" applyFont="1" applyFill="1" applyBorder="1">
      <alignment vertical="center"/>
    </xf>
    <xf numFmtId="0" fontId="19" fillId="0" borderId="12" xfId="0" applyFont="1" applyBorder="1" applyAlignment="1">
      <alignment horizontal="center" vertical="center"/>
    </xf>
    <xf numFmtId="38" fontId="19" fillId="0" borderId="2" xfId="3" applyFont="1" applyFill="1" applyBorder="1">
      <alignment vertical="center"/>
    </xf>
    <xf numFmtId="0" fontId="5" fillId="0" borderId="11" xfId="0" applyFont="1" applyBorder="1" applyAlignment="1">
      <alignment horizontal="left" vertical="center" wrapText="1"/>
    </xf>
    <xf numFmtId="0" fontId="5" fillId="7" borderId="3" xfId="0" applyFont="1" applyFill="1" applyBorder="1" applyAlignment="1">
      <alignment horizontal="center" vertical="center"/>
    </xf>
    <xf numFmtId="0" fontId="5" fillId="7" borderId="42" xfId="0" applyFont="1" applyFill="1" applyBorder="1" applyAlignment="1">
      <alignment horizontal="center" vertical="center"/>
    </xf>
    <xf numFmtId="0" fontId="5" fillId="7" borderId="46" xfId="0" applyFont="1" applyFill="1" applyBorder="1" applyAlignment="1">
      <alignment horizontal="center" vertical="center"/>
    </xf>
    <xf numFmtId="0" fontId="5" fillId="7" borderId="49"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5" xfId="0" applyFont="1" applyFill="1" applyBorder="1" applyAlignment="1">
      <alignment horizontal="center" vertical="center"/>
    </xf>
    <xf numFmtId="0" fontId="14" fillId="7" borderId="51" xfId="0" applyFont="1" applyFill="1" applyBorder="1" applyAlignment="1">
      <alignment horizontal="center" vertical="center"/>
    </xf>
    <xf numFmtId="0" fontId="5" fillId="7" borderId="14" xfId="0" applyFont="1" applyFill="1" applyBorder="1" applyAlignment="1">
      <alignment horizontal="center" vertical="center"/>
    </xf>
    <xf numFmtId="38" fontId="5" fillId="7" borderId="43" xfId="3" applyFont="1" applyFill="1" applyBorder="1">
      <alignment vertical="center"/>
    </xf>
    <xf numFmtId="0" fontId="5" fillId="7" borderId="2" xfId="0" applyFont="1" applyFill="1" applyBorder="1" applyAlignment="1">
      <alignment horizontal="center" vertical="center"/>
    </xf>
    <xf numFmtId="0" fontId="5" fillId="7" borderId="46" xfId="0" applyFont="1" applyFill="1" applyBorder="1">
      <alignment vertical="center"/>
    </xf>
    <xf numFmtId="49" fontId="5" fillId="7" borderId="5" xfId="0" applyNumberFormat="1" applyFont="1" applyFill="1" applyBorder="1" applyAlignment="1">
      <alignment horizontal="center" vertical="center"/>
    </xf>
    <xf numFmtId="49" fontId="5" fillId="7" borderId="2"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6" xfId="0" applyFont="1" applyFill="1" applyBorder="1">
      <alignment vertical="center"/>
    </xf>
    <xf numFmtId="0" fontId="5" fillId="7" borderId="2" xfId="0" applyFont="1" applyFill="1" applyBorder="1">
      <alignment vertical="center"/>
    </xf>
    <xf numFmtId="0" fontId="5" fillId="7" borderId="3" xfId="0" applyFont="1" applyFill="1" applyBorder="1">
      <alignment vertical="center"/>
    </xf>
    <xf numFmtId="0" fontId="5" fillId="7" borderId="0" xfId="0" applyFont="1" applyFill="1" applyAlignment="1">
      <alignment horizontal="center" vertical="center"/>
    </xf>
    <xf numFmtId="0" fontId="9" fillId="0" borderId="56" xfId="0" applyFont="1" applyBorder="1" applyAlignment="1">
      <alignment vertical="center" wrapText="1"/>
    </xf>
    <xf numFmtId="0" fontId="5" fillId="4" borderId="4" xfId="0" applyFont="1" applyFill="1" applyBorder="1" applyAlignment="1">
      <alignment horizontal="right" vertical="center" wrapText="1" indent="1"/>
    </xf>
    <xf numFmtId="0" fontId="5" fillId="4" borderId="56" xfId="0" applyFont="1" applyFill="1" applyBorder="1" applyAlignment="1">
      <alignment horizontal="center" vertical="center"/>
    </xf>
    <xf numFmtId="0" fontId="9" fillId="4" borderId="8" xfId="0" applyFont="1" applyFill="1" applyBorder="1">
      <alignment vertical="center"/>
    </xf>
    <xf numFmtId="0" fontId="5" fillId="4" borderId="5" xfId="0" applyFont="1" applyFill="1" applyBorder="1" applyAlignment="1">
      <alignment horizontal="right" vertical="center" wrapText="1" indent="2"/>
    </xf>
    <xf numFmtId="38" fontId="5" fillId="10" borderId="58" xfId="3" applyFont="1" applyFill="1" applyBorder="1">
      <alignment vertical="center"/>
    </xf>
    <xf numFmtId="0" fontId="19" fillId="0" borderId="2" xfId="0" applyFont="1" applyBorder="1" applyAlignment="1">
      <alignment horizontal="center" vertical="center"/>
    </xf>
    <xf numFmtId="0" fontId="15" fillId="2" borderId="4" xfId="0" applyFont="1" applyFill="1" applyBorder="1">
      <alignment vertical="center"/>
    </xf>
    <xf numFmtId="0" fontId="5" fillId="4" borderId="2" xfId="0" applyFont="1" applyFill="1" applyBorder="1" applyAlignment="1">
      <alignment horizontal="left" vertical="center"/>
    </xf>
    <xf numFmtId="0" fontId="5" fillId="4" borderId="2" xfId="0" applyFont="1" applyFill="1" applyBorder="1">
      <alignment vertical="center"/>
    </xf>
    <xf numFmtId="0" fontId="9" fillId="4" borderId="2" xfId="0" applyFont="1" applyFill="1" applyBorder="1" applyAlignment="1">
      <alignment vertical="center" wrapText="1"/>
    </xf>
    <xf numFmtId="0" fontId="5" fillId="2" borderId="8" xfId="0" applyFont="1" applyFill="1" applyBorder="1" applyAlignment="1">
      <alignment horizontal="center" vertical="center"/>
    </xf>
    <xf numFmtId="0" fontId="15" fillId="2" borderId="0" xfId="0" applyFont="1" applyFill="1">
      <alignment vertical="center"/>
    </xf>
    <xf numFmtId="0" fontId="9"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7"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15" fillId="2" borderId="1" xfId="0" applyFont="1" applyFill="1" applyBorder="1">
      <alignment vertical="center"/>
    </xf>
    <xf numFmtId="0" fontId="15" fillId="2" borderId="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6" xfId="0" applyFont="1" applyFill="1" applyBorder="1" applyAlignment="1">
      <alignment horizontal="center" vertical="center"/>
    </xf>
    <xf numFmtId="0" fontId="22" fillId="2" borderId="5"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15" fillId="2" borderId="1" xfId="0" applyFont="1" applyFill="1" applyBorder="1" applyAlignment="1">
      <alignment horizontal="center" vertical="center"/>
    </xf>
    <xf numFmtId="0" fontId="9" fillId="3" borderId="5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5" fillId="11" borderId="5" xfId="0" applyFont="1" applyFill="1" applyBorder="1" applyAlignment="1">
      <alignment horizontal="center" vertical="center"/>
    </xf>
    <xf numFmtId="0" fontId="5" fillId="11" borderId="14" xfId="0" applyFont="1" applyFill="1" applyBorder="1" applyAlignment="1">
      <alignment horizontal="center" vertical="center"/>
    </xf>
    <xf numFmtId="0" fontId="5" fillId="11" borderId="15" xfId="0" applyFont="1" applyFill="1" applyBorder="1" applyAlignment="1">
      <alignment horizontal="center" vertical="center"/>
    </xf>
    <xf numFmtId="0" fontId="5" fillId="11" borderId="6" xfId="0" applyFont="1" applyFill="1" applyBorder="1" applyAlignment="1">
      <alignment horizontal="center" vertical="center"/>
    </xf>
    <xf numFmtId="0" fontId="14" fillId="2" borderId="0" xfId="0" applyFont="1" applyFill="1" applyAlignment="1">
      <alignment horizontal="center" vertical="center" wrapText="1"/>
    </xf>
    <xf numFmtId="0" fontId="14" fillId="2" borderId="56"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56"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6" xfId="0" applyFont="1" applyFill="1" applyBorder="1" applyAlignment="1">
      <alignment horizontal="center" vertical="center"/>
    </xf>
  </cellXfs>
  <cellStyles count="4">
    <cellStyle name="桁区切り 2" xfId="3" xr:uid="{B2DB1493-64E7-445B-94E9-8F329A3D489C}"/>
    <cellStyle name="標準" xfId="0" builtinId="0"/>
    <cellStyle name="標準 14" xfId="1" xr:uid="{1D56D7D5-1024-4906-9D51-7E6DF8046185}"/>
    <cellStyle name="標準 2" xfId="2" xr:uid="{7F286027-B088-43F8-B099-C0DC003A0D5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1E503-43B1-42C7-9CB1-BEACE1F9BCC2}">
  <sheetPr>
    <pageSetUpPr fitToPage="1"/>
  </sheetPr>
  <dimension ref="A1:I156"/>
  <sheetViews>
    <sheetView showGridLines="0" tabSelected="1" topLeftCell="B123" zoomScale="85" zoomScaleNormal="85" zoomScaleSheetLayoutView="100" workbookViewId="0">
      <selection activeCell="G136" sqref="G136"/>
    </sheetView>
  </sheetViews>
  <sheetFormatPr defaultColWidth="9" defaultRowHeight="13" x14ac:dyDescent="0.55000000000000004"/>
  <cols>
    <col min="1" max="1" width="2.83203125" style="34" hidden="1" customWidth="1"/>
    <col min="2" max="2" width="5.25" style="5" customWidth="1"/>
    <col min="3" max="3" width="13.33203125" style="3" hidden="1" customWidth="1"/>
    <col min="4" max="4" width="54.33203125" style="4" customWidth="1"/>
    <col min="5" max="5" width="23.08203125" style="5" customWidth="1"/>
    <col min="6" max="6" width="24.58203125" style="5" customWidth="1"/>
    <col min="7" max="7" width="19.58203125" style="5" customWidth="1"/>
    <col min="8" max="8" width="40.08203125" style="6" customWidth="1"/>
    <col min="9" max="16384" width="9" style="5"/>
  </cols>
  <sheetData>
    <row r="1" spans="1:9" s="97" customFormat="1" ht="38.25" customHeight="1" x14ac:dyDescent="0.55000000000000004">
      <c r="A1" s="96"/>
      <c r="B1" s="101" t="s">
        <v>193</v>
      </c>
      <c r="C1" s="98"/>
      <c r="D1" s="99"/>
      <c r="H1" s="100"/>
    </row>
    <row r="2" spans="1:9" s="97" customFormat="1" ht="21" customHeight="1" x14ac:dyDescent="0.55000000000000004">
      <c r="A2" s="96"/>
      <c r="B2" s="97" t="s">
        <v>184</v>
      </c>
      <c r="C2" s="98"/>
      <c r="D2" s="99"/>
      <c r="H2" s="100"/>
    </row>
    <row r="3" spans="1:9" s="97" customFormat="1" ht="21" customHeight="1" x14ac:dyDescent="0.55000000000000004">
      <c r="A3" s="96"/>
      <c r="B3" s="97" t="s">
        <v>185</v>
      </c>
      <c r="C3" s="98"/>
      <c r="D3" s="99"/>
      <c r="H3" s="100"/>
    </row>
    <row r="4" spans="1:9" s="97" customFormat="1" ht="21" customHeight="1" x14ac:dyDescent="0.55000000000000004">
      <c r="A4" s="96"/>
      <c r="B4" s="213" t="s">
        <v>198</v>
      </c>
      <c r="C4" s="98"/>
      <c r="D4" s="99"/>
      <c r="H4" s="100"/>
    </row>
    <row r="5" spans="1:9" s="97" customFormat="1" ht="21" customHeight="1" x14ac:dyDescent="0.55000000000000004">
      <c r="A5" s="96"/>
      <c r="B5" s="97" t="s">
        <v>154</v>
      </c>
      <c r="C5" s="98"/>
      <c r="D5" s="99"/>
      <c r="H5" s="100"/>
    </row>
    <row r="6" spans="1:9" ht="21" customHeight="1" x14ac:dyDescent="0.55000000000000004">
      <c r="C6" s="3" t="s">
        <v>117</v>
      </c>
      <c r="E6" s="7"/>
    </row>
    <row r="7" spans="1:9" ht="21" customHeight="1" thickBot="1" x14ac:dyDescent="0.6">
      <c r="C7" s="3" t="s">
        <v>117</v>
      </c>
      <c r="E7" s="7"/>
    </row>
    <row r="8" spans="1:9" s="109" customFormat="1" ht="60" customHeight="1" thickTop="1" thickBot="1" x14ac:dyDescent="0.6">
      <c r="A8" s="102"/>
      <c r="B8" s="103" t="s">
        <v>7</v>
      </c>
      <c r="C8" s="104" t="s">
        <v>8</v>
      </c>
      <c r="D8" s="105" t="s">
        <v>6</v>
      </c>
      <c r="E8" s="128" t="s">
        <v>182</v>
      </c>
      <c r="F8" s="106" t="s">
        <v>183</v>
      </c>
      <c r="G8" s="107" t="s">
        <v>153</v>
      </c>
      <c r="H8" s="108" t="s">
        <v>112</v>
      </c>
    </row>
    <row r="9" spans="1:9" s="109" customFormat="1" ht="27" customHeight="1" thickTop="1" thickBot="1" x14ac:dyDescent="0.6">
      <c r="A9" s="102"/>
      <c r="B9" s="110">
        <v>1</v>
      </c>
      <c r="C9" s="271" t="s">
        <v>188</v>
      </c>
      <c r="D9" s="272"/>
      <c r="E9" s="273"/>
      <c r="F9" s="272"/>
      <c r="G9" s="272"/>
      <c r="H9" s="274"/>
    </row>
    <row r="10" spans="1:9" ht="49.15" hidden="1" customHeight="1" x14ac:dyDescent="0.55000000000000004">
      <c r="B10" s="40">
        <f>B9+1</f>
        <v>2</v>
      </c>
      <c r="C10" s="40" t="s">
        <v>10</v>
      </c>
      <c r="D10" s="43" t="s">
        <v>11</v>
      </c>
      <c r="E10" s="130"/>
      <c r="F10" s="49"/>
      <c r="G10" s="41">
        <f>IF(SUM(E11:E16,G17,G18)&gt;=0,SUM(E11:E16,G17,G18),0)</f>
        <v>0</v>
      </c>
      <c r="H10" s="42" t="s">
        <v>12</v>
      </c>
      <c r="I10" s="5" t="s">
        <v>117</v>
      </c>
    </row>
    <row r="11" spans="1:9" ht="30.75" customHeight="1" thickTop="1" x14ac:dyDescent="0.55000000000000004">
      <c r="B11" s="9">
        <f t="shared" ref="B11:B78" si="0">B10+1</f>
        <v>3</v>
      </c>
      <c r="C11" s="9">
        <v>8</v>
      </c>
      <c r="D11" s="44" t="s">
        <v>13</v>
      </c>
      <c r="E11" s="132"/>
      <c r="F11" s="50" t="s">
        <v>15</v>
      </c>
      <c r="G11" s="12">
        <f t="shared" ref="G11:G16" si="1">E11</f>
        <v>0</v>
      </c>
      <c r="H11" s="10"/>
    </row>
    <row r="12" spans="1:9" ht="30.75" customHeight="1" x14ac:dyDescent="0.55000000000000004">
      <c r="B12" s="9">
        <f t="shared" si="0"/>
        <v>4</v>
      </c>
      <c r="C12" s="9">
        <v>14</v>
      </c>
      <c r="D12" s="44" t="s">
        <v>186</v>
      </c>
      <c r="E12" s="133"/>
      <c r="F12" s="50" t="s">
        <v>15</v>
      </c>
      <c r="G12" s="12">
        <f t="shared" si="1"/>
        <v>0</v>
      </c>
      <c r="H12" s="13"/>
    </row>
    <row r="13" spans="1:9" ht="30.75" customHeight="1" x14ac:dyDescent="0.55000000000000004">
      <c r="B13" s="9">
        <f t="shared" si="0"/>
        <v>5</v>
      </c>
      <c r="C13" s="9">
        <v>19</v>
      </c>
      <c r="D13" s="44" t="s">
        <v>0</v>
      </c>
      <c r="E13" s="133"/>
      <c r="F13" s="50" t="s">
        <v>15</v>
      </c>
      <c r="G13" s="12">
        <f t="shared" si="1"/>
        <v>0</v>
      </c>
      <c r="H13" s="13"/>
    </row>
    <row r="14" spans="1:9" ht="30.75" customHeight="1" thickBot="1" x14ac:dyDescent="0.6">
      <c r="B14" s="9">
        <f t="shared" si="0"/>
        <v>6</v>
      </c>
      <c r="C14" s="9">
        <v>24</v>
      </c>
      <c r="D14" s="44" t="s">
        <v>139</v>
      </c>
      <c r="E14" s="134"/>
      <c r="F14" s="50" t="s">
        <v>15</v>
      </c>
      <c r="G14" s="12">
        <f t="shared" si="1"/>
        <v>0</v>
      </c>
      <c r="H14" s="13"/>
    </row>
    <row r="15" spans="1:9" ht="30.75" hidden="1" customHeight="1" x14ac:dyDescent="0.55000000000000004">
      <c r="B15" s="9">
        <f t="shared" si="0"/>
        <v>7</v>
      </c>
      <c r="C15" s="9">
        <v>25</v>
      </c>
      <c r="D15" s="44" t="s">
        <v>114</v>
      </c>
      <c r="E15" s="138"/>
      <c r="F15" s="50" t="s">
        <v>15</v>
      </c>
      <c r="G15" s="12">
        <f t="shared" si="1"/>
        <v>0</v>
      </c>
      <c r="H15" s="13"/>
    </row>
    <row r="16" spans="1:9" ht="30.75" hidden="1" customHeight="1" x14ac:dyDescent="0.55000000000000004">
      <c r="B16" s="9">
        <f t="shared" si="0"/>
        <v>8</v>
      </c>
      <c r="C16" s="9">
        <v>26</v>
      </c>
      <c r="D16" s="44" t="s">
        <v>115</v>
      </c>
      <c r="E16" s="133"/>
      <c r="F16" s="50" t="s">
        <v>15</v>
      </c>
      <c r="G16" s="12">
        <f t="shared" si="1"/>
        <v>0</v>
      </c>
      <c r="H16" s="13"/>
    </row>
    <row r="17" spans="2:9" ht="76.5" hidden="1" customHeight="1" x14ac:dyDescent="0.55000000000000004">
      <c r="B17" s="9">
        <f t="shared" si="0"/>
        <v>9</v>
      </c>
      <c r="C17" s="9">
        <v>27</v>
      </c>
      <c r="D17" s="46" t="s">
        <v>181</v>
      </c>
      <c r="E17" s="133"/>
      <c r="F17" s="50" t="s">
        <v>14</v>
      </c>
      <c r="G17" s="12">
        <f>ROUNDDOWN(E17/2,0)</f>
        <v>0</v>
      </c>
      <c r="H17" s="2" t="s">
        <v>156</v>
      </c>
      <c r="I17" s="14"/>
    </row>
    <row r="18" spans="2:9" ht="45.75" hidden="1" customHeight="1" thickBot="1" x14ac:dyDescent="0.6">
      <c r="B18" s="9">
        <f t="shared" si="0"/>
        <v>10</v>
      </c>
      <c r="C18" s="9">
        <v>33</v>
      </c>
      <c r="D18" s="44" t="s">
        <v>116</v>
      </c>
      <c r="E18" s="134"/>
      <c r="F18" s="50" t="s">
        <v>14</v>
      </c>
      <c r="G18" s="12">
        <f>ROUNDDOWN(E18/2,0)</f>
        <v>0</v>
      </c>
      <c r="H18" s="2" t="s">
        <v>157</v>
      </c>
      <c r="I18" s="14"/>
    </row>
    <row r="19" spans="2:9" ht="45.75" hidden="1" customHeight="1" x14ac:dyDescent="0.55000000000000004">
      <c r="B19" s="90"/>
      <c r="C19" s="90"/>
      <c r="D19" s="91" t="s">
        <v>132</v>
      </c>
      <c r="E19" s="131"/>
      <c r="F19" s="93"/>
      <c r="G19" s="92">
        <f>G10</f>
        <v>0</v>
      </c>
      <c r="H19" s="86"/>
      <c r="I19" s="14"/>
    </row>
    <row r="20" spans="2:9" ht="20.25" hidden="1" customHeight="1" thickBot="1" x14ac:dyDescent="0.6">
      <c r="B20" s="129"/>
      <c r="C20" s="278" t="s">
        <v>189</v>
      </c>
      <c r="D20" s="279"/>
      <c r="E20" s="280"/>
      <c r="F20" s="279"/>
      <c r="G20" s="279"/>
      <c r="H20" s="281"/>
      <c r="I20" s="14"/>
    </row>
    <row r="21" spans="2:9" ht="30.75" hidden="1" customHeight="1" thickTop="1" x14ac:dyDescent="0.55000000000000004">
      <c r="B21" s="111">
        <f>B18+1</f>
        <v>11</v>
      </c>
      <c r="C21" s="16">
        <v>55</v>
      </c>
      <c r="D21" s="112" t="s">
        <v>179</v>
      </c>
      <c r="E21" s="146"/>
      <c r="F21" s="113" t="s">
        <v>15</v>
      </c>
      <c r="G21" s="31">
        <f>IF(E21&gt;=0,E21,0)</f>
        <v>0</v>
      </c>
      <c r="H21" s="114" t="s">
        <v>172</v>
      </c>
      <c r="I21" s="14"/>
    </row>
    <row r="22" spans="2:9" ht="60.75" hidden="1" customHeight="1" thickTop="1" thickBot="1" x14ac:dyDescent="0.6">
      <c r="B22" s="178">
        <f t="shared" si="0"/>
        <v>12</v>
      </c>
      <c r="C22" s="204" t="s">
        <v>10</v>
      </c>
      <c r="D22" s="179" t="s">
        <v>158</v>
      </c>
      <c r="E22" s="205">
        <f>SUM(E23,E24)</f>
        <v>0</v>
      </c>
      <c r="F22" s="206" t="s">
        <v>15</v>
      </c>
      <c r="G22" s="164">
        <f>IF(E22&gt;=0,E22,0)</f>
        <v>0</v>
      </c>
      <c r="H22" s="207" t="s">
        <v>173</v>
      </c>
      <c r="I22" s="14"/>
    </row>
    <row r="23" spans="2:9" ht="30.75" hidden="1" customHeight="1" thickTop="1" x14ac:dyDescent="0.55000000000000004">
      <c r="B23" s="9">
        <f t="shared" si="0"/>
        <v>13</v>
      </c>
      <c r="C23" s="39">
        <v>47</v>
      </c>
      <c r="D23" s="45" t="s">
        <v>118</v>
      </c>
      <c r="E23" s="132"/>
      <c r="F23" s="214"/>
      <c r="G23" s="41"/>
      <c r="H23" s="2"/>
    </row>
    <row r="24" spans="2:9" ht="30.75" hidden="1" customHeight="1" thickBot="1" x14ac:dyDescent="0.6">
      <c r="B24" s="208">
        <f t="shared" si="0"/>
        <v>14</v>
      </c>
      <c r="C24" s="209">
        <v>49</v>
      </c>
      <c r="D24" s="210" t="s">
        <v>119</v>
      </c>
      <c r="E24" s="211"/>
      <c r="F24" s="215"/>
      <c r="G24" s="217"/>
      <c r="H24" s="212"/>
    </row>
    <row r="25" spans="2:9" ht="87.75" hidden="1" customHeight="1" thickTop="1" thickBot="1" x14ac:dyDescent="0.6">
      <c r="B25" s="147">
        <f t="shared" si="0"/>
        <v>15</v>
      </c>
      <c r="C25" s="148" t="s">
        <v>10</v>
      </c>
      <c r="D25" s="120" t="s">
        <v>159</v>
      </c>
      <c r="E25" s="136">
        <f>SUM(E26,E27,E28)</f>
        <v>0</v>
      </c>
      <c r="F25" s="116" t="s">
        <v>15</v>
      </c>
      <c r="G25" s="33">
        <f>IF(E25&gt;=0,E25,0)</f>
        <v>0</v>
      </c>
      <c r="H25" s="1" t="s">
        <v>174</v>
      </c>
      <c r="I25" s="14"/>
    </row>
    <row r="26" spans="2:9" ht="30.75" hidden="1" customHeight="1" thickTop="1" x14ac:dyDescent="0.55000000000000004">
      <c r="B26" s="117">
        <f t="shared" si="0"/>
        <v>16</v>
      </c>
      <c r="C26" s="38">
        <v>40</v>
      </c>
      <c r="D26" s="45" t="s">
        <v>155</v>
      </c>
      <c r="E26" s="132"/>
      <c r="F26" s="214"/>
      <c r="G26" s="41"/>
      <c r="H26" s="13"/>
    </row>
    <row r="27" spans="2:9" ht="30.75" hidden="1" customHeight="1" x14ac:dyDescent="0.55000000000000004">
      <c r="B27" s="117">
        <f t="shared" si="0"/>
        <v>17</v>
      </c>
      <c r="C27" s="38">
        <v>42</v>
      </c>
      <c r="D27" s="45" t="s">
        <v>120</v>
      </c>
      <c r="E27" s="133"/>
      <c r="F27" s="214"/>
      <c r="G27" s="41"/>
      <c r="H27" s="13"/>
    </row>
    <row r="28" spans="2:9" ht="30.75" hidden="1" customHeight="1" thickBot="1" x14ac:dyDescent="0.6">
      <c r="B28" s="118">
        <f t="shared" si="0"/>
        <v>18</v>
      </c>
      <c r="C28" s="122">
        <v>43</v>
      </c>
      <c r="D28" s="123" t="s">
        <v>121</v>
      </c>
      <c r="E28" s="137"/>
      <c r="F28" s="216"/>
      <c r="G28" s="218"/>
      <c r="H28" s="203"/>
    </row>
    <row r="29" spans="2:9" ht="30.75" hidden="1" customHeight="1" x14ac:dyDescent="0.55000000000000004">
      <c r="B29" s="115">
        <f t="shared" si="0"/>
        <v>19</v>
      </c>
      <c r="C29" s="119">
        <v>53</v>
      </c>
      <c r="D29" s="120" t="s">
        <v>180</v>
      </c>
      <c r="E29" s="138"/>
      <c r="F29" s="116" t="s">
        <v>15</v>
      </c>
      <c r="G29" s="33">
        <f>IF(E29&gt;=0,E29,0)</f>
        <v>0</v>
      </c>
      <c r="H29" s="121"/>
    </row>
    <row r="30" spans="2:9" ht="43.15" hidden="1" customHeight="1" x14ac:dyDescent="0.55000000000000004">
      <c r="B30" s="9">
        <f t="shared" si="0"/>
        <v>20</v>
      </c>
      <c r="C30" s="8">
        <v>54</v>
      </c>
      <c r="D30" s="44" t="s">
        <v>113</v>
      </c>
      <c r="E30" s="133"/>
      <c r="F30" s="51" t="s">
        <v>15</v>
      </c>
      <c r="G30" s="87">
        <f>IF(E30&gt;=0,E30,0)</f>
        <v>0</v>
      </c>
      <c r="H30" s="2" t="s">
        <v>175</v>
      </c>
      <c r="I30" s="14"/>
    </row>
    <row r="31" spans="2:9" ht="30.75" hidden="1" customHeight="1" x14ac:dyDescent="0.55000000000000004">
      <c r="B31" s="9">
        <f t="shared" si="0"/>
        <v>21</v>
      </c>
      <c r="C31" s="8">
        <v>56</v>
      </c>
      <c r="D31" s="44" t="s">
        <v>122</v>
      </c>
      <c r="E31" s="133"/>
      <c r="F31" s="51" t="s">
        <v>15</v>
      </c>
      <c r="G31" s="12">
        <f>IF(E31&gt;=0,E31,0)</f>
        <v>0</v>
      </c>
      <c r="H31" s="35"/>
    </row>
    <row r="32" spans="2:9" ht="30.75" hidden="1" customHeight="1" x14ac:dyDescent="0.55000000000000004">
      <c r="B32" s="9">
        <f t="shared" si="0"/>
        <v>22</v>
      </c>
      <c r="C32" s="8">
        <v>34</v>
      </c>
      <c r="D32" s="44" t="s">
        <v>16</v>
      </c>
      <c r="E32" s="133"/>
      <c r="F32" s="51" t="s">
        <v>15</v>
      </c>
      <c r="G32" s="12">
        <f>E32</f>
        <v>0</v>
      </c>
      <c r="H32" s="13"/>
    </row>
    <row r="33" spans="2:9" ht="30.75" hidden="1" customHeight="1" thickBot="1" x14ac:dyDescent="0.6">
      <c r="B33" s="9">
        <f t="shared" si="0"/>
        <v>23</v>
      </c>
      <c r="C33" s="8">
        <v>35</v>
      </c>
      <c r="D33" s="44" t="s">
        <v>17</v>
      </c>
      <c r="E33" s="134"/>
      <c r="F33" s="51" t="s">
        <v>15</v>
      </c>
      <c r="G33" s="12">
        <f>E33</f>
        <v>0</v>
      </c>
      <c r="H33" s="13" t="s">
        <v>176</v>
      </c>
    </row>
    <row r="34" spans="2:9" ht="38.25" customHeight="1" thickTop="1" x14ac:dyDescent="0.55000000000000004">
      <c r="B34" s="256">
        <f t="shared" si="0"/>
        <v>24</v>
      </c>
      <c r="C34" s="94" t="s">
        <v>10</v>
      </c>
      <c r="D34" s="223" t="s">
        <v>18</v>
      </c>
      <c r="E34" s="224"/>
      <c r="F34" s="225"/>
      <c r="G34" s="226" t="str">
        <f>IF(AND(E11="",E12="",E13="",E14="",E15="",E16="",E17="",E18="",E21="",E23="",E24="",E26="",E27="",E28="",E29="",E30="",E31="",E32="",E33=""),"",MAX(SUM(G10,G21:G22,G25,G29:G33),0))</f>
        <v/>
      </c>
      <c r="H34" s="114" t="s">
        <v>177</v>
      </c>
      <c r="I34" s="14"/>
    </row>
    <row r="35" spans="2:9" ht="24" hidden="1" customHeight="1" thickBot="1" x14ac:dyDescent="0.6">
      <c r="B35" s="257"/>
      <c r="C35" s="222"/>
      <c r="D35" s="284" t="s">
        <v>187</v>
      </c>
      <c r="E35" s="285"/>
      <c r="F35" s="285"/>
      <c r="G35" s="285"/>
      <c r="H35" s="286"/>
      <c r="I35" s="14"/>
    </row>
    <row r="36" spans="2:9" ht="30.75" hidden="1" customHeight="1" thickTop="1" x14ac:dyDescent="0.55000000000000004">
      <c r="B36" s="115">
        <f>B34+1</f>
        <v>25</v>
      </c>
      <c r="C36" s="8">
        <v>63</v>
      </c>
      <c r="D36" s="227" t="s">
        <v>19</v>
      </c>
      <c r="E36" s="132"/>
      <c r="F36" s="116" t="s">
        <v>15</v>
      </c>
      <c r="G36" s="33">
        <f t="shared" ref="G36:G42" si="2">E36</f>
        <v>0</v>
      </c>
      <c r="H36" s="35"/>
    </row>
    <row r="37" spans="2:9" ht="30.75" hidden="1" customHeight="1" x14ac:dyDescent="0.55000000000000004">
      <c r="B37" s="9">
        <f t="shared" si="0"/>
        <v>26</v>
      </c>
      <c r="C37" s="8">
        <v>69</v>
      </c>
      <c r="D37" s="46" t="s">
        <v>20</v>
      </c>
      <c r="E37" s="133"/>
      <c r="F37" s="51" t="s">
        <v>15</v>
      </c>
      <c r="G37" s="12">
        <f t="shared" si="2"/>
        <v>0</v>
      </c>
      <c r="H37" s="13"/>
    </row>
    <row r="38" spans="2:9" ht="30.75" hidden="1" customHeight="1" x14ac:dyDescent="0.55000000000000004">
      <c r="B38" s="9">
        <f t="shared" si="0"/>
        <v>27</v>
      </c>
      <c r="C38" s="8">
        <v>64</v>
      </c>
      <c r="D38" s="46" t="s">
        <v>21</v>
      </c>
      <c r="E38" s="133"/>
      <c r="F38" s="51" t="s">
        <v>15</v>
      </c>
      <c r="G38" s="12">
        <f t="shared" si="2"/>
        <v>0</v>
      </c>
      <c r="H38" s="13"/>
    </row>
    <row r="39" spans="2:9" ht="30.75" hidden="1" customHeight="1" x14ac:dyDescent="0.55000000000000004">
      <c r="B39" s="9">
        <f t="shared" si="0"/>
        <v>28</v>
      </c>
      <c r="C39" s="8">
        <v>65</v>
      </c>
      <c r="D39" s="46" t="s">
        <v>22</v>
      </c>
      <c r="E39" s="133"/>
      <c r="F39" s="51" t="s">
        <v>15</v>
      </c>
      <c r="G39" s="12">
        <f t="shared" si="2"/>
        <v>0</v>
      </c>
      <c r="H39" s="13"/>
    </row>
    <row r="40" spans="2:9" ht="30.75" hidden="1" customHeight="1" x14ac:dyDescent="0.55000000000000004">
      <c r="B40" s="9">
        <f t="shared" si="0"/>
        <v>29</v>
      </c>
      <c r="C40" s="8">
        <v>66</v>
      </c>
      <c r="D40" s="46" t="s">
        <v>23</v>
      </c>
      <c r="E40" s="133"/>
      <c r="F40" s="51" t="s">
        <v>15</v>
      </c>
      <c r="G40" s="12">
        <f t="shared" si="2"/>
        <v>0</v>
      </c>
      <c r="H40" s="13"/>
    </row>
    <row r="41" spans="2:9" ht="30.75" hidden="1" customHeight="1" x14ac:dyDescent="0.55000000000000004">
      <c r="B41" s="9">
        <f t="shared" si="0"/>
        <v>30</v>
      </c>
      <c r="C41" s="8">
        <v>67</v>
      </c>
      <c r="D41" s="46" t="s">
        <v>24</v>
      </c>
      <c r="E41" s="133"/>
      <c r="F41" s="51" t="s">
        <v>15</v>
      </c>
      <c r="G41" s="12">
        <f t="shared" si="2"/>
        <v>0</v>
      </c>
      <c r="H41" s="13"/>
    </row>
    <row r="42" spans="2:9" ht="30.75" hidden="1" customHeight="1" thickBot="1" x14ac:dyDescent="0.6">
      <c r="B42" s="111">
        <f t="shared" si="0"/>
        <v>31</v>
      </c>
      <c r="C42" s="16">
        <v>68</v>
      </c>
      <c r="D42" s="47" t="s">
        <v>25</v>
      </c>
      <c r="E42" s="134"/>
      <c r="F42" s="52" t="s">
        <v>15</v>
      </c>
      <c r="G42" s="31">
        <f t="shared" si="2"/>
        <v>0</v>
      </c>
      <c r="H42" s="17"/>
    </row>
    <row r="43" spans="2:9" ht="23.25" hidden="1" customHeight="1" thickBot="1" x14ac:dyDescent="0.6">
      <c r="B43" s="257"/>
      <c r="C43" s="221"/>
      <c r="D43" s="284" t="s">
        <v>194</v>
      </c>
      <c r="E43" s="285"/>
      <c r="F43" s="285"/>
      <c r="G43" s="285"/>
      <c r="H43" s="286"/>
    </row>
    <row r="44" spans="2:9" ht="53.25" hidden="1" customHeight="1" x14ac:dyDescent="0.55000000000000004">
      <c r="B44" s="119">
        <f>B42+1</f>
        <v>32</v>
      </c>
      <c r="C44" s="54" t="s">
        <v>10</v>
      </c>
      <c r="D44" s="126" t="s">
        <v>124</v>
      </c>
      <c r="E44" s="140"/>
      <c r="F44" s="228"/>
      <c r="G44" s="33">
        <f>IF(G29&gt;=G41,(G29-G41),0)</f>
        <v>0</v>
      </c>
      <c r="H44" s="35"/>
    </row>
    <row r="45" spans="2:9" ht="30.75" hidden="1" customHeight="1" x14ac:dyDescent="0.55000000000000004">
      <c r="B45" s="8">
        <f t="shared" si="0"/>
        <v>33</v>
      </c>
      <c r="C45" s="18" t="s">
        <v>10</v>
      </c>
      <c r="D45" s="48" t="s">
        <v>26</v>
      </c>
      <c r="E45" s="20"/>
      <c r="F45" s="53"/>
      <c r="G45" s="20">
        <f>IF(G44&gt;=1,0,G41-G29)</f>
        <v>0</v>
      </c>
      <c r="H45" s="21"/>
      <c r="I45" s="14"/>
    </row>
    <row r="46" spans="2:9" ht="76.150000000000006" hidden="1" customHeight="1" x14ac:dyDescent="0.55000000000000004">
      <c r="B46" s="8">
        <f t="shared" si="0"/>
        <v>34</v>
      </c>
      <c r="C46" s="8" t="s">
        <v>10</v>
      </c>
      <c r="D46" s="124" t="s">
        <v>125</v>
      </c>
      <c r="E46" s="89"/>
      <c r="F46" s="214"/>
      <c r="G46" s="12">
        <f>IF(G30&gt;=SUM(G40,G45),G30-SUM(G40,G45),0)</f>
        <v>0</v>
      </c>
      <c r="H46" s="13" t="s">
        <v>178</v>
      </c>
    </row>
    <row r="47" spans="2:9" ht="30.75" hidden="1" customHeight="1" x14ac:dyDescent="0.55000000000000004">
      <c r="B47" s="8">
        <f t="shared" si="0"/>
        <v>35</v>
      </c>
      <c r="C47" s="18" t="s">
        <v>10</v>
      </c>
      <c r="D47" s="48" t="s">
        <v>26</v>
      </c>
      <c r="E47" s="20"/>
      <c r="F47" s="53"/>
      <c r="G47" s="20">
        <f>IF(G46&gt;=1,0,SUM(G40,G45)-G30)</f>
        <v>0</v>
      </c>
      <c r="H47" s="22"/>
      <c r="I47" s="14"/>
    </row>
    <row r="48" spans="2:9" ht="47.25" hidden="1" customHeight="1" thickBot="1" x14ac:dyDescent="0.6">
      <c r="B48" s="149">
        <f t="shared" si="0"/>
        <v>36</v>
      </c>
      <c r="C48" s="149" t="s">
        <v>10</v>
      </c>
      <c r="D48" s="150" t="s">
        <v>126</v>
      </c>
      <c r="E48" s="151"/>
      <c r="F48" s="215"/>
      <c r="G48" s="152">
        <f>IF(G21&gt;=G47,G21-G47,0)</f>
        <v>0</v>
      </c>
      <c r="H48" s="153"/>
    </row>
    <row r="49" spans="2:9" ht="48.75" hidden="1" customHeight="1" thickTop="1" thickBot="1" x14ac:dyDescent="0.6">
      <c r="B49" s="154">
        <f t="shared" si="0"/>
        <v>37</v>
      </c>
      <c r="C49" s="155" t="s">
        <v>10</v>
      </c>
      <c r="D49" s="156" t="s">
        <v>127</v>
      </c>
      <c r="E49" s="157"/>
      <c r="F49" s="229"/>
      <c r="G49" s="158">
        <f>IF(G31&gt;=G42,G31-G42,0)</f>
        <v>0</v>
      </c>
      <c r="H49" s="159"/>
    </row>
    <row r="50" spans="2:9" ht="55.5" hidden="1" customHeight="1" thickTop="1" x14ac:dyDescent="0.55000000000000004">
      <c r="B50" s="160">
        <f t="shared" si="0"/>
        <v>38</v>
      </c>
      <c r="C50" s="160" t="s">
        <v>10</v>
      </c>
      <c r="D50" s="161" t="s">
        <v>129</v>
      </c>
      <c r="E50" s="162"/>
      <c r="F50" s="230"/>
      <c r="G50" s="164">
        <f>IF(G25&gt;=SUM(G38:G39),G25-SUM(G38:G39),0)</f>
        <v>0</v>
      </c>
      <c r="H50" s="165"/>
    </row>
    <row r="51" spans="2:9" ht="30.75" hidden="1" customHeight="1" thickBot="1" x14ac:dyDescent="0.6">
      <c r="B51" s="8">
        <f t="shared" si="0"/>
        <v>39</v>
      </c>
      <c r="C51" s="18" t="s">
        <v>10</v>
      </c>
      <c r="D51" s="48" t="s">
        <v>26</v>
      </c>
      <c r="E51" s="139"/>
      <c r="F51" s="53"/>
      <c r="G51" s="20">
        <f>IF(G50&gt;=1,0,SUM(G38:G39)-G25)</f>
        <v>0</v>
      </c>
      <c r="H51" s="22"/>
    </row>
    <row r="52" spans="2:9" ht="30.75" hidden="1" customHeight="1" thickTop="1" x14ac:dyDescent="0.55000000000000004">
      <c r="B52" s="8">
        <f t="shared" si="0"/>
        <v>40</v>
      </c>
      <c r="C52" s="8">
        <v>41</v>
      </c>
      <c r="D52" s="45" t="s">
        <v>27</v>
      </c>
      <c r="E52" s="141"/>
      <c r="F52" s="51" t="s">
        <v>15</v>
      </c>
      <c r="G52" s="12">
        <f>E52</f>
        <v>0</v>
      </c>
      <c r="H52" s="23"/>
    </row>
    <row r="53" spans="2:9" ht="30.75" hidden="1" customHeight="1" thickBot="1" x14ac:dyDescent="0.6">
      <c r="B53" s="8">
        <f t="shared" si="0"/>
        <v>41</v>
      </c>
      <c r="C53" s="8">
        <v>44</v>
      </c>
      <c r="D53" s="45" t="s">
        <v>1</v>
      </c>
      <c r="E53" s="142"/>
      <c r="F53" s="51" t="s">
        <v>15</v>
      </c>
      <c r="G53" s="31">
        <f>E53</f>
        <v>0</v>
      </c>
      <c r="H53" s="23"/>
    </row>
    <row r="54" spans="2:9" ht="43.15" hidden="1" customHeight="1" thickTop="1" thickBot="1" x14ac:dyDescent="0.6">
      <c r="B54" s="149">
        <f t="shared" si="0"/>
        <v>42</v>
      </c>
      <c r="C54" s="149" t="s">
        <v>10</v>
      </c>
      <c r="D54" s="167" t="s">
        <v>128</v>
      </c>
      <c r="E54" s="168"/>
      <c r="F54" s="231"/>
      <c r="G54" s="152">
        <f>IF(G50-SUM(G52:G53)&gt;=0,G50-SUM(G52:G53),0)</f>
        <v>0</v>
      </c>
      <c r="H54" s="169"/>
    </row>
    <row r="55" spans="2:9" ht="43.15" hidden="1" customHeight="1" thickTop="1" x14ac:dyDescent="0.55000000000000004">
      <c r="B55" s="119">
        <f t="shared" si="0"/>
        <v>43</v>
      </c>
      <c r="C55" s="119" t="s">
        <v>10</v>
      </c>
      <c r="D55" s="126" t="s">
        <v>130</v>
      </c>
      <c r="E55" s="144"/>
      <c r="F55" s="232"/>
      <c r="G55" s="33">
        <f>IF(G22&gt;=G51,G22-G51,0)</f>
        <v>0</v>
      </c>
      <c r="H55" s="166"/>
    </row>
    <row r="56" spans="2:9" ht="30.75" hidden="1" customHeight="1" thickBot="1" x14ac:dyDescent="0.6">
      <c r="B56" s="8">
        <f t="shared" si="0"/>
        <v>44</v>
      </c>
      <c r="C56" s="18" t="s">
        <v>10</v>
      </c>
      <c r="D56" s="48" t="s">
        <v>26</v>
      </c>
      <c r="E56" s="139"/>
      <c r="F56" s="53"/>
      <c r="G56" s="20">
        <f>IF(G55&gt;=1,0,G51-G22)</f>
        <v>0</v>
      </c>
      <c r="H56" s="22"/>
    </row>
    <row r="57" spans="2:9" ht="30.75" hidden="1" customHeight="1" thickTop="1" x14ac:dyDescent="0.55000000000000004">
      <c r="B57" s="8">
        <f t="shared" si="0"/>
        <v>45</v>
      </c>
      <c r="C57" s="8">
        <v>48</v>
      </c>
      <c r="D57" s="45" t="s">
        <v>2</v>
      </c>
      <c r="E57" s="141"/>
      <c r="F57" s="51" t="s">
        <v>15</v>
      </c>
      <c r="G57" s="12">
        <f>E57</f>
        <v>0</v>
      </c>
      <c r="H57" s="23"/>
    </row>
    <row r="58" spans="2:9" ht="30.75" hidden="1" customHeight="1" thickBot="1" x14ac:dyDescent="0.6">
      <c r="B58" s="8">
        <f t="shared" si="0"/>
        <v>46</v>
      </c>
      <c r="C58" s="8">
        <v>50</v>
      </c>
      <c r="D58" s="45" t="s">
        <v>3</v>
      </c>
      <c r="E58" s="142"/>
      <c r="F58" s="51" t="s">
        <v>15</v>
      </c>
      <c r="G58" s="31">
        <f>E58</f>
        <v>0</v>
      </c>
      <c r="H58" s="23"/>
    </row>
    <row r="59" spans="2:9" ht="46.15" hidden="1" customHeight="1" thickTop="1" thickBot="1" x14ac:dyDescent="0.6">
      <c r="B59" s="16">
        <f t="shared" si="0"/>
        <v>47</v>
      </c>
      <c r="C59" s="16" t="s">
        <v>10</v>
      </c>
      <c r="D59" s="125" t="s">
        <v>131</v>
      </c>
      <c r="E59" s="170"/>
      <c r="F59" s="233"/>
      <c r="G59" s="31">
        <f>IF(G55-SUM(G57:G58)&gt;=0,G55-SUM(G57:G58),0)</f>
        <v>0</v>
      </c>
      <c r="H59" s="171"/>
    </row>
    <row r="60" spans="2:9" ht="60.75" hidden="1" customHeight="1" thickTop="1" x14ac:dyDescent="0.55000000000000004">
      <c r="B60" s="160">
        <f t="shared" si="0"/>
        <v>48</v>
      </c>
      <c r="C60" s="172" t="s">
        <v>10</v>
      </c>
      <c r="D60" s="173" t="s">
        <v>160</v>
      </c>
      <c r="E60" s="174"/>
      <c r="F60" s="234"/>
      <c r="G60" s="175">
        <f>IF(G10&gt;=SUM(G36:G37,G56),G10-SUM(G36:G37,G56),0)</f>
        <v>0</v>
      </c>
      <c r="H60" s="176"/>
      <c r="I60" s="14"/>
    </row>
    <row r="61" spans="2:9" ht="30.75" hidden="1" customHeight="1" x14ac:dyDescent="0.55000000000000004">
      <c r="B61" s="9">
        <f t="shared" si="0"/>
        <v>49</v>
      </c>
      <c r="C61" s="18" t="s">
        <v>10</v>
      </c>
      <c r="D61" s="48" t="s">
        <v>26</v>
      </c>
      <c r="E61" s="20"/>
      <c r="F61" s="53"/>
      <c r="G61" s="55">
        <f>IF(G60&gt;=1,0,SUM(G36:G37,G56)-G10)</f>
        <v>0</v>
      </c>
      <c r="H61" s="22"/>
    </row>
    <row r="62" spans="2:9" ht="51.75" hidden="1" customHeight="1" x14ac:dyDescent="0.55000000000000004">
      <c r="B62" s="9">
        <f t="shared" si="0"/>
        <v>50</v>
      </c>
      <c r="C62" s="8" t="s">
        <v>10</v>
      </c>
      <c r="D62" s="124" t="s">
        <v>133</v>
      </c>
      <c r="E62" s="89"/>
      <c r="F62" s="235"/>
      <c r="G62" s="12">
        <f>IF(G32&gt;=G61,G32-G61,0)</f>
        <v>0</v>
      </c>
      <c r="H62" s="127"/>
    </row>
    <row r="63" spans="2:9" ht="30.75" hidden="1" customHeight="1" x14ac:dyDescent="0.55000000000000004">
      <c r="B63" s="9">
        <f t="shared" si="0"/>
        <v>51</v>
      </c>
      <c r="C63" s="18" t="s">
        <v>10</v>
      </c>
      <c r="D63" s="254" t="s">
        <v>26</v>
      </c>
      <c r="E63" s="20"/>
      <c r="F63" s="53"/>
      <c r="G63" s="20">
        <f>IF(G62&gt;=1,0,(G61-G32))</f>
        <v>0</v>
      </c>
      <c r="H63" s="22"/>
      <c r="I63" s="14"/>
    </row>
    <row r="64" spans="2:9" ht="48" hidden="1" customHeight="1" x14ac:dyDescent="0.55000000000000004">
      <c r="B64" s="9">
        <f t="shared" si="0"/>
        <v>52</v>
      </c>
      <c r="C64" s="8" t="s">
        <v>10</v>
      </c>
      <c r="D64" s="125" t="s">
        <v>134</v>
      </c>
      <c r="E64" s="170"/>
      <c r="F64" s="249"/>
      <c r="G64" s="136">
        <f>IF(G33&gt;=G63,G33-G63,0)</f>
        <v>0</v>
      </c>
      <c r="H64" s="250"/>
    </row>
    <row r="65" spans="2:9" ht="30.75" hidden="1" customHeight="1" x14ac:dyDescent="0.55000000000000004">
      <c r="B65" s="9">
        <f t="shared" si="0"/>
        <v>53</v>
      </c>
      <c r="C65" s="219" t="s">
        <v>10</v>
      </c>
      <c r="D65" s="251" t="s">
        <v>26</v>
      </c>
      <c r="E65" s="55"/>
      <c r="F65" s="252"/>
      <c r="G65" s="55">
        <f>IF(G64&gt;=1,0,(G63-G33))</f>
        <v>0</v>
      </c>
      <c r="H65" s="253"/>
      <c r="I65" s="14"/>
    </row>
    <row r="66" spans="2:9" ht="30" customHeight="1" x14ac:dyDescent="0.55000000000000004">
      <c r="B66" s="9">
        <f t="shared" si="0"/>
        <v>54</v>
      </c>
      <c r="C66" s="268" t="s">
        <v>190</v>
      </c>
      <c r="D66" s="268"/>
      <c r="E66" s="268"/>
      <c r="F66" s="268"/>
      <c r="G66" s="268"/>
      <c r="H66" s="275"/>
    </row>
    <row r="67" spans="2:9" ht="30.75" customHeight="1" x14ac:dyDescent="0.55000000000000004">
      <c r="B67" s="9">
        <f t="shared" si="0"/>
        <v>55</v>
      </c>
      <c r="C67" s="119">
        <v>70</v>
      </c>
      <c r="D67" s="120" t="s">
        <v>28</v>
      </c>
      <c r="E67" s="138"/>
      <c r="F67" s="116" t="s">
        <v>15</v>
      </c>
      <c r="G67" s="33">
        <f>E67</f>
        <v>0</v>
      </c>
      <c r="H67" s="220"/>
    </row>
    <row r="68" spans="2:9" ht="30.75" customHeight="1" x14ac:dyDescent="0.55000000000000004">
      <c r="B68" s="9">
        <f t="shared" si="0"/>
        <v>56</v>
      </c>
      <c r="C68" s="8">
        <v>71</v>
      </c>
      <c r="D68" s="44" t="s">
        <v>29</v>
      </c>
      <c r="E68" s="133"/>
      <c r="F68" s="51" t="s">
        <v>15</v>
      </c>
      <c r="G68" s="12">
        <f t="shared" ref="G68:G70" si="3">E68</f>
        <v>0</v>
      </c>
      <c r="H68" s="24"/>
    </row>
    <row r="69" spans="2:9" ht="30.75" customHeight="1" x14ac:dyDescent="0.55000000000000004">
      <c r="B69" s="9">
        <f t="shared" si="0"/>
        <v>57</v>
      </c>
      <c r="C69" s="8">
        <v>72</v>
      </c>
      <c r="D69" s="44" t="s">
        <v>30</v>
      </c>
      <c r="E69" s="133"/>
      <c r="F69" s="51" t="s">
        <v>15</v>
      </c>
      <c r="G69" s="12">
        <f t="shared" si="3"/>
        <v>0</v>
      </c>
      <c r="H69" s="24"/>
    </row>
    <row r="70" spans="2:9" ht="30.75" customHeight="1" x14ac:dyDescent="0.55000000000000004">
      <c r="B70" s="9">
        <f t="shared" si="0"/>
        <v>58</v>
      </c>
      <c r="C70" s="8">
        <v>73</v>
      </c>
      <c r="D70" s="44" t="s">
        <v>31</v>
      </c>
      <c r="E70" s="133"/>
      <c r="F70" s="51" t="s">
        <v>15</v>
      </c>
      <c r="G70" s="12">
        <f t="shared" si="3"/>
        <v>0</v>
      </c>
      <c r="H70" s="24"/>
    </row>
    <row r="71" spans="2:9" ht="44.25" customHeight="1" x14ac:dyDescent="0.55000000000000004">
      <c r="B71" s="9">
        <f t="shared" si="0"/>
        <v>59</v>
      </c>
      <c r="C71" s="8">
        <v>74</v>
      </c>
      <c r="D71" s="44" t="s">
        <v>32</v>
      </c>
      <c r="E71" s="133"/>
      <c r="F71" s="51" t="s">
        <v>33</v>
      </c>
      <c r="G71" s="12">
        <f>E71*4/2.8</f>
        <v>0</v>
      </c>
      <c r="H71" s="10" t="s">
        <v>195</v>
      </c>
      <c r="I71" s="14"/>
    </row>
    <row r="72" spans="2:9" ht="39.5" thickBot="1" x14ac:dyDescent="0.6">
      <c r="B72" s="111">
        <f t="shared" si="0"/>
        <v>60</v>
      </c>
      <c r="C72" s="16">
        <v>75</v>
      </c>
      <c r="D72" s="112" t="s">
        <v>34</v>
      </c>
      <c r="E72" s="177"/>
      <c r="F72" s="52" t="s">
        <v>35</v>
      </c>
      <c r="G72" s="31">
        <f>E72*2</f>
        <v>0</v>
      </c>
      <c r="H72" s="36" t="s">
        <v>196</v>
      </c>
    </row>
    <row r="73" spans="2:9" ht="41.5" customHeight="1" thickTop="1" thickBot="1" x14ac:dyDescent="0.6">
      <c r="B73" s="178">
        <f t="shared" si="0"/>
        <v>61</v>
      </c>
      <c r="C73" s="160">
        <v>76</v>
      </c>
      <c r="D73" s="179" t="s">
        <v>36</v>
      </c>
      <c r="E73" s="180"/>
      <c r="F73" s="230"/>
      <c r="G73" s="236"/>
      <c r="H73" s="276" t="s">
        <v>199</v>
      </c>
    </row>
    <row r="74" spans="2:9" ht="41.5" customHeight="1" thickTop="1" x14ac:dyDescent="0.55000000000000004">
      <c r="B74" s="9">
        <f t="shared" si="0"/>
        <v>62</v>
      </c>
      <c r="C74" s="8" t="s">
        <v>10</v>
      </c>
      <c r="D74" s="11" t="s">
        <v>37</v>
      </c>
      <c r="E74" s="140"/>
      <c r="F74" s="40"/>
      <c r="G74" s="12">
        <f>IF(G34&lt;=9000000,IF(E73=330000,380000,E73),0)</f>
        <v>0</v>
      </c>
      <c r="H74" s="277"/>
    </row>
    <row r="75" spans="2:9" ht="41.5" customHeight="1" x14ac:dyDescent="0.55000000000000004">
      <c r="B75" s="9">
        <f t="shared" si="0"/>
        <v>63</v>
      </c>
      <c r="C75" s="8" t="s">
        <v>10</v>
      </c>
      <c r="D75" s="25" t="s">
        <v>38</v>
      </c>
      <c r="E75" s="89"/>
      <c r="F75" s="40"/>
      <c r="G75" s="12">
        <f>IF(AND(9000000&lt;G34,G34&lt;=9500000),IF(E73=220000,260000,E73),0)</f>
        <v>0</v>
      </c>
      <c r="H75" s="277"/>
    </row>
    <row r="76" spans="2:9" ht="41.5" customHeight="1" thickBot="1" x14ac:dyDescent="0.6">
      <c r="B76" s="111">
        <f t="shared" si="0"/>
        <v>64</v>
      </c>
      <c r="C76" s="16" t="s">
        <v>10</v>
      </c>
      <c r="D76" s="181" t="s">
        <v>39</v>
      </c>
      <c r="E76" s="143"/>
      <c r="F76" s="237"/>
      <c r="G76" s="31">
        <f>IF(AND(9500000&lt;G34,G34&lt;=10000000),IF(E73=110000,130000,E73),0)</f>
        <v>0</v>
      </c>
      <c r="H76" s="277"/>
    </row>
    <row r="77" spans="2:9" ht="50" customHeight="1" thickTop="1" thickBot="1" x14ac:dyDescent="0.6">
      <c r="B77" s="178">
        <f t="shared" si="0"/>
        <v>65</v>
      </c>
      <c r="C77" s="160">
        <v>77</v>
      </c>
      <c r="D77" s="185" t="s">
        <v>200</v>
      </c>
      <c r="E77" s="255"/>
      <c r="F77" s="230"/>
      <c r="G77" s="236"/>
      <c r="H77" s="165"/>
    </row>
    <row r="78" spans="2:9" ht="30.75" customHeight="1" thickTop="1" x14ac:dyDescent="0.55000000000000004">
      <c r="B78" s="9">
        <f t="shared" si="0"/>
        <v>66</v>
      </c>
      <c r="C78" s="8" t="s">
        <v>10</v>
      </c>
      <c r="D78" s="11" t="s">
        <v>40</v>
      </c>
      <c r="E78" s="33"/>
      <c r="F78" s="26" t="s">
        <v>41</v>
      </c>
      <c r="G78" s="12">
        <f>IF(E77=1,IF(G34&lt;=9000000,380000,IF(G34&lt;=9500000,260000,IF(G34&lt;=10000000,130000,0))),0)</f>
        <v>0</v>
      </c>
      <c r="H78" s="10"/>
    </row>
    <row r="79" spans="2:9" ht="30.75" customHeight="1" thickBot="1" x14ac:dyDescent="0.6">
      <c r="B79" s="9">
        <f t="shared" ref="B79:B131" si="4">B78+1</f>
        <v>67</v>
      </c>
      <c r="C79" s="8" t="s">
        <v>10</v>
      </c>
      <c r="D79" s="11" t="s">
        <v>42</v>
      </c>
      <c r="E79" s="12"/>
      <c r="F79" s="26" t="s">
        <v>43</v>
      </c>
      <c r="G79" s="12">
        <f>IF(E77=2,IF(G34&lt;=9000000,480000,IF(G34&lt;=9500000,320000,IF(G34&lt;=10000000,160000,0))),0)</f>
        <v>0</v>
      </c>
      <c r="H79" s="10"/>
    </row>
    <row r="80" spans="2:9" ht="30.75" hidden="1" customHeight="1" thickBot="1" x14ac:dyDescent="0.6">
      <c r="B80" s="111">
        <f t="shared" si="4"/>
        <v>68</v>
      </c>
      <c r="C80" s="16" t="s">
        <v>10</v>
      </c>
      <c r="D80" s="181" t="s">
        <v>44</v>
      </c>
      <c r="E80" s="31"/>
      <c r="F80" s="182" t="s">
        <v>45</v>
      </c>
      <c r="G80" s="31">
        <f>IF(E77=3,0,0)</f>
        <v>0</v>
      </c>
      <c r="H80" s="36"/>
    </row>
    <row r="81" spans="2:8" ht="30.75" customHeight="1" thickTop="1" x14ac:dyDescent="0.55000000000000004">
      <c r="B81" s="178">
        <f t="shared" si="4"/>
        <v>69</v>
      </c>
      <c r="C81" s="160">
        <v>80</v>
      </c>
      <c r="D81" s="179" t="s">
        <v>46</v>
      </c>
      <c r="E81" s="183"/>
      <c r="F81" s="163" t="s">
        <v>47</v>
      </c>
      <c r="G81" s="164">
        <f>E81*380000</f>
        <v>0</v>
      </c>
      <c r="H81" s="184"/>
    </row>
    <row r="82" spans="2:8" ht="30.75" customHeight="1" x14ac:dyDescent="0.55000000000000004">
      <c r="B82" s="9">
        <f t="shared" si="4"/>
        <v>70</v>
      </c>
      <c r="C82" s="8">
        <v>81</v>
      </c>
      <c r="D82" s="44" t="s">
        <v>48</v>
      </c>
      <c r="E82" s="133"/>
      <c r="F82" s="51" t="s">
        <v>49</v>
      </c>
      <c r="G82" s="12">
        <f>E82*630000</f>
        <v>0</v>
      </c>
      <c r="H82" s="24"/>
    </row>
    <row r="83" spans="2:8" ht="30.75" customHeight="1" x14ac:dyDescent="0.55000000000000004">
      <c r="B83" s="9">
        <f t="shared" si="4"/>
        <v>71</v>
      </c>
      <c r="C83" s="8">
        <v>82</v>
      </c>
      <c r="D83" s="44" t="s">
        <v>50</v>
      </c>
      <c r="E83" s="133"/>
      <c r="F83" s="51" t="s">
        <v>51</v>
      </c>
      <c r="G83" s="12">
        <f>E83*480000</f>
        <v>0</v>
      </c>
      <c r="H83" s="24"/>
    </row>
    <row r="84" spans="2:8" ht="30.75" customHeight="1" x14ac:dyDescent="0.55000000000000004">
      <c r="B84" s="9">
        <f t="shared" si="4"/>
        <v>72</v>
      </c>
      <c r="C84" s="8">
        <v>83</v>
      </c>
      <c r="D84" s="46" t="s">
        <v>135</v>
      </c>
      <c r="E84" s="133"/>
      <c r="F84" s="51" t="s">
        <v>52</v>
      </c>
      <c r="G84" s="12">
        <f>E84*100000</f>
        <v>0</v>
      </c>
      <c r="H84" s="10"/>
    </row>
    <row r="85" spans="2:8" ht="30.75" customHeight="1" x14ac:dyDescent="0.55000000000000004">
      <c r="B85" s="9">
        <f t="shared" si="4"/>
        <v>73</v>
      </c>
      <c r="C85" s="8">
        <v>87</v>
      </c>
      <c r="D85" s="44" t="s">
        <v>53</v>
      </c>
      <c r="E85" s="133"/>
      <c r="F85" s="51" t="s">
        <v>54</v>
      </c>
      <c r="G85" s="12">
        <f>E85*270000</f>
        <v>0</v>
      </c>
      <c r="H85" s="24"/>
    </row>
    <row r="86" spans="2:8" ht="30.75" customHeight="1" x14ac:dyDescent="0.55000000000000004">
      <c r="B86" s="9">
        <f t="shared" si="4"/>
        <v>74</v>
      </c>
      <c r="C86" s="8">
        <v>88</v>
      </c>
      <c r="D86" s="44" t="s">
        <v>55</v>
      </c>
      <c r="E86" s="133"/>
      <c r="F86" s="51" t="s">
        <v>56</v>
      </c>
      <c r="G86" s="12">
        <f>E86*400000</f>
        <v>0</v>
      </c>
      <c r="H86" s="24"/>
    </row>
    <row r="87" spans="2:8" ht="30.75" customHeight="1" thickBot="1" x14ac:dyDescent="0.6">
      <c r="B87" s="111">
        <f t="shared" si="4"/>
        <v>75</v>
      </c>
      <c r="C87" s="16">
        <v>89</v>
      </c>
      <c r="D87" s="47" t="s">
        <v>136</v>
      </c>
      <c r="E87" s="177"/>
      <c r="F87" s="52" t="s">
        <v>57</v>
      </c>
      <c r="G87" s="31">
        <f>E87*350000</f>
        <v>0</v>
      </c>
      <c r="H87" s="36"/>
    </row>
    <row r="88" spans="2:8" ht="40" customHeight="1" thickTop="1" thickBot="1" x14ac:dyDescent="0.6">
      <c r="B88" s="178">
        <f t="shared" si="4"/>
        <v>76</v>
      </c>
      <c r="C88" s="160">
        <v>92</v>
      </c>
      <c r="D88" s="185" t="s">
        <v>201</v>
      </c>
      <c r="E88" s="180"/>
      <c r="F88" s="230"/>
      <c r="G88" s="236"/>
      <c r="H88" s="165"/>
    </row>
    <row r="89" spans="2:8" ht="30.75" customHeight="1" thickTop="1" x14ac:dyDescent="0.55000000000000004">
      <c r="B89" s="9">
        <f t="shared" si="4"/>
        <v>77</v>
      </c>
      <c r="C89" s="8" t="s">
        <v>10</v>
      </c>
      <c r="D89" s="11" t="s">
        <v>58</v>
      </c>
      <c r="E89" s="144"/>
      <c r="F89" s="27" t="s">
        <v>59</v>
      </c>
      <c r="G89" s="12">
        <f>IF(E88=1,400000,0)</f>
        <v>0</v>
      </c>
      <c r="H89" s="10"/>
    </row>
    <row r="90" spans="2:8" ht="30.75" customHeight="1" x14ac:dyDescent="0.55000000000000004">
      <c r="B90" s="9">
        <f t="shared" si="4"/>
        <v>78</v>
      </c>
      <c r="C90" s="8" t="s">
        <v>10</v>
      </c>
      <c r="D90" s="11" t="s">
        <v>60</v>
      </c>
      <c r="E90" s="88"/>
      <c r="F90" s="27" t="s">
        <v>59</v>
      </c>
      <c r="G90" s="12">
        <f>IF(E88=2,400000,0)</f>
        <v>0</v>
      </c>
      <c r="H90" s="10"/>
    </row>
    <row r="91" spans="2:8" ht="30.75" customHeight="1" thickBot="1" x14ac:dyDescent="0.6">
      <c r="B91" s="111">
        <f t="shared" si="4"/>
        <v>79</v>
      </c>
      <c r="C91" s="16" t="s">
        <v>10</v>
      </c>
      <c r="D91" s="186" t="s">
        <v>61</v>
      </c>
      <c r="E91" s="145"/>
      <c r="F91" s="182" t="s">
        <v>62</v>
      </c>
      <c r="G91" s="31">
        <f>IF(E88=3,270000,0)</f>
        <v>0</v>
      </c>
      <c r="H91" s="36"/>
    </row>
    <row r="92" spans="2:8" ht="30.75" customHeight="1" thickTop="1" thickBot="1" x14ac:dyDescent="0.6">
      <c r="B92" s="178">
        <f t="shared" si="4"/>
        <v>80</v>
      </c>
      <c r="C92" s="160">
        <v>93</v>
      </c>
      <c r="D92" s="185" t="s">
        <v>202</v>
      </c>
      <c r="E92" s="180"/>
      <c r="F92" s="230"/>
      <c r="G92" s="236"/>
      <c r="H92" s="165"/>
    </row>
    <row r="93" spans="2:8" ht="30.75" customHeight="1" thickTop="1" x14ac:dyDescent="0.55000000000000004">
      <c r="B93" s="9">
        <f t="shared" si="4"/>
        <v>81</v>
      </c>
      <c r="C93" s="8" t="s">
        <v>10</v>
      </c>
      <c r="D93" s="11" t="s">
        <v>63</v>
      </c>
      <c r="E93" s="140"/>
      <c r="F93" s="27" t="s">
        <v>62</v>
      </c>
      <c r="G93" s="12">
        <f>IF(E92=1,270000,0)</f>
        <v>0</v>
      </c>
      <c r="H93" s="10"/>
    </row>
    <row r="94" spans="2:8" ht="30.75" customHeight="1" thickBot="1" x14ac:dyDescent="0.6">
      <c r="B94" s="111">
        <f t="shared" si="4"/>
        <v>82</v>
      </c>
      <c r="C94" s="16" t="s">
        <v>10</v>
      </c>
      <c r="D94" s="186" t="s">
        <v>64</v>
      </c>
      <c r="E94" s="143"/>
      <c r="F94" s="182" t="s">
        <v>65</v>
      </c>
      <c r="G94" s="31">
        <f>IF(E92=2,350000,0)</f>
        <v>0</v>
      </c>
      <c r="H94" s="36"/>
    </row>
    <row r="95" spans="2:8" ht="30.75" customHeight="1" thickTop="1" thickBot="1" x14ac:dyDescent="0.6">
      <c r="B95" s="178">
        <f t="shared" si="4"/>
        <v>83</v>
      </c>
      <c r="C95" s="160">
        <v>94</v>
      </c>
      <c r="D95" s="179" t="s">
        <v>137</v>
      </c>
      <c r="E95" s="180"/>
      <c r="F95" s="238"/>
      <c r="G95" s="236"/>
      <c r="H95" s="184"/>
    </row>
    <row r="96" spans="2:8" ht="30.75" customHeight="1" thickTop="1" x14ac:dyDescent="0.55000000000000004">
      <c r="B96" s="9">
        <f t="shared" si="4"/>
        <v>84</v>
      </c>
      <c r="C96" s="8" t="s">
        <v>10</v>
      </c>
      <c r="D96" s="11" t="s">
        <v>66</v>
      </c>
      <c r="E96" s="140"/>
      <c r="F96" s="27" t="s">
        <v>62</v>
      </c>
      <c r="G96" s="31">
        <f>IF(E95=1,270000,0)</f>
        <v>0</v>
      </c>
      <c r="H96" s="36"/>
    </row>
    <row r="97" spans="2:9" ht="30.75" customHeight="1" x14ac:dyDescent="0.55000000000000004">
      <c r="B97" s="9">
        <f t="shared" si="4"/>
        <v>85</v>
      </c>
      <c r="C97" s="8" t="s">
        <v>10</v>
      </c>
      <c r="D97" s="15" t="s">
        <v>138</v>
      </c>
      <c r="E97" s="89"/>
      <c r="F97" s="239"/>
      <c r="G97" s="12">
        <f>IF(G34&gt;0,IF(G34&gt;25000000,0,IF(G34&gt;24500000,160000,IF(G34&gt;24000000,320000,480000))),0)</f>
        <v>0</v>
      </c>
      <c r="H97" s="37"/>
    </row>
    <row r="98" spans="2:9" ht="39" customHeight="1" x14ac:dyDescent="0.55000000000000004">
      <c r="B98" s="9">
        <f t="shared" si="4"/>
        <v>86</v>
      </c>
      <c r="C98" s="16" t="s">
        <v>10</v>
      </c>
      <c r="D98" s="188" t="s">
        <v>67</v>
      </c>
      <c r="E98" s="143"/>
      <c r="F98" s="240"/>
      <c r="G98" s="136">
        <f>SUM(G67:G72,G74:G76,G78:G87,G89:G91,G93:G94,G96:G97)</f>
        <v>0</v>
      </c>
      <c r="H98" s="121"/>
    </row>
    <row r="99" spans="2:9" ht="30.75" customHeight="1" x14ac:dyDescent="0.55000000000000004">
      <c r="B99" s="9">
        <f t="shared" si="4"/>
        <v>87</v>
      </c>
      <c r="C99" s="275" t="s">
        <v>162</v>
      </c>
      <c r="D99" s="275"/>
      <c r="E99" s="275"/>
      <c r="F99" s="275"/>
      <c r="G99" s="275"/>
      <c r="H99" s="275"/>
    </row>
    <row r="100" spans="2:9" ht="42.65" customHeight="1" x14ac:dyDescent="0.55000000000000004">
      <c r="B100" s="9">
        <f t="shared" si="4"/>
        <v>88</v>
      </c>
      <c r="C100" s="119" t="s">
        <v>10</v>
      </c>
      <c r="D100" s="187" t="s">
        <v>203</v>
      </c>
      <c r="E100" s="144"/>
      <c r="F100" s="119" t="s">
        <v>68</v>
      </c>
      <c r="G100" s="33">
        <f>ROUNDDOWN(IF(G60&gt;=G98,G60-G98,0),-3)</f>
        <v>0</v>
      </c>
      <c r="H100" s="35"/>
      <c r="I100" s="14"/>
    </row>
    <row r="101" spans="2:9" ht="32.25" hidden="1" customHeight="1" x14ac:dyDescent="0.55000000000000004">
      <c r="B101" s="9">
        <f t="shared" si="4"/>
        <v>89</v>
      </c>
      <c r="C101" s="18" t="s">
        <v>10</v>
      </c>
      <c r="D101" s="19" t="s">
        <v>26</v>
      </c>
      <c r="E101" s="20"/>
      <c r="F101" s="28"/>
      <c r="G101" s="20">
        <f>MAX(IF(G100&gt;=1,0,G98-G60),0)</f>
        <v>0</v>
      </c>
      <c r="H101" s="21"/>
      <c r="I101" s="14"/>
    </row>
    <row r="102" spans="2:9" ht="42.65" hidden="1" customHeight="1" x14ac:dyDescent="0.55000000000000004">
      <c r="B102" s="9">
        <f t="shared" si="4"/>
        <v>90</v>
      </c>
      <c r="C102" s="8" t="s">
        <v>10</v>
      </c>
      <c r="D102" s="15" t="s">
        <v>140</v>
      </c>
      <c r="E102" s="88"/>
      <c r="F102" s="8" t="s">
        <v>68</v>
      </c>
      <c r="G102" s="12">
        <f>ROUNDDOWN(IF(G59&gt;=G101,G59-G101,0),-3)</f>
        <v>0</v>
      </c>
      <c r="H102" s="10"/>
      <c r="I102" s="14"/>
    </row>
    <row r="103" spans="2:9" ht="29.25" hidden="1" customHeight="1" x14ac:dyDescent="0.55000000000000004">
      <c r="B103" s="9">
        <f t="shared" si="4"/>
        <v>91</v>
      </c>
      <c r="C103" s="18" t="s">
        <v>10</v>
      </c>
      <c r="D103" s="29" t="s">
        <v>69</v>
      </c>
      <c r="E103" s="20"/>
      <c r="F103" s="28"/>
      <c r="G103" s="20">
        <f>MAX(IF(G102&gt;=1,0,G101-G59),0)</f>
        <v>0</v>
      </c>
      <c r="H103" s="21"/>
      <c r="I103" s="14"/>
    </row>
    <row r="104" spans="2:9" ht="44.25" hidden="1" customHeight="1" x14ac:dyDescent="0.55000000000000004">
      <c r="B104" s="9">
        <f t="shared" si="4"/>
        <v>92</v>
      </c>
      <c r="C104" s="8" t="s">
        <v>10</v>
      </c>
      <c r="D104" s="15" t="s">
        <v>141</v>
      </c>
      <c r="E104" s="88"/>
      <c r="F104" s="8" t="s">
        <v>68</v>
      </c>
      <c r="G104" s="12">
        <f>ROUNDDOWN(IF(G54&gt;=G103,G54-G103,0),-3)</f>
        <v>0</v>
      </c>
      <c r="H104" s="10"/>
      <c r="I104" s="14"/>
    </row>
    <row r="105" spans="2:9" ht="29.25" hidden="1" customHeight="1" x14ac:dyDescent="0.55000000000000004">
      <c r="B105" s="9">
        <f t="shared" si="4"/>
        <v>93</v>
      </c>
      <c r="C105" s="18" t="s">
        <v>10</v>
      </c>
      <c r="D105" s="29" t="s">
        <v>69</v>
      </c>
      <c r="E105" s="20"/>
      <c r="F105" s="28"/>
      <c r="G105" s="20">
        <f>MAX(IF(G104&gt;=1,0,G103-G54),0)</f>
        <v>0</v>
      </c>
      <c r="H105" s="21"/>
      <c r="I105" s="14"/>
    </row>
    <row r="106" spans="2:9" ht="42.65" hidden="1" customHeight="1" x14ac:dyDescent="0.55000000000000004">
      <c r="B106" s="9">
        <f t="shared" si="4"/>
        <v>94</v>
      </c>
      <c r="C106" s="8" t="s">
        <v>10</v>
      </c>
      <c r="D106" s="95" t="s">
        <v>142</v>
      </c>
      <c r="E106" s="88"/>
      <c r="F106" s="8" t="s">
        <v>68</v>
      </c>
      <c r="G106" s="12">
        <f>ROUNDDOWN(IF(G48&gt;=G105,G48-G105,0),-3)</f>
        <v>0</v>
      </c>
      <c r="H106" s="10"/>
      <c r="I106" s="14"/>
    </row>
    <row r="107" spans="2:9" ht="28.5" hidden="1" customHeight="1" x14ac:dyDescent="0.55000000000000004">
      <c r="B107" s="9">
        <f t="shared" si="4"/>
        <v>95</v>
      </c>
      <c r="C107" s="18" t="s">
        <v>10</v>
      </c>
      <c r="D107" s="29" t="s">
        <v>69</v>
      </c>
      <c r="E107" s="20"/>
      <c r="F107" s="28"/>
      <c r="G107" s="20">
        <f>MAX(IF(G106&gt;=1,0,G105-G48),0)</f>
        <v>0</v>
      </c>
      <c r="H107" s="21"/>
      <c r="I107" s="14"/>
    </row>
    <row r="108" spans="2:9" ht="42.65" hidden="1" customHeight="1" x14ac:dyDescent="0.55000000000000004">
      <c r="B108" s="9">
        <f t="shared" si="4"/>
        <v>96</v>
      </c>
      <c r="C108" s="8" t="s">
        <v>10</v>
      </c>
      <c r="D108" s="15" t="s">
        <v>143</v>
      </c>
      <c r="E108" s="88"/>
      <c r="F108" s="8" t="s">
        <v>68</v>
      </c>
      <c r="G108" s="12">
        <f>ROUNDDOWN(IF(G44&gt;=G107,G44-G107,0),-3)</f>
        <v>0</v>
      </c>
      <c r="H108" s="10"/>
      <c r="I108" s="14"/>
    </row>
    <row r="109" spans="2:9" ht="29.25" hidden="1" customHeight="1" x14ac:dyDescent="0.55000000000000004">
      <c r="B109" s="9">
        <f t="shared" si="4"/>
        <v>97</v>
      </c>
      <c r="C109" s="18" t="s">
        <v>10</v>
      </c>
      <c r="D109" s="29" t="s">
        <v>69</v>
      </c>
      <c r="E109" s="20"/>
      <c r="F109" s="28"/>
      <c r="G109" s="20">
        <f>MAX(IF(G108&gt;=1,0,G107-G44),0)</f>
        <v>0</v>
      </c>
      <c r="H109" s="21"/>
      <c r="I109" s="14"/>
    </row>
    <row r="110" spans="2:9" ht="42.65" hidden="1" customHeight="1" x14ac:dyDescent="0.55000000000000004">
      <c r="B110" s="9">
        <f t="shared" si="4"/>
        <v>98</v>
      </c>
      <c r="C110" s="8" t="s">
        <v>10</v>
      </c>
      <c r="D110" s="15" t="s">
        <v>144</v>
      </c>
      <c r="E110" s="88"/>
      <c r="F110" s="8" t="s">
        <v>68</v>
      </c>
      <c r="G110" s="12">
        <f>ROUNDDOWN(IF(G46&gt;=G109,G46-G109,0),-3)</f>
        <v>0</v>
      </c>
      <c r="H110" s="10"/>
      <c r="I110" s="14"/>
    </row>
    <row r="111" spans="2:9" ht="29.25" hidden="1" customHeight="1" x14ac:dyDescent="0.55000000000000004">
      <c r="B111" s="9">
        <f t="shared" si="4"/>
        <v>99</v>
      </c>
      <c r="C111" s="18" t="s">
        <v>10</v>
      </c>
      <c r="D111" s="30"/>
      <c r="E111" s="20"/>
      <c r="F111" s="28"/>
      <c r="G111" s="20">
        <f>MAX(IF(G110&gt;=1,0,G109-G46),0)</f>
        <v>0</v>
      </c>
      <c r="H111" s="21"/>
      <c r="I111" s="14"/>
    </row>
    <row r="112" spans="2:9" ht="42.65" hidden="1" customHeight="1" x14ac:dyDescent="0.55000000000000004">
      <c r="B112" s="9">
        <f t="shared" si="4"/>
        <v>100</v>
      </c>
      <c r="C112" s="8" t="s">
        <v>10</v>
      </c>
      <c r="D112" s="15" t="s">
        <v>147</v>
      </c>
      <c r="E112" s="88"/>
      <c r="F112" s="8" t="s">
        <v>68</v>
      </c>
      <c r="G112" s="12">
        <f>ROUNDDOWN(IF(G49&gt;=G111,G49-G111,0),-3)</f>
        <v>0</v>
      </c>
      <c r="H112" s="10"/>
      <c r="I112" s="14"/>
    </row>
    <row r="113" spans="2:9" ht="29.25" hidden="1" customHeight="1" x14ac:dyDescent="0.55000000000000004">
      <c r="B113" s="111">
        <f t="shared" si="4"/>
        <v>101</v>
      </c>
      <c r="C113" s="219" t="s">
        <v>10</v>
      </c>
      <c r="D113" s="258"/>
      <c r="E113" s="139"/>
      <c r="F113" s="259"/>
      <c r="G113" s="139">
        <f>MAX(IF(G112&gt;=1,0,G111-G49),0)</f>
        <v>0</v>
      </c>
      <c r="H113" s="260"/>
      <c r="I113" s="14"/>
    </row>
    <row r="114" spans="2:9" ht="42.65" hidden="1" customHeight="1" x14ac:dyDescent="0.55000000000000004">
      <c r="B114" s="115">
        <f t="shared" si="4"/>
        <v>102</v>
      </c>
      <c r="C114" s="119" t="s">
        <v>10</v>
      </c>
      <c r="D114" s="187" t="s">
        <v>148</v>
      </c>
      <c r="E114" s="144"/>
      <c r="F114" s="119" t="s">
        <v>68</v>
      </c>
      <c r="G114" s="33">
        <f>ROUNDDOWN(IF(G62&gt;=G113,G62-G113,0),-3)</f>
        <v>0</v>
      </c>
      <c r="H114" s="166"/>
      <c r="I114" s="14"/>
    </row>
    <row r="115" spans="2:9" ht="29.25" hidden="1" customHeight="1" x14ac:dyDescent="0.55000000000000004">
      <c r="B115" s="9">
        <f t="shared" si="4"/>
        <v>103</v>
      </c>
      <c r="C115" s="18" t="s">
        <v>10</v>
      </c>
      <c r="D115" s="30"/>
      <c r="E115" s="20"/>
      <c r="F115" s="28"/>
      <c r="G115" s="20">
        <f>MAX(IF(G114&gt;=1,0,G113-G62),0)</f>
        <v>0</v>
      </c>
      <c r="H115" s="21"/>
      <c r="I115" s="14"/>
    </row>
    <row r="116" spans="2:9" ht="42.65" hidden="1" customHeight="1" x14ac:dyDescent="0.55000000000000004">
      <c r="B116" s="111">
        <f t="shared" si="4"/>
        <v>104</v>
      </c>
      <c r="C116" s="16" t="s">
        <v>10</v>
      </c>
      <c r="D116" s="196" t="s">
        <v>145</v>
      </c>
      <c r="E116" s="145"/>
      <c r="F116" s="16" t="s">
        <v>68</v>
      </c>
      <c r="G116" s="31">
        <f>ROUNDDOWN(IF(G64&gt;=G115,G64-G115,0),-3)</f>
        <v>0</v>
      </c>
      <c r="H116" s="36"/>
      <c r="I116" s="14"/>
    </row>
    <row r="117" spans="2:9" ht="30.75" hidden="1" customHeight="1" x14ac:dyDescent="0.55000000000000004">
      <c r="B117" s="191">
        <f t="shared" si="4"/>
        <v>105</v>
      </c>
      <c r="C117" s="191" t="s">
        <v>70</v>
      </c>
      <c r="D117" s="192" t="s">
        <v>146</v>
      </c>
      <c r="E117" s="193"/>
      <c r="F117" s="191"/>
      <c r="G117" s="194">
        <f>SUM(G100,G116)</f>
        <v>0</v>
      </c>
      <c r="H117" s="195"/>
      <c r="I117" s="5" t="s">
        <v>161</v>
      </c>
    </row>
    <row r="118" spans="2:9" ht="30.75" hidden="1" customHeight="1" x14ac:dyDescent="0.55000000000000004">
      <c r="B118" s="119"/>
      <c r="C118" s="190"/>
      <c r="D118" s="282" t="s">
        <v>167</v>
      </c>
      <c r="E118" s="282"/>
      <c r="F118" s="282"/>
      <c r="G118" s="282"/>
      <c r="H118" s="283"/>
    </row>
    <row r="119" spans="2:9" ht="30.75" hidden="1" customHeight="1" x14ac:dyDescent="0.55000000000000004">
      <c r="B119" s="9">
        <f>B117+1</f>
        <v>106</v>
      </c>
      <c r="C119" s="8" t="s">
        <v>10</v>
      </c>
      <c r="D119" s="187" t="s">
        <v>149</v>
      </c>
      <c r="E119" s="140"/>
      <c r="F119" s="228"/>
      <c r="G119" s="136">
        <f>G114/5</f>
        <v>0</v>
      </c>
      <c r="H119" s="189"/>
    </row>
    <row r="120" spans="2:9" ht="90" hidden="1" customHeight="1" x14ac:dyDescent="0.55000000000000004">
      <c r="B120" s="9">
        <f t="shared" si="4"/>
        <v>107</v>
      </c>
      <c r="C120" s="8" t="s">
        <v>10</v>
      </c>
      <c r="D120" s="15" t="s">
        <v>170</v>
      </c>
      <c r="E120" s="89"/>
      <c r="F120" s="241"/>
      <c r="G120" s="12">
        <f>MAX(ROUNDDOWN(IF((E27+E28-G53)&lt;G104,(E27+E28-G53),G104),-3),0)</f>
        <v>0</v>
      </c>
      <c r="H120" s="37" t="s">
        <v>169</v>
      </c>
      <c r="I120" s="14"/>
    </row>
    <row r="121" spans="2:9" ht="99" hidden="1" customHeight="1" x14ac:dyDescent="0.55000000000000004">
      <c r="B121" s="9">
        <f t="shared" si="4"/>
        <v>108</v>
      </c>
      <c r="C121" s="8" t="s">
        <v>10</v>
      </c>
      <c r="D121" s="15" t="s">
        <v>171</v>
      </c>
      <c r="E121" s="89"/>
      <c r="F121" s="241"/>
      <c r="G121" s="12">
        <f>MAX(SUM(ROUNDDOWN(IF((E24-G58)&lt;G102,(E24-G58),G102),-3),G104-G120,G106,G108,G110,G112),0)</f>
        <v>0</v>
      </c>
      <c r="H121" s="37"/>
      <c r="I121" s="14"/>
    </row>
    <row r="122" spans="2:9" ht="36.75" hidden="1" customHeight="1" x14ac:dyDescent="0.55000000000000004">
      <c r="B122" s="111">
        <f t="shared" si="4"/>
        <v>109</v>
      </c>
      <c r="C122" s="16" t="s">
        <v>10</v>
      </c>
      <c r="D122" s="196" t="s">
        <v>168</v>
      </c>
      <c r="E122" s="143"/>
      <c r="F122" s="242"/>
      <c r="G122" s="31">
        <f>ROUNDDOWN(G102-MAX(IF((E24-G58)&lt;G102,(E24-G58),G102),0),-3)</f>
        <v>0</v>
      </c>
      <c r="H122" s="197"/>
    </row>
    <row r="123" spans="2:9" ht="29.25" customHeight="1" x14ac:dyDescent="0.55000000000000004">
      <c r="B123" s="261">
        <f t="shared" si="4"/>
        <v>110</v>
      </c>
      <c r="C123" s="275" t="s">
        <v>123</v>
      </c>
      <c r="D123" s="275"/>
      <c r="E123" s="275"/>
      <c r="F123" s="275"/>
      <c r="G123" s="275"/>
      <c r="H123" s="275"/>
    </row>
    <row r="124" spans="2:9" ht="46.5" customHeight="1" x14ac:dyDescent="0.55000000000000004">
      <c r="B124" s="266">
        <f t="shared" si="4"/>
        <v>111</v>
      </c>
      <c r="C124" s="119" t="s">
        <v>10</v>
      </c>
      <c r="D124" s="264" t="s">
        <v>204</v>
      </c>
      <c r="E124" s="170"/>
      <c r="F124" s="265"/>
      <c r="G124" s="136">
        <f>1*(IF(G117&lt;1950000,G117*5%,IF(G117&lt;3300000,G117*0.1-97500,IF(G117&lt;6950000,G117*0.2-427500,IF(G117&lt;9000000,G117*0.23-636000,IF(G117&lt;18000000,G117*0.33-1536000,IF(G117&lt;40000000,G117*0.4-2796000,G117*0.45-4796000)))))))</f>
        <v>0</v>
      </c>
      <c r="H124" s="189"/>
    </row>
    <row r="125" spans="2:9" ht="56.25" hidden="1" customHeight="1" x14ac:dyDescent="0.55000000000000004">
      <c r="B125" s="115">
        <f t="shared" si="4"/>
        <v>112</v>
      </c>
      <c r="C125" s="8" t="s">
        <v>10</v>
      </c>
      <c r="D125" s="263" t="s">
        <v>166</v>
      </c>
      <c r="E125" s="140"/>
      <c r="F125" s="243"/>
      <c r="G125" s="33">
        <f>1*(IF(G119&lt;1950000,G119*5%,IF(G119&lt;3300000,G119*0.1-97500,IF(G119&lt;6950000,G119*0.2-427500,IF(G119&lt;9000000,G119*0.23-636000,IF(G119&lt;18000000,G119*0.33-1536000,IF(G119&lt;40000000,G119*0.4-2796000,G119*0.45-4796000)))))))*5</f>
        <v>0</v>
      </c>
      <c r="H125" s="166"/>
    </row>
    <row r="126" spans="2:9" ht="35.25" hidden="1" customHeight="1" x14ac:dyDescent="0.55000000000000004">
      <c r="B126" s="9">
        <f t="shared" si="4"/>
        <v>113</v>
      </c>
      <c r="C126" s="8" t="s">
        <v>10</v>
      </c>
      <c r="D126" s="15" t="s">
        <v>165</v>
      </c>
      <c r="E126" s="89"/>
      <c r="F126" s="244"/>
      <c r="G126" s="12">
        <f>1*G120*0.1</f>
        <v>0</v>
      </c>
      <c r="H126" s="10"/>
    </row>
    <row r="127" spans="2:9" ht="30.75" hidden="1" customHeight="1" x14ac:dyDescent="0.55000000000000004">
      <c r="B127" s="9">
        <f t="shared" si="4"/>
        <v>114</v>
      </c>
      <c r="C127" s="8" t="s">
        <v>10</v>
      </c>
      <c r="D127" s="15" t="s">
        <v>164</v>
      </c>
      <c r="E127" s="89"/>
      <c r="F127" s="244"/>
      <c r="G127" s="12">
        <f>1*G121*0.15</f>
        <v>0</v>
      </c>
      <c r="H127" s="10"/>
    </row>
    <row r="128" spans="2:9" ht="30.75" hidden="1" customHeight="1" x14ac:dyDescent="0.55000000000000004">
      <c r="B128" s="111">
        <f t="shared" si="4"/>
        <v>115</v>
      </c>
      <c r="C128" s="16" t="s">
        <v>10</v>
      </c>
      <c r="D128" s="196" t="s">
        <v>163</v>
      </c>
      <c r="E128" s="143"/>
      <c r="F128" s="245"/>
      <c r="G128" s="31">
        <f>1*G122*0.3</f>
        <v>0</v>
      </c>
      <c r="H128" s="36"/>
    </row>
    <row r="129" spans="1:9" ht="27.75" customHeight="1" thickBot="1" x14ac:dyDescent="0.6">
      <c r="B129" s="267"/>
      <c r="C129" s="262"/>
      <c r="D129" s="268" t="s">
        <v>191</v>
      </c>
      <c r="E129" s="287"/>
      <c r="F129" s="287"/>
      <c r="G129" s="287"/>
      <c r="H129" s="288"/>
    </row>
    <row r="130" spans="1:9" ht="30.75" hidden="1" customHeight="1" thickBot="1" x14ac:dyDescent="0.6">
      <c r="B130" s="115">
        <f>B128+1</f>
        <v>116</v>
      </c>
      <c r="C130" s="119">
        <v>26</v>
      </c>
      <c r="D130" s="187" t="s">
        <v>71</v>
      </c>
      <c r="E130" s="198">
        <f>E16</f>
        <v>0</v>
      </c>
      <c r="F130" s="119" t="s">
        <v>72</v>
      </c>
      <c r="G130" s="33">
        <f>ROUNDUP(E130*0.1,0)</f>
        <v>0</v>
      </c>
      <c r="H130" s="166" t="s">
        <v>150</v>
      </c>
    </row>
    <row r="131" spans="1:9" ht="60" customHeight="1" thickTop="1" thickBot="1" x14ac:dyDescent="0.6">
      <c r="B131" s="9">
        <f t="shared" si="4"/>
        <v>117</v>
      </c>
      <c r="C131" s="8">
        <v>103</v>
      </c>
      <c r="D131" s="46" t="s">
        <v>151</v>
      </c>
      <c r="E131" s="135"/>
      <c r="F131" s="246"/>
      <c r="G131" s="89"/>
      <c r="H131" s="10" t="s">
        <v>197</v>
      </c>
    </row>
    <row r="132" spans="1:9" ht="49.5" customHeight="1" thickTop="1" x14ac:dyDescent="0.55000000000000004">
      <c r="B132" s="199"/>
      <c r="C132" s="200"/>
      <c r="D132" s="196" t="s">
        <v>205</v>
      </c>
      <c r="E132" s="170"/>
      <c r="F132" s="247"/>
      <c r="G132" s="143"/>
      <c r="H132" s="36" t="s">
        <v>152</v>
      </c>
    </row>
    <row r="133" spans="1:9" ht="24.75" customHeight="1" x14ac:dyDescent="0.55000000000000004">
      <c r="B133" s="268" t="s">
        <v>192</v>
      </c>
      <c r="C133" s="269"/>
      <c r="D133" s="269"/>
      <c r="E133" s="269"/>
      <c r="F133" s="269"/>
      <c r="G133" s="269"/>
      <c r="H133" s="270"/>
    </row>
    <row r="134" spans="1:9" ht="67" customHeight="1" x14ac:dyDescent="0.55000000000000004">
      <c r="B134" s="115">
        <f>B131+1</f>
        <v>118</v>
      </c>
      <c r="C134" s="119" t="s">
        <v>10</v>
      </c>
      <c r="D134" s="187" t="s">
        <v>207</v>
      </c>
      <c r="E134" s="140"/>
      <c r="F134" s="248"/>
      <c r="G134" s="201">
        <f>IF(SUM(G124:G128)-G130&gt;=0,IF(E131&gt;=1,0,SUM(G124:G128)-G130),0)</f>
        <v>0</v>
      </c>
      <c r="H134" s="202" t="s">
        <v>206</v>
      </c>
      <c r="I134" s="14"/>
    </row>
    <row r="135" spans="1:9" x14ac:dyDescent="0.55000000000000004">
      <c r="H135" s="32"/>
    </row>
    <row r="136" spans="1:9" x14ac:dyDescent="0.55000000000000004">
      <c r="H136" s="32"/>
    </row>
    <row r="137" spans="1:9" s="57" customFormat="1" ht="31.5" hidden="1" customHeight="1" x14ac:dyDescent="0.55000000000000004">
      <c r="A137" s="56"/>
      <c r="C137" s="58" t="s">
        <v>73</v>
      </c>
      <c r="D137" s="58"/>
      <c r="E137" s="58"/>
      <c r="F137" s="58"/>
      <c r="G137" s="58"/>
      <c r="H137" s="59"/>
    </row>
    <row r="138" spans="1:9" s="57" customFormat="1" ht="42.75" hidden="1" customHeight="1" thickBot="1" x14ac:dyDescent="0.6">
      <c r="A138" s="56"/>
      <c r="B138" s="60" t="s">
        <v>7</v>
      </c>
      <c r="C138" s="61" t="s">
        <v>8</v>
      </c>
      <c r="D138" s="60" t="s">
        <v>6</v>
      </c>
      <c r="E138" s="61" t="s">
        <v>74</v>
      </c>
      <c r="F138" s="61" t="s">
        <v>75</v>
      </c>
      <c r="G138" s="62" t="s">
        <v>76</v>
      </c>
      <c r="H138" s="63" t="s">
        <v>9</v>
      </c>
    </row>
    <row r="139" spans="1:9" s="57" customFormat="1" ht="40" hidden="1" customHeight="1" thickTop="1" thickBot="1" x14ac:dyDescent="0.6">
      <c r="A139" s="56"/>
      <c r="B139" s="60">
        <v>201</v>
      </c>
      <c r="C139" s="60" t="s">
        <v>10</v>
      </c>
      <c r="D139" s="64" t="s">
        <v>77</v>
      </c>
      <c r="E139" s="65">
        <f>E140+E141</f>
        <v>0</v>
      </c>
      <c r="F139" s="66" t="s">
        <v>15</v>
      </c>
      <c r="G139" s="67">
        <f>E139</f>
        <v>0</v>
      </c>
      <c r="H139" s="68" t="s">
        <v>78</v>
      </c>
    </row>
    <row r="140" spans="1:9" s="57" customFormat="1" ht="40" hidden="1" customHeight="1" thickTop="1" x14ac:dyDescent="0.55000000000000004">
      <c r="A140" s="56"/>
      <c r="B140" s="60">
        <v>202</v>
      </c>
      <c r="C140" s="60">
        <v>124</v>
      </c>
      <c r="D140" s="69" t="s">
        <v>4</v>
      </c>
      <c r="E140" s="65"/>
      <c r="F140" s="60"/>
      <c r="G140" s="70"/>
      <c r="H140" s="71"/>
    </row>
    <row r="141" spans="1:9" s="57" customFormat="1" ht="40" hidden="1" customHeight="1" thickBot="1" x14ac:dyDescent="0.6">
      <c r="A141" s="56"/>
      <c r="B141" s="60">
        <v>203</v>
      </c>
      <c r="C141" s="60">
        <v>127</v>
      </c>
      <c r="D141" s="69" t="s">
        <v>5</v>
      </c>
      <c r="E141" s="65"/>
      <c r="F141" s="60"/>
      <c r="G141" s="72"/>
      <c r="H141" s="71"/>
    </row>
    <row r="142" spans="1:9" s="57" customFormat="1" ht="40" hidden="1" customHeight="1" thickTop="1" thickBot="1" x14ac:dyDescent="0.6">
      <c r="A142" s="56"/>
      <c r="B142" s="60">
        <v>204</v>
      </c>
      <c r="C142" s="60" t="s">
        <v>10</v>
      </c>
      <c r="D142" s="73" t="s">
        <v>79</v>
      </c>
      <c r="E142" s="74">
        <f>SUM(IF(OR(E77=1,E77=2),1,0),E81:E83,E143)-E153</f>
        <v>0</v>
      </c>
      <c r="F142" s="66" t="s">
        <v>15</v>
      </c>
      <c r="G142" s="75">
        <f>E142</f>
        <v>0</v>
      </c>
      <c r="H142" s="76" t="s">
        <v>80</v>
      </c>
      <c r="I142" s="77"/>
    </row>
    <row r="143" spans="1:9" s="57" customFormat="1" ht="40" hidden="1" customHeight="1" thickTop="1" thickBot="1" x14ac:dyDescent="0.6">
      <c r="A143" s="56"/>
      <c r="B143" s="60">
        <v>205</v>
      </c>
      <c r="C143" s="60">
        <v>84</v>
      </c>
      <c r="D143" s="69" t="s">
        <v>81</v>
      </c>
      <c r="E143" s="74"/>
      <c r="F143" s="60"/>
      <c r="G143" s="78"/>
      <c r="H143" s="79"/>
      <c r="I143" s="80"/>
    </row>
    <row r="144" spans="1:9" s="57" customFormat="1" ht="40" hidden="1" customHeight="1" thickTop="1" thickBot="1" x14ac:dyDescent="0.6">
      <c r="A144" s="56"/>
      <c r="B144" s="60">
        <v>206</v>
      </c>
      <c r="C144" s="60" t="s">
        <v>10</v>
      </c>
      <c r="D144" s="64" t="s">
        <v>82</v>
      </c>
      <c r="E144" s="74">
        <f>E142+1</f>
        <v>1</v>
      </c>
      <c r="F144" s="66" t="s">
        <v>83</v>
      </c>
      <c r="G144" s="75">
        <f>E144*10000</f>
        <v>10000</v>
      </c>
      <c r="H144" s="76" t="s">
        <v>84</v>
      </c>
    </row>
    <row r="145" spans="1:8" s="57" customFormat="1" ht="46.15" hidden="1" customHeight="1" thickTop="1" thickBot="1" x14ac:dyDescent="0.6">
      <c r="A145" s="56"/>
      <c r="B145" s="60">
        <v>207</v>
      </c>
      <c r="C145" s="60" t="s">
        <v>10</v>
      </c>
      <c r="D145" s="64" t="s">
        <v>85</v>
      </c>
      <c r="E145" s="74"/>
      <c r="F145" s="66"/>
      <c r="G145" s="81">
        <f>IF(E152&gt;18050000,0,IF(G144-G139&gt;0,G144-G139,0))</f>
        <v>10000</v>
      </c>
      <c r="H145" s="76" t="s">
        <v>86</v>
      </c>
    </row>
    <row r="146" spans="1:8" s="57" customFormat="1" ht="40" hidden="1" customHeight="1" thickTop="1" thickBot="1" x14ac:dyDescent="0.6">
      <c r="A146" s="56"/>
      <c r="B146" s="60">
        <v>208</v>
      </c>
      <c r="C146" s="60" t="s">
        <v>10</v>
      </c>
      <c r="D146" s="64" t="s">
        <v>87</v>
      </c>
      <c r="E146" s="74">
        <f>IF(E154="",G134,E154)</f>
        <v>0</v>
      </c>
      <c r="F146" s="66" t="s">
        <v>15</v>
      </c>
      <c r="G146" s="75">
        <f>E146</f>
        <v>0</v>
      </c>
      <c r="H146" s="76" t="s">
        <v>88</v>
      </c>
    </row>
    <row r="147" spans="1:8" s="57" customFormat="1" ht="60.65" hidden="1" customHeight="1" thickTop="1" thickBot="1" x14ac:dyDescent="0.6">
      <c r="A147" s="56"/>
      <c r="B147" s="60">
        <v>209</v>
      </c>
      <c r="C147" s="60" t="s">
        <v>10</v>
      </c>
      <c r="D147" s="73" t="s">
        <v>89</v>
      </c>
      <c r="E147" s="82">
        <f>IF(E155="",E142,E155-E153)</f>
        <v>0</v>
      </c>
      <c r="F147" s="66" t="s">
        <v>15</v>
      </c>
      <c r="G147" s="75">
        <f>E147</f>
        <v>0</v>
      </c>
      <c r="H147" s="76" t="s">
        <v>90</v>
      </c>
    </row>
    <row r="148" spans="1:8" s="57" customFormat="1" ht="40" hidden="1" customHeight="1" thickTop="1" thickBot="1" x14ac:dyDescent="0.6">
      <c r="A148" s="56"/>
      <c r="B148" s="60">
        <v>210</v>
      </c>
      <c r="C148" s="60" t="s">
        <v>10</v>
      </c>
      <c r="D148" s="64" t="s">
        <v>91</v>
      </c>
      <c r="E148" s="74">
        <f>E147+1</f>
        <v>1</v>
      </c>
      <c r="F148" s="66" t="s">
        <v>92</v>
      </c>
      <c r="G148" s="75">
        <f>E148*30000</f>
        <v>30000</v>
      </c>
      <c r="H148" s="76" t="s">
        <v>93</v>
      </c>
    </row>
    <row r="149" spans="1:8" s="57" customFormat="1" ht="73.150000000000006" hidden="1" customHeight="1" thickTop="1" thickBot="1" x14ac:dyDescent="0.6">
      <c r="A149" s="56"/>
      <c r="B149" s="60">
        <v>211</v>
      </c>
      <c r="C149" s="60" t="s">
        <v>10</v>
      </c>
      <c r="D149" s="64" t="s">
        <v>94</v>
      </c>
      <c r="E149" s="74"/>
      <c r="F149" s="66"/>
      <c r="G149" s="75">
        <f>IF(E156&lt;&gt;"",IF(E156&gt;18050000,0,IF(G148-G146&gt;0,G148-G146,0)),IF(G34&lt;&gt;"",IF(G34&gt;18050000,0,IF(G148-G146&gt;0,G148-G146,0)),IF(E152&gt;18050000,0,IF(G148-G146&gt;0,G148-G146,0))))</f>
        <v>30000</v>
      </c>
      <c r="H149" s="76" t="s">
        <v>95</v>
      </c>
    </row>
    <row r="150" spans="1:8" s="57" customFormat="1" ht="40" hidden="1" customHeight="1" thickTop="1" thickBot="1" x14ac:dyDescent="0.6">
      <c r="A150" s="56"/>
      <c r="B150" s="60">
        <v>212</v>
      </c>
      <c r="C150" s="60" t="s">
        <v>10</v>
      </c>
      <c r="D150" s="64" t="s">
        <v>96</v>
      </c>
      <c r="E150" s="74"/>
      <c r="F150" s="66"/>
      <c r="G150" s="75">
        <f>IF(AND(G139=0,G146=0),0,G145+G149)</f>
        <v>0</v>
      </c>
      <c r="H150" s="76" t="s">
        <v>97</v>
      </c>
    </row>
    <row r="151" spans="1:8" s="57" customFormat="1" ht="40" hidden="1" customHeight="1" thickTop="1" thickBot="1" x14ac:dyDescent="0.6">
      <c r="A151" s="56"/>
      <c r="B151" s="60">
        <v>213</v>
      </c>
      <c r="C151" s="60" t="s">
        <v>10</v>
      </c>
      <c r="D151" s="64" t="s">
        <v>98</v>
      </c>
      <c r="E151" s="74"/>
      <c r="F151" s="66" t="s">
        <v>99</v>
      </c>
      <c r="G151" s="75">
        <f>ROUNDUP(G150,-4)</f>
        <v>0</v>
      </c>
      <c r="H151" s="83" t="s">
        <v>100</v>
      </c>
    </row>
    <row r="152" spans="1:8" s="57" customFormat="1" ht="40" hidden="1" customHeight="1" thickTop="1" x14ac:dyDescent="0.55000000000000004">
      <c r="A152" s="56"/>
      <c r="B152" s="60">
        <v>214</v>
      </c>
      <c r="C152" s="60">
        <v>4</v>
      </c>
      <c r="D152" s="64" t="s">
        <v>101</v>
      </c>
      <c r="E152" s="74"/>
      <c r="F152" s="60"/>
      <c r="G152" s="84"/>
      <c r="H152" s="79" t="s">
        <v>102</v>
      </c>
    </row>
    <row r="153" spans="1:8" s="57" customFormat="1" ht="52.9" hidden="1" customHeight="1" x14ac:dyDescent="0.55000000000000004">
      <c r="A153" s="56"/>
      <c r="B153" s="60">
        <v>215</v>
      </c>
      <c r="C153" s="60" t="s">
        <v>103</v>
      </c>
      <c r="D153" s="73" t="s">
        <v>104</v>
      </c>
      <c r="E153" s="74"/>
      <c r="F153" s="60"/>
      <c r="G153" s="74"/>
      <c r="H153" s="79" t="s">
        <v>105</v>
      </c>
    </row>
    <row r="154" spans="1:8" s="57" customFormat="1" ht="40" hidden="1" customHeight="1" x14ac:dyDescent="0.55000000000000004">
      <c r="A154" s="56"/>
      <c r="B154" s="60">
        <v>216</v>
      </c>
      <c r="C154" s="60" t="s">
        <v>103</v>
      </c>
      <c r="D154" s="85" t="s">
        <v>106</v>
      </c>
      <c r="E154" s="74"/>
      <c r="F154" s="60"/>
      <c r="G154" s="74"/>
      <c r="H154" s="79" t="s">
        <v>107</v>
      </c>
    </row>
    <row r="155" spans="1:8" s="57" customFormat="1" ht="50.5" hidden="1" customHeight="1" x14ac:dyDescent="0.55000000000000004">
      <c r="A155" s="56"/>
      <c r="B155" s="60">
        <v>217</v>
      </c>
      <c r="C155" s="60" t="s">
        <v>103</v>
      </c>
      <c r="D155" s="73" t="s">
        <v>108</v>
      </c>
      <c r="E155" s="74"/>
      <c r="F155" s="60"/>
      <c r="G155" s="74"/>
      <c r="H155" s="79" t="s">
        <v>109</v>
      </c>
    </row>
    <row r="156" spans="1:8" s="57" customFormat="1" ht="40" hidden="1" customHeight="1" x14ac:dyDescent="0.55000000000000004">
      <c r="A156" s="56"/>
      <c r="B156" s="60">
        <v>218</v>
      </c>
      <c r="C156" s="60" t="s">
        <v>103</v>
      </c>
      <c r="D156" s="64" t="s">
        <v>110</v>
      </c>
      <c r="E156" s="74"/>
      <c r="F156" s="60"/>
      <c r="G156" s="74"/>
      <c r="H156" s="79" t="s">
        <v>111</v>
      </c>
    </row>
  </sheetData>
  <mergeCells count="11">
    <mergeCell ref="B133:H133"/>
    <mergeCell ref="C9:H9"/>
    <mergeCell ref="C66:H66"/>
    <mergeCell ref="H73:H76"/>
    <mergeCell ref="C99:H99"/>
    <mergeCell ref="C123:H123"/>
    <mergeCell ref="C20:H20"/>
    <mergeCell ref="D118:H118"/>
    <mergeCell ref="D43:H43"/>
    <mergeCell ref="D35:H35"/>
    <mergeCell ref="D129:H129"/>
  </mergeCells>
  <phoneticPr fontId="1"/>
  <pageMargins left="0.7" right="0.7" top="0.75" bottom="0.75" header="0.3" footer="0.3"/>
  <pageSetup paperSize="9" scale="48" fitToHeight="0" orientation="portrait" r:id="rId1"/>
  <rowBreaks count="1" manualBreakCount="1">
    <brk id="136" min="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601A187D85C84A847A7FD3AA472DCA" ma:contentTypeVersion="6" ma:contentTypeDescription="新しいドキュメントを作成します。" ma:contentTypeScope="" ma:versionID="726cd40a82c34b9467b975b2ec66fb6d">
  <xsd:schema xmlns:xsd="http://www.w3.org/2001/XMLSchema" xmlns:xs="http://www.w3.org/2001/XMLSchema" xmlns:p="http://schemas.microsoft.com/office/2006/metadata/properties" xmlns:ns2="8d576fec-280b-424c-b2a6-ee739af5ab41" xmlns:ns3="3b0ebaae-a14e-4424-847b-6a3bebfea79a" targetNamespace="http://schemas.microsoft.com/office/2006/metadata/properties" ma:root="true" ma:fieldsID="cc1d95508396e61e59ed800ca12503a3" ns2:_="" ns3:_="">
    <xsd:import namespace="8d576fec-280b-424c-b2a6-ee739af5ab41"/>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76fec-280b-424c-b2a6-ee739af5a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980E5-7920-45B0-B273-8E1BF21CE41E}">
  <ds:schemaRefs>
    <ds:schemaRef ds:uri="http://schemas.microsoft.com/sharepoint/v3/contenttype/forms"/>
  </ds:schemaRefs>
</ds:datastoreItem>
</file>

<file path=customXml/itemProps2.xml><?xml version="1.0" encoding="utf-8"?>
<ds:datastoreItem xmlns:ds="http://schemas.openxmlformats.org/officeDocument/2006/customXml" ds:itemID="{297070B0-8195-42C2-BCC6-0909CF510B54}">
  <ds:schemaRefs>
    <ds:schemaRef ds:uri="http://schemas.microsoft.com/office/2006/metadata/properties"/>
    <ds:schemaRef ds:uri="3b0ebaae-a14e-4424-847b-6a3bebfea79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d576fec-280b-424c-b2a6-ee739af5ab41"/>
    <ds:schemaRef ds:uri="http://www.w3.org/XML/1998/namespace"/>
    <ds:schemaRef ds:uri="http://purl.org/dc/dcmitype/"/>
  </ds:schemaRefs>
</ds:datastoreItem>
</file>

<file path=customXml/itemProps3.xml><?xml version="1.0" encoding="utf-8"?>
<ds:datastoreItem xmlns:ds="http://schemas.openxmlformats.org/officeDocument/2006/customXml" ds:itemID="{6F832E46-779B-4894-976F-3748C1ADD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76fec-280b-424c-b2a6-ee739af5ab41"/>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算定式</vt:lpstr>
      <vt:lpstr>算定式!Print_Area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2024-03-28T10:54:37Z</dcterms:created>
  <dcterms:modified xsi:type="dcterms:W3CDTF">2024-07-30T01:35:23Z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0x0101009A601A187D85C84A847A7FD3AA472DCA</vt:lpwstr>
  </property>
  <property fmtid="{D5CDD505-2E9C-101B-9397-08002B2CF9AE}" pid="3" name="MediaServiceImageTags">
    <vt:lpwstr/>
  </property>
</Properties>
</file>